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ЭтаКнига" defaultThemeVersion="124226"/>
  <bookViews>
    <workbookView xWindow="480" yWindow="465" windowWidth="19440" windowHeight="9615"/>
  </bookViews>
  <sheets>
    <sheet name="Параметры" sheetId="1" r:id="rId1"/>
    <sheet name="Старт" sheetId="10" r:id="rId2"/>
    <sheet name="Стадо" sheetId="12" r:id="rId3"/>
    <sheet name="Проект" sheetId="2" r:id="rId4"/>
    <sheet name="Результаты" sheetId="4" r:id="rId5"/>
    <sheet name="Графики" sheetId="11" r:id="rId6"/>
    <sheet name="Сценарии" sheetId="5" r:id="rId7"/>
    <sheet name="Отчет" sheetId="7" r:id="rId8"/>
    <sheet name="Language" sheetId="8" state="hidden" r:id="rId9"/>
    <sheet name="Options" sheetId="9" state="veryHidden" r:id="rId10"/>
  </sheets>
  <definedNames>
    <definedName name="CurName1">Параметры!$B$42</definedName>
    <definedName name="CurName2">Параметры!$B$52</definedName>
    <definedName name="CurName3">Параметры!$B$58</definedName>
    <definedName name="Opt_BuildDate">Options!$B$13</definedName>
    <definedName name="Opt_ChartSheet">Options!$A$26</definedName>
    <definedName name="Opt_Colors">Options!$A$40</definedName>
    <definedName name="Opt_DataSheet">Options!$A$23</definedName>
    <definedName name="Opt_Defaults">Options!$A$42</definedName>
    <definedName name="Opt_DlgPrint">Options!$B$18</definedName>
    <definedName name="Opt_IsBuilt">Options!$B$12</definedName>
    <definedName name="Opt_IsDemo">Options!$B$15</definedName>
    <definedName name="Opt_IsSumm">Options!$B$14</definedName>
    <definedName name="Opt_MainSheet">Options!$A$21</definedName>
    <definedName name="Opt_ReportSheet">Options!$A$27</definedName>
    <definedName name="Opt_ResultSheet">Options!$A$24</definedName>
    <definedName name="Opt_ScenSheet">Options!$A$25</definedName>
    <definedName name="Opt_Sheets">Options!$A$20</definedName>
    <definedName name="Opt_SPInfo" hidden="1">Options!$B$16</definedName>
    <definedName name="Opt_StartSheet">Options!$A$22</definedName>
    <definedName name="Opt_Themes">Options!$A$29</definedName>
    <definedName name="Opt_UniqueID">Options!$B$17</definedName>
    <definedName name="Opt_Version">Options!$B$8</definedName>
    <definedName name="Prj_Cur1">Параметры!$D$42</definedName>
    <definedName name="Prj_Cur2">Параметры!$D$52</definedName>
    <definedName name="Prj_Cur3">Параметры!$D$58</definedName>
    <definedName name="Prj_CurReport">Параметры!$B$64</definedName>
    <definedName name="Prj_Inflation">Параметры!$B$40</definedName>
    <definedName name="Prj_Invest">Параметры!$D$18</definedName>
    <definedName name="Prj_Language">Параметры!$D$8</definedName>
    <definedName name="Prj_Len">Параметры!$D$17</definedName>
    <definedName name="Prj_Name">Параметры!$A$4</definedName>
    <definedName name="Prj_Period">Параметры!$D$19</definedName>
    <definedName name="Prj_Protect">Параметры!$D$9</definedName>
    <definedName name="Prj_StartDate">Параметры!$B$16</definedName>
    <definedName name="Prj_StartMonth">Параметры!$B$23</definedName>
    <definedName name="Prj_StartYear">Параметры!$B$22</definedName>
    <definedName name="Prj_Step">Параметры!$D$21</definedName>
    <definedName name="Prj_Style">Параметры!$D$10</definedName>
    <definedName name="Prj_Tax1">Параметры!$D$72</definedName>
    <definedName name="Prj_Tax2">Параметры!$D$79</definedName>
    <definedName name="Prj_Tax3">Параметры!$D$86</definedName>
    <definedName name="Prj_Tax4">Параметры!$D$96</definedName>
    <definedName name="Prj_Tax5">Параметры!$D$102</definedName>
    <definedName name="Prj_Tax6">Параметры!$D$107</definedName>
    <definedName name="Prj_VAT">Параметры!$B$74</definedName>
    <definedName name="Sens_Discount">Параметры!$B$129</definedName>
    <definedName name="Sens_Exp1">Проект!$G$572:$AW$584</definedName>
    <definedName name="Sens_Exp2">Проект!$G$598:$AW$610</definedName>
    <definedName name="Sens_Exp3">Проект!$G$585:$AW$597</definedName>
    <definedName name="Sens_Exp4">Проект!$G$572:$AW$611</definedName>
    <definedName name="Sens_Invest">Проект!$G$770:$AW$815</definedName>
    <definedName name="Sens_IRR1">Результаты!$B$196</definedName>
    <definedName name="Sens_IRR2">Результаты!$B$245</definedName>
    <definedName name="Sens_IRR3">Результаты!$B$287</definedName>
    <definedName name="Sens_Item" localSheetId="5">Графики!$D$213</definedName>
    <definedName name="Sens_ItemFrom" localSheetId="5">Графики!$L$213</definedName>
    <definedName name="Sens_ItemStep" localSheetId="5">Графики!$L$214</definedName>
    <definedName name="Sens_Line" localSheetId="5">Графики!$D$219</definedName>
    <definedName name="Sens_Mat">Проект!$G$449:$AW$460</definedName>
    <definedName name="Sens_NPV1">Результаты!$B$194</definedName>
    <definedName name="Sens_NPV2">Результаты!$B$243</definedName>
    <definedName name="Sens_NPV3">Результаты!$B$285</definedName>
    <definedName name="Sens_Param" localSheetId="5">Графики!$D$212</definedName>
    <definedName name="Sens_ParamFrom" localSheetId="5">Графики!$H$213</definedName>
    <definedName name="Sens_Params" localSheetId="5">Графики!$G$252</definedName>
    <definedName name="Sens_ParamStep" localSheetId="5">Графики!$H$214</definedName>
    <definedName name="Sens_PBP1">Результаты!$B$205</definedName>
    <definedName name="Sens_PBP2">Результаты!$B$254</definedName>
    <definedName name="Sens_PBP3">Результаты!$B$296</definedName>
    <definedName name="Sens_Price">Проект!$G$321:$AW$327</definedName>
    <definedName name="Sens_Profit">Результаты!$AX$30</definedName>
    <definedName name="Sens_Result" localSheetId="5">Графики!$D$216</definedName>
    <definedName name="Sens_Results" localSheetId="5">Графики!$G$264</definedName>
    <definedName name="Sens_Sales">Проект!$G$321:$AW$328,Проект!$G$449:$AW$460</definedName>
    <definedName name="Sens_Staff">Проект!$G$476:$AW$509</definedName>
    <definedName name="Sens_Table" localSheetId="5">Графики!$G$219:$N$224</definedName>
  </definedNames>
  <calcPr calcId="145621" iterate="1"/>
</workbook>
</file>

<file path=xl/calcChain.xml><?xml version="1.0" encoding="utf-8"?>
<calcChain xmlns="http://schemas.openxmlformats.org/spreadsheetml/2006/main">
  <c r="H27" i="2" l="1"/>
  <c r="B17" i="1"/>
  <c r="D424" i="2" l="1"/>
  <c r="D423" i="2"/>
  <c r="H421" i="2"/>
  <c r="I421" i="2" s="1"/>
  <c r="J421" i="2" s="1"/>
  <c r="K421" i="2" s="1"/>
  <c r="L421" i="2" s="1"/>
  <c r="M421" i="2" s="1"/>
  <c r="N421" i="2" s="1"/>
  <c r="O421" i="2" s="1"/>
  <c r="P421" i="2" s="1"/>
  <c r="Q421" i="2" s="1"/>
  <c r="R421" i="2" s="1"/>
  <c r="S421" i="2" s="1"/>
  <c r="T421" i="2" s="1"/>
  <c r="U421" i="2" s="1"/>
  <c r="V421" i="2" s="1"/>
  <c r="W421" i="2" s="1"/>
  <c r="X421" i="2" s="1"/>
  <c r="Y421" i="2" s="1"/>
  <c r="Z421" i="2" s="1"/>
  <c r="AA421" i="2" s="1"/>
  <c r="AB421" i="2" s="1"/>
  <c r="AC421" i="2" s="1"/>
  <c r="AD421" i="2" s="1"/>
  <c r="AE421" i="2" s="1"/>
  <c r="AF421" i="2" s="1"/>
  <c r="AG421" i="2" s="1"/>
  <c r="AH421" i="2" s="1"/>
  <c r="AI421" i="2" s="1"/>
  <c r="AJ421" i="2" s="1"/>
  <c r="AK421" i="2" s="1"/>
  <c r="AL421" i="2" s="1"/>
  <c r="AM421" i="2" s="1"/>
  <c r="AN421" i="2" s="1"/>
  <c r="AO421" i="2" s="1"/>
  <c r="AP421" i="2" s="1"/>
  <c r="AQ421" i="2" s="1"/>
  <c r="AR421" i="2" s="1"/>
  <c r="AS421" i="2" s="1"/>
  <c r="AT421" i="2" s="1"/>
  <c r="AU421" i="2" s="1"/>
  <c r="AV421" i="2" s="1"/>
  <c r="AV420" i="2"/>
  <c r="AU420" i="2"/>
  <c r="AT420" i="2"/>
  <c r="AS420" i="2"/>
  <c r="AR420" i="2"/>
  <c r="AQ420" i="2"/>
  <c r="AP420" i="2"/>
  <c r="AO420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AV419" i="2"/>
  <c r="AU419" i="2"/>
  <c r="AT419" i="2"/>
  <c r="AS419" i="2"/>
  <c r="AR419" i="2"/>
  <c r="AQ419" i="2"/>
  <c r="AP419" i="2"/>
  <c r="AO419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D418" i="2"/>
  <c r="B417" i="2"/>
  <c r="D416" i="2"/>
  <c r="B415" i="2"/>
  <c r="D414" i="2"/>
  <c r="D413" i="2"/>
  <c r="B412" i="2"/>
  <c r="D411" i="2"/>
  <c r="B410" i="2"/>
  <c r="D409" i="2"/>
  <c r="B408" i="2"/>
  <c r="D407" i="2"/>
  <c r="D406" i="2"/>
  <c r="G352" i="2" l="1"/>
  <c r="G312" i="2"/>
  <c r="G294" i="2"/>
  <c r="G276" i="2"/>
  <c r="G257" i="2"/>
  <c r="G239" i="2"/>
  <c r="G221" i="2"/>
  <c r="G203" i="2"/>
  <c r="G185" i="2"/>
  <c r="G166" i="2"/>
  <c r="G148" i="2"/>
  <c r="G130" i="2"/>
  <c r="G112" i="2"/>
  <c r="G94" i="2"/>
  <c r="C90" i="7" l="1"/>
  <c r="C88" i="7"/>
  <c r="C70" i="7"/>
  <c r="B70" i="7"/>
  <c r="N68" i="7"/>
  <c r="M68" i="7"/>
  <c r="L68" i="7"/>
  <c r="K68" i="7"/>
  <c r="J68" i="7"/>
  <c r="I68" i="7"/>
  <c r="H68" i="7"/>
  <c r="G68" i="7"/>
  <c r="F68" i="7"/>
  <c r="E68" i="7"/>
  <c r="D68" i="7"/>
  <c r="N32" i="7"/>
  <c r="M32" i="7"/>
  <c r="L32" i="7"/>
  <c r="K32" i="7"/>
  <c r="J32" i="7"/>
  <c r="I32" i="7"/>
  <c r="H32" i="7"/>
  <c r="G32" i="7"/>
  <c r="F32" i="7"/>
  <c r="E32" i="7"/>
  <c r="D32" i="7"/>
  <c r="N3" i="7"/>
  <c r="M3" i="7"/>
  <c r="L3" i="7"/>
  <c r="K3" i="7"/>
  <c r="J3" i="7"/>
  <c r="I3" i="7"/>
  <c r="H3" i="7"/>
  <c r="G3" i="7"/>
  <c r="F3" i="7"/>
  <c r="E3" i="7"/>
  <c r="D3" i="7"/>
  <c r="G936" i="2"/>
  <c r="H936" i="2"/>
  <c r="I936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X936" i="2"/>
  <c r="Y936" i="2"/>
  <c r="Z936" i="2"/>
  <c r="AA936" i="2"/>
  <c r="AB936" i="2"/>
  <c r="AC936" i="2"/>
  <c r="AD936" i="2"/>
  <c r="AE936" i="2"/>
  <c r="AF936" i="2"/>
  <c r="AG936" i="2"/>
  <c r="AH936" i="2"/>
  <c r="AI936" i="2"/>
  <c r="AJ936" i="2"/>
  <c r="AK936" i="2"/>
  <c r="AL936" i="2"/>
  <c r="AM936" i="2"/>
  <c r="AN936" i="2"/>
  <c r="AO936" i="2"/>
  <c r="AP936" i="2"/>
  <c r="AQ936" i="2"/>
  <c r="AR936" i="2"/>
  <c r="AS936" i="2"/>
  <c r="AT936" i="2"/>
  <c r="AU936" i="2"/>
  <c r="AV936" i="2"/>
  <c r="G935" i="2"/>
  <c r="H935" i="2"/>
  <c r="I935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X935" i="2"/>
  <c r="Y935" i="2"/>
  <c r="Z935" i="2"/>
  <c r="AA935" i="2"/>
  <c r="AB935" i="2"/>
  <c r="AC935" i="2"/>
  <c r="AD935" i="2"/>
  <c r="AE935" i="2"/>
  <c r="AF935" i="2"/>
  <c r="AG935" i="2"/>
  <c r="AH935" i="2"/>
  <c r="AI935" i="2"/>
  <c r="AJ935" i="2"/>
  <c r="AK935" i="2"/>
  <c r="AL935" i="2"/>
  <c r="AM935" i="2"/>
  <c r="AN935" i="2"/>
  <c r="AO935" i="2"/>
  <c r="AP935" i="2"/>
  <c r="AQ935" i="2"/>
  <c r="AR935" i="2"/>
  <c r="AS935" i="2"/>
  <c r="AT935" i="2"/>
  <c r="AU935" i="2"/>
  <c r="AV935" i="2"/>
  <c r="B929" i="2"/>
  <c r="AV928" i="2"/>
  <c r="AU928" i="2"/>
  <c r="AT928" i="2"/>
  <c r="AS928" i="2"/>
  <c r="AR928" i="2"/>
  <c r="AQ928" i="2"/>
  <c r="AP928" i="2"/>
  <c r="AO928" i="2"/>
  <c r="AN928" i="2"/>
  <c r="AM928" i="2"/>
  <c r="AL928" i="2"/>
  <c r="AK928" i="2"/>
  <c r="AJ928" i="2"/>
  <c r="AI928" i="2"/>
  <c r="AH928" i="2"/>
  <c r="AG928" i="2"/>
  <c r="AF928" i="2"/>
  <c r="AE928" i="2"/>
  <c r="AD928" i="2"/>
  <c r="AC928" i="2"/>
  <c r="AB928" i="2"/>
  <c r="AA928" i="2"/>
  <c r="Z928" i="2"/>
  <c r="Y928" i="2"/>
  <c r="X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AV926" i="2"/>
  <c r="AU926" i="2"/>
  <c r="AT926" i="2"/>
  <c r="AS926" i="2"/>
  <c r="AR926" i="2"/>
  <c r="AQ926" i="2"/>
  <c r="AP926" i="2"/>
  <c r="AO926" i="2"/>
  <c r="AN926" i="2"/>
  <c r="AM926" i="2"/>
  <c r="AL926" i="2"/>
  <c r="AK926" i="2"/>
  <c r="AJ926" i="2"/>
  <c r="AI926" i="2"/>
  <c r="AH926" i="2"/>
  <c r="AG926" i="2"/>
  <c r="AF926" i="2"/>
  <c r="AE926" i="2"/>
  <c r="AD926" i="2"/>
  <c r="AC926" i="2"/>
  <c r="AB926" i="2"/>
  <c r="AA926" i="2"/>
  <c r="Z926" i="2"/>
  <c r="Y926" i="2"/>
  <c r="X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D923" i="2"/>
  <c r="D922" i="2"/>
  <c r="D921" i="2"/>
  <c r="AX920" i="2"/>
  <c r="D920" i="2"/>
  <c r="AX919" i="2"/>
  <c r="D919" i="2"/>
  <c r="G915" i="2"/>
  <c r="H915" i="2" s="1"/>
  <c r="I915" i="2" s="1"/>
  <c r="J915" i="2" s="1"/>
  <c r="K915" i="2" s="1"/>
  <c r="L915" i="2" s="1"/>
  <c r="M915" i="2" s="1"/>
  <c r="N915" i="2" s="1"/>
  <c r="O915" i="2" s="1"/>
  <c r="P915" i="2" s="1"/>
  <c r="Q915" i="2" s="1"/>
  <c r="R915" i="2" s="1"/>
  <c r="S915" i="2" s="1"/>
  <c r="T915" i="2" s="1"/>
  <c r="U915" i="2" s="1"/>
  <c r="V915" i="2" s="1"/>
  <c r="W915" i="2" s="1"/>
  <c r="X915" i="2" s="1"/>
  <c r="Y915" i="2" s="1"/>
  <c r="Z915" i="2" s="1"/>
  <c r="AA915" i="2" s="1"/>
  <c r="AB915" i="2" s="1"/>
  <c r="AC915" i="2" s="1"/>
  <c r="AD915" i="2" s="1"/>
  <c r="AE915" i="2" s="1"/>
  <c r="AF915" i="2" s="1"/>
  <c r="AG915" i="2" s="1"/>
  <c r="AH915" i="2" s="1"/>
  <c r="AI915" i="2" s="1"/>
  <c r="AJ915" i="2" s="1"/>
  <c r="AK915" i="2" s="1"/>
  <c r="AL915" i="2" s="1"/>
  <c r="AM915" i="2" s="1"/>
  <c r="AN915" i="2" s="1"/>
  <c r="AO915" i="2" s="1"/>
  <c r="AP915" i="2" s="1"/>
  <c r="AQ915" i="2" s="1"/>
  <c r="AR915" i="2" s="1"/>
  <c r="AS915" i="2" s="1"/>
  <c r="AT915" i="2" s="1"/>
  <c r="AU915" i="2" s="1"/>
  <c r="AV915" i="2" s="1"/>
  <c r="B910" i="2"/>
  <c r="AV909" i="2"/>
  <c r="AU909" i="2"/>
  <c r="AT909" i="2"/>
  <c r="AS909" i="2"/>
  <c r="AR909" i="2"/>
  <c r="AQ909" i="2"/>
  <c r="AP909" i="2"/>
  <c r="AO909" i="2"/>
  <c r="AN909" i="2"/>
  <c r="AM909" i="2"/>
  <c r="AL909" i="2"/>
  <c r="AK909" i="2"/>
  <c r="AJ909" i="2"/>
  <c r="AI909" i="2"/>
  <c r="AH909" i="2"/>
  <c r="AG909" i="2"/>
  <c r="AF909" i="2"/>
  <c r="AE909" i="2"/>
  <c r="AD909" i="2"/>
  <c r="AC909" i="2"/>
  <c r="AB909" i="2"/>
  <c r="AA909" i="2"/>
  <c r="Z909" i="2"/>
  <c r="Y909" i="2"/>
  <c r="X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AV907" i="2"/>
  <c r="AU907" i="2"/>
  <c r="AT907" i="2"/>
  <c r="AS907" i="2"/>
  <c r="AR907" i="2"/>
  <c r="AQ907" i="2"/>
  <c r="AP907" i="2"/>
  <c r="AO907" i="2"/>
  <c r="AN907" i="2"/>
  <c r="AM907" i="2"/>
  <c r="AL907" i="2"/>
  <c r="AK907" i="2"/>
  <c r="AJ907" i="2"/>
  <c r="AI907" i="2"/>
  <c r="AH907" i="2"/>
  <c r="AG907" i="2"/>
  <c r="AF907" i="2"/>
  <c r="AE907" i="2"/>
  <c r="AD907" i="2"/>
  <c r="AC907" i="2"/>
  <c r="AB907" i="2"/>
  <c r="AA907" i="2"/>
  <c r="Z907" i="2"/>
  <c r="Y907" i="2"/>
  <c r="X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D904" i="2"/>
  <c r="D903" i="2"/>
  <c r="D902" i="2"/>
  <c r="AX901" i="2"/>
  <c r="D901" i="2"/>
  <c r="AX900" i="2"/>
  <c r="D900" i="2"/>
  <c r="G896" i="2"/>
  <c r="H896" i="2" s="1"/>
  <c r="I896" i="2" s="1"/>
  <c r="J896" i="2" s="1"/>
  <c r="K896" i="2" s="1"/>
  <c r="L896" i="2" s="1"/>
  <c r="M896" i="2" s="1"/>
  <c r="N896" i="2" s="1"/>
  <c r="O896" i="2" s="1"/>
  <c r="P896" i="2" s="1"/>
  <c r="Q896" i="2" s="1"/>
  <c r="R896" i="2" s="1"/>
  <c r="S896" i="2" s="1"/>
  <c r="T896" i="2" s="1"/>
  <c r="U896" i="2" s="1"/>
  <c r="V896" i="2" s="1"/>
  <c r="W896" i="2" s="1"/>
  <c r="X896" i="2" s="1"/>
  <c r="Y896" i="2" s="1"/>
  <c r="Z896" i="2" s="1"/>
  <c r="AA896" i="2" s="1"/>
  <c r="AB896" i="2" s="1"/>
  <c r="AC896" i="2" s="1"/>
  <c r="AD896" i="2" s="1"/>
  <c r="AE896" i="2" s="1"/>
  <c r="AF896" i="2" s="1"/>
  <c r="AG896" i="2" s="1"/>
  <c r="AH896" i="2" s="1"/>
  <c r="AI896" i="2" s="1"/>
  <c r="AJ896" i="2" s="1"/>
  <c r="AK896" i="2" s="1"/>
  <c r="AL896" i="2" s="1"/>
  <c r="AM896" i="2" s="1"/>
  <c r="AN896" i="2" s="1"/>
  <c r="AO896" i="2" s="1"/>
  <c r="AP896" i="2" s="1"/>
  <c r="AQ896" i="2" s="1"/>
  <c r="AR896" i="2" s="1"/>
  <c r="AS896" i="2" s="1"/>
  <c r="AT896" i="2" s="1"/>
  <c r="AU896" i="2" s="1"/>
  <c r="AV896" i="2" s="1"/>
  <c r="D570" i="2"/>
  <c r="D569" i="2"/>
  <c r="G567" i="2"/>
  <c r="U566" i="2"/>
  <c r="K566" i="2"/>
  <c r="D565" i="2"/>
  <c r="AQ566" i="2" s="1"/>
  <c r="B564" i="2"/>
  <c r="D559" i="2"/>
  <c r="D558" i="2"/>
  <c r="G556" i="2"/>
  <c r="D554" i="2"/>
  <c r="AQ555" i="2" s="1"/>
  <c r="B553" i="2"/>
  <c r="D551" i="2"/>
  <c r="D550" i="2"/>
  <c r="G548" i="2"/>
  <c r="D546" i="2"/>
  <c r="AQ547" i="2" s="1"/>
  <c r="B545" i="2"/>
  <c r="D540" i="2"/>
  <c r="D539" i="2"/>
  <c r="G537" i="2"/>
  <c r="AV536" i="2"/>
  <c r="P536" i="2"/>
  <c r="N536" i="2"/>
  <c r="D535" i="2"/>
  <c r="AQ536" i="2" s="1"/>
  <c r="B534" i="2"/>
  <c r="D532" i="2"/>
  <c r="D531" i="2"/>
  <c r="G529" i="2"/>
  <c r="D527" i="2"/>
  <c r="B526" i="2"/>
  <c r="D524" i="2"/>
  <c r="D523" i="2"/>
  <c r="G521" i="2"/>
  <c r="AS520" i="2"/>
  <c r="AR520" i="2"/>
  <c r="AF520" i="2"/>
  <c r="P520" i="2"/>
  <c r="N520" i="2"/>
  <c r="D519" i="2"/>
  <c r="AQ520" i="2" s="1"/>
  <c r="B518" i="2"/>
  <c r="D446" i="2"/>
  <c r="D445" i="2"/>
  <c r="H443" i="2"/>
  <c r="I443" i="2" s="1"/>
  <c r="J443" i="2" s="1"/>
  <c r="K443" i="2" s="1"/>
  <c r="L443" i="2" s="1"/>
  <c r="M443" i="2" s="1"/>
  <c r="N443" i="2" s="1"/>
  <c r="O443" i="2" s="1"/>
  <c r="P443" i="2" s="1"/>
  <c r="Q443" i="2" s="1"/>
  <c r="R443" i="2" s="1"/>
  <c r="S443" i="2" s="1"/>
  <c r="T443" i="2" s="1"/>
  <c r="U443" i="2" s="1"/>
  <c r="V443" i="2" s="1"/>
  <c r="W443" i="2" s="1"/>
  <c r="X443" i="2" s="1"/>
  <c r="Y443" i="2" s="1"/>
  <c r="Z443" i="2" s="1"/>
  <c r="AA443" i="2" s="1"/>
  <c r="AB443" i="2" s="1"/>
  <c r="AC443" i="2" s="1"/>
  <c r="AD443" i="2" s="1"/>
  <c r="AE443" i="2" s="1"/>
  <c r="AF443" i="2" s="1"/>
  <c r="AG443" i="2" s="1"/>
  <c r="AH443" i="2" s="1"/>
  <c r="AI443" i="2" s="1"/>
  <c r="AJ443" i="2" s="1"/>
  <c r="AK443" i="2" s="1"/>
  <c r="AL443" i="2" s="1"/>
  <c r="AM443" i="2" s="1"/>
  <c r="AN443" i="2" s="1"/>
  <c r="AO443" i="2" s="1"/>
  <c r="AP443" i="2" s="1"/>
  <c r="AQ443" i="2" s="1"/>
  <c r="AR443" i="2" s="1"/>
  <c r="AS443" i="2" s="1"/>
  <c r="AT443" i="2" s="1"/>
  <c r="AU443" i="2" s="1"/>
  <c r="AV443" i="2" s="1"/>
  <c r="G442" i="2"/>
  <c r="AV441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D440" i="2"/>
  <c r="B439" i="2"/>
  <c r="D438" i="2"/>
  <c r="B437" i="2"/>
  <c r="D436" i="2"/>
  <c r="D435" i="2"/>
  <c r="B434" i="2"/>
  <c r="D433" i="2"/>
  <c r="B432" i="2"/>
  <c r="D431" i="2"/>
  <c r="B430" i="2"/>
  <c r="D429" i="2"/>
  <c r="D428" i="2"/>
  <c r="D403" i="2"/>
  <c r="D402" i="2"/>
  <c r="H400" i="2"/>
  <c r="I400" i="2" s="1"/>
  <c r="J400" i="2" s="1"/>
  <c r="K400" i="2" s="1"/>
  <c r="L400" i="2" s="1"/>
  <c r="M400" i="2" s="1"/>
  <c r="N400" i="2" s="1"/>
  <c r="O400" i="2" s="1"/>
  <c r="P400" i="2" s="1"/>
  <c r="Q400" i="2" s="1"/>
  <c r="R400" i="2" s="1"/>
  <c r="S400" i="2" s="1"/>
  <c r="T400" i="2" s="1"/>
  <c r="U400" i="2" s="1"/>
  <c r="V400" i="2" s="1"/>
  <c r="W400" i="2" s="1"/>
  <c r="X400" i="2" s="1"/>
  <c r="Y400" i="2" s="1"/>
  <c r="Z400" i="2" s="1"/>
  <c r="AA400" i="2" s="1"/>
  <c r="AB400" i="2" s="1"/>
  <c r="AC400" i="2" s="1"/>
  <c r="AD400" i="2" s="1"/>
  <c r="AE400" i="2" s="1"/>
  <c r="AF400" i="2" s="1"/>
  <c r="AG400" i="2" s="1"/>
  <c r="AH400" i="2" s="1"/>
  <c r="AI400" i="2" s="1"/>
  <c r="AJ400" i="2" s="1"/>
  <c r="AK400" i="2" s="1"/>
  <c r="AL400" i="2" s="1"/>
  <c r="AM400" i="2" s="1"/>
  <c r="AN400" i="2" s="1"/>
  <c r="AO400" i="2" s="1"/>
  <c r="AP400" i="2" s="1"/>
  <c r="AQ400" i="2" s="1"/>
  <c r="AR400" i="2" s="1"/>
  <c r="AS400" i="2" s="1"/>
  <c r="AT400" i="2" s="1"/>
  <c r="AU400" i="2" s="1"/>
  <c r="AV400" i="2" s="1"/>
  <c r="G399" i="2"/>
  <c r="AV398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D397" i="2"/>
  <c r="B396" i="2"/>
  <c r="D395" i="2"/>
  <c r="B394" i="2"/>
  <c r="D393" i="2"/>
  <c r="D392" i="2"/>
  <c r="B391" i="2"/>
  <c r="D390" i="2"/>
  <c r="B389" i="2"/>
  <c r="D388" i="2"/>
  <c r="B387" i="2"/>
  <c r="D386" i="2"/>
  <c r="D385" i="2"/>
  <c r="J89" i="12"/>
  <c r="J81" i="12"/>
  <c r="J73" i="12"/>
  <c r="J65" i="12"/>
  <c r="J57" i="12"/>
  <c r="J49" i="12"/>
  <c r="J41" i="12"/>
  <c r="J33" i="12"/>
  <c r="J25" i="12"/>
  <c r="J17" i="12"/>
  <c r="J9" i="12"/>
  <c r="G18" i="2"/>
  <c r="H18" i="2"/>
  <c r="H26" i="2" s="1"/>
  <c r="G19" i="2"/>
  <c r="G27" i="2" s="1"/>
  <c r="H19" i="2"/>
  <c r="G20" i="2"/>
  <c r="G36" i="2" s="1"/>
  <c r="H20" i="2"/>
  <c r="G21" i="2"/>
  <c r="G29" i="2" s="1"/>
  <c r="H21" i="2"/>
  <c r="H29" i="2" s="1"/>
  <c r="H17" i="2"/>
  <c r="G17" i="2"/>
  <c r="G33" i="2" s="1"/>
  <c r="D356" i="2"/>
  <c r="D355" i="2"/>
  <c r="H353" i="2"/>
  <c r="I353" i="2" s="1"/>
  <c r="J353" i="2" s="1"/>
  <c r="K353" i="2" s="1"/>
  <c r="L353" i="2" s="1"/>
  <c r="M353" i="2" s="1"/>
  <c r="N353" i="2" s="1"/>
  <c r="O353" i="2" s="1"/>
  <c r="P353" i="2" s="1"/>
  <c r="Q353" i="2" s="1"/>
  <c r="R353" i="2" s="1"/>
  <c r="S353" i="2" s="1"/>
  <c r="T353" i="2" s="1"/>
  <c r="U353" i="2" s="1"/>
  <c r="V353" i="2" s="1"/>
  <c r="W353" i="2" s="1"/>
  <c r="X353" i="2" s="1"/>
  <c r="Y353" i="2" s="1"/>
  <c r="Z353" i="2" s="1"/>
  <c r="AA353" i="2" s="1"/>
  <c r="AB353" i="2" s="1"/>
  <c r="AC353" i="2" s="1"/>
  <c r="AD353" i="2" s="1"/>
  <c r="AE353" i="2" s="1"/>
  <c r="AF353" i="2" s="1"/>
  <c r="AG353" i="2" s="1"/>
  <c r="AH353" i="2" s="1"/>
  <c r="AI353" i="2" s="1"/>
  <c r="AJ353" i="2" s="1"/>
  <c r="AK353" i="2" s="1"/>
  <c r="AL353" i="2" s="1"/>
  <c r="AM353" i="2" s="1"/>
  <c r="AN353" i="2" s="1"/>
  <c r="AO353" i="2" s="1"/>
  <c r="AP353" i="2" s="1"/>
  <c r="AQ353" i="2" s="1"/>
  <c r="AR353" i="2" s="1"/>
  <c r="AS353" i="2" s="1"/>
  <c r="AT353" i="2" s="1"/>
  <c r="AU353" i="2" s="1"/>
  <c r="AV353" i="2" s="1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D350" i="2"/>
  <c r="B349" i="2"/>
  <c r="D348" i="2"/>
  <c r="B347" i="2"/>
  <c r="D346" i="2"/>
  <c r="D345" i="2"/>
  <c r="B344" i="2"/>
  <c r="D343" i="2"/>
  <c r="B342" i="2"/>
  <c r="D341" i="2"/>
  <c r="B340" i="2"/>
  <c r="D339" i="2"/>
  <c r="D338" i="2"/>
  <c r="A363" i="2"/>
  <c r="A362" i="2"/>
  <c r="A361" i="2"/>
  <c r="A360" i="2"/>
  <c r="A359" i="2"/>
  <c r="D382" i="2"/>
  <c r="D381" i="2"/>
  <c r="H379" i="2"/>
  <c r="I379" i="2" s="1"/>
  <c r="J379" i="2" s="1"/>
  <c r="K379" i="2" s="1"/>
  <c r="L379" i="2" s="1"/>
  <c r="M379" i="2" s="1"/>
  <c r="N379" i="2" s="1"/>
  <c r="O379" i="2" s="1"/>
  <c r="P379" i="2" s="1"/>
  <c r="Q379" i="2" s="1"/>
  <c r="R379" i="2" s="1"/>
  <c r="S379" i="2" s="1"/>
  <c r="T379" i="2" s="1"/>
  <c r="U379" i="2" s="1"/>
  <c r="V379" i="2" s="1"/>
  <c r="W379" i="2" s="1"/>
  <c r="X379" i="2" s="1"/>
  <c r="Y379" i="2" s="1"/>
  <c r="Z379" i="2" s="1"/>
  <c r="AA379" i="2" s="1"/>
  <c r="AB379" i="2" s="1"/>
  <c r="AC379" i="2" s="1"/>
  <c r="AD379" i="2" s="1"/>
  <c r="AE379" i="2" s="1"/>
  <c r="AF379" i="2" s="1"/>
  <c r="AG379" i="2" s="1"/>
  <c r="AH379" i="2" s="1"/>
  <c r="AI379" i="2" s="1"/>
  <c r="AJ379" i="2" s="1"/>
  <c r="AK379" i="2" s="1"/>
  <c r="AL379" i="2" s="1"/>
  <c r="AM379" i="2" s="1"/>
  <c r="AN379" i="2" s="1"/>
  <c r="AO379" i="2" s="1"/>
  <c r="AP379" i="2" s="1"/>
  <c r="AQ379" i="2" s="1"/>
  <c r="AR379" i="2" s="1"/>
  <c r="AS379" i="2" s="1"/>
  <c r="AT379" i="2" s="1"/>
  <c r="AU379" i="2" s="1"/>
  <c r="AV379" i="2" s="1"/>
  <c r="G378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D376" i="2"/>
  <c r="B375" i="2"/>
  <c r="D374" i="2"/>
  <c r="B373" i="2"/>
  <c r="D372" i="2"/>
  <c r="D371" i="2"/>
  <c r="B370" i="2"/>
  <c r="D369" i="2"/>
  <c r="B368" i="2"/>
  <c r="D367" i="2"/>
  <c r="B366" i="2"/>
  <c r="D365" i="2"/>
  <c r="D364" i="2"/>
  <c r="N469" i="2"/>
  <c r="O469" i="2" s="1"/>
  <c r="P469" i="2" s="1"/>
  <c r="Q469" i="2" s="1"/>
  <c r="R469" i="2" s="1"/>
  <c r="S469" i="2" s="1"/>
  <c r="T469" i="2" s="1"/>
  <c r="U469" i="2" s="1"/>
  <c r="V469" i="2" s="1"/>
  <c r="W469" i="2" s="1"/>
  <c r="X469" i="2" s="1"/>
  <c r="Y469" i="2" s="1"/>
  <c r="Z469" i="2" s="1"/>
  <c r="AA469" i="2" s="1"/>
  <c r="AB469" i="2" s="1"/>
  <c r="AC469" i="2" s="1"/>
  <c r="AD469" i="2" s="1"/>
  <c r="AE469" i="2" s="1"/>
  <c r="AF469" i="2" s="1"/>
  <c r="AG469" i="2" s="1"/>
  <c r="AH469" i="2" s="1"/>
  <c r="AI469" i="2" s="1"/>
  <c r="AJ469" i="2" s="1"/>
  <c r="AK469" i="2" s="1"/>
  <c r="AL469" i="2" s="1"/>
  <c r="AM469" i="2" s="1"/>
  <c r="AN469" i="2" s="1"/>
  <c r="AO469" i="2" s="1"/>
  <c r="AP469" i="2" s="1"/>
  <c r="AQ469" i="2" s="1"/>
  <c r="AR469" i="2" s="1"/>
  <c r="AS469" i="2" s="1"/>
  <c r="AT469" i="2" s="1"/>
  <c r="AU469" i="2" s="1"/>
  <c r="AV469" i="2" s="1"/>
  <c r="K469" i="2"/>
  <c r="L469" i="2" s="1"/>
  <c r="J469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D472" i="2"/>
  <c r="D471" i="2"/>
  <c r="D869" i="2"/>
  <c r="D867" i="2"/>
  <c r="H821" i="2"/>
  <c r="I821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X821" i="2"/>
  <c r="Y821" i="2"/>
  <c r="Z821" i="2"/>
  <c r="AA821" i="2"/>
  <c r="AB821" i="2"/>
  <c r="AC821" i="2"/>
  <c r="AD821" i="2"/>
  <c r="AE821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U819" i="2" s="1"/>
  <c r="AV821" i="2"/>
  <c r="H820" i="2"/>
  <c r="I820" i="2"/>
  <c r="J820" i="2"/>
  <c r="K820" i="2"/>
  <c r="L820" i="2"/>
  <c r="M820" i="2"/>
  <c r="N820" i="2"/>
  <c r="O820" i="2"/>
  <c r="P820" i="2"/>
  <c r="Q820" i="2"/>
  <c r="Q819" i="2" s="1"/>
  <c r="R820" i="2"/>
  <c r="R819" i="2" s="1"/>
  <c r="S820" i="2"/>
  <c r="T820" i="2"/>
  <c r="U820" i="2"/>
  <c r="U819" i="2" s="1"/>
  <c r="V820" i="2"/>
  <c r="W820" i="2"/>
  <c r="X820" i="2"/>
  <c r="Y820" i="2"/>
  <c r="Z820" i="2"/>
  <c r="Z819" i="2" s="1"/>
  <c r="AA820" i="2"/>
  <c r="AB820" i="2"/>
  <c r="AC820" i="2"/>
  <c r="AD820" i="2"/>
  <c r="AD819" i="2" s="1"/>
  <c r="AE820" i="2"/>
  <c r="AF820" i="2"/>
  <c r="AG820" i="2"/>
  <c r="AH820" i="2"/>
  <c r="AH819" i="2" s="1"/>
  <c r="AI820" i="2"/>
  <c r="AI819" i="2" s="1"/>
  <c r="AJ820" i="2"/>
  <c r="AK820" i="2"/>
  <c r="AL820" i="2"/>
  <c r="AM820" i="2"/>
  <c r="AN820" i="2"/>
  <c r="AO820" i="2"/>
  <c r="AO819" i="2" s="1"/>
  <c r="AP820" i="2"/>
  <c r="AP819" i="2" s="1"/>
  <c r="AQ820" i="2"/>
  <c r="AR820" i="2"/>
  <c r="AS820" i="2"/>
  <c r="AT820" i="2"/>
  <c r="AU820" i="2"/>
  <c r="AV820" i="2"/>
  <c r="G801" i="2"/>
  <c r="H801" i="2"/>
  <c r="I801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AC801" i="2"/>
  <c r="AD801" i="2"/>
  <c r="AE801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V766" i="2"/>
  <c r="AU766" i="2"/>
  <c r="AT766" i="2"/>
  <c r="AS766" i="2"/>
  <c r="AR766" i="2"/>
  <c r="AQ766" i="2"/>
  <c r="AP766" i="2"/>
  <c r="AO766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AV765" i="2"/>
  <c r="AU765" i="2"/>
  <c r="AT765" i="2"/>
  <c r="AS765" i="2"/>
  <c r="AR765" i="2"/>
  <c r="AQ765" i="2"/>
  <c r="AP765" i="2"/>
  <c r="AO765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AX751" i="2"/>
  <c r="G750" i="2"/>
  <c r="G767" i="2" s="1"/>
  <c r="AV749" i="2"/>
  <c r="AU749" i="2"/>
  <c r="AT749" i="2"/>
  <c r="AS749" i="2"/>
  <c r="AR749" i="2"/>
  <c r="AQ749" i="2"/>
  <c r="AP749" i="2"/>
  <c r="AO749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K756" i="2" s="1"/>
  <c r="J749" i="2"/>
  <c r="I749" i="2"/>
  <c r="H749" i="2"/>
  <c r="G749" i="2"/>
  <c r="D749" i="2"/>
  <c r="B749" i="2"/>
  <c r="D744" i="2"/>
  <c r="D743" i="2"/>
  <c r="B753" i="2" s="1"/>
  <c r="G753" i="2" s="1"/>
  <c r="AX742" i="2"/>
  <c r="B742" i="2" s="1"/>
  <c r="D742" i="2"/>
  <c r="AC752" i="2" s="1"/>
  <c r="AV738" i="2"/>
  <c r="AU738" i="2"/>
  <c r="AT738" i="2"/>
  <c r="AS738" i="2"/>
  <c r="AR738" i="2"/>
  <c r="AQ738" i="2"/>
  <c r="AP738" i="2"/>
  <c r="AO738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AV737" i="2"/>
  <c r="AU737" i="2"/>
  <c r="AT737" i="2"/>
  <c r="AS737" i="2"/>
  <c r="AR737" i="2"/>
  <c r="AQ737" i="2"/>
  <c r="AP737" i="2"/>
  <c r="AO737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AX723" i="2"/>
  <c r="G722" i="2"/>
  <c r="G739" i="2" s="1"/>
  <c r="AV721" i="2"/>
  <c r="AU721" i="2"/>
  <c r="AT721" i="2"/>
  <c r="AS721" i="2"/>
  <c r="AR721" i="2"/>
  <c r="AQ721" i="2"/>
  <c r="AP721" i="2"/>
  <c r="AO721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D721" i="2"/>
  <c r="B721" i="2"/>
  <c r="D716" i="2"/>
  <c r="D715" i="2"/>
  <c r="B725" i="2" s="1"/>
  <c r="G725" i="2" s="1"/>
  <c r="AX714" i="2"/>
  <c r="B714" i="2" s="1"/>
  <c r="D714" i="2"/>
  <c r="AB724" i="2" s="1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AC786" i="2"/>
  <c r="AD786" i="2"/>
  <c r="AE786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V707" i="2"/>
  <c r="AV788" i="2" s="1"/>
  <c r="AU707" i="2"/>
  <c r="AU788" i="2" s="1"/>
  <c r="AT707" i="2"/>
  <c r="AT788" i="2" s="1"/>
  <c r="AS707" i="2"/>
  <c r="AS788" i="2" s="1"/>
  <c r="AR707" i="2"/>
  <c r="AR788" i="2" s="1"/>
  <c r="AQ707" i="2"/>
  <c r="AQ788" i="2" s="1"/>
  <c r="AP707" i="2"/>
  <c r="AP788" i="2" s="1"/>
  <c r="AO707" i="2"/>
  <c r="AO788" i="2" s="1"/>
  <c r="AN707" i="2"/>
  <c r="AN788" i="2" s="1"/>
  <c r="AM707" i="2"/>
  <c r="AM788" i="2" s="1"/>
  <c r="AL707" i="2"/>
  <c r="AL788" i="2" s="1"/>
  <c r="AK707" i="2"/>
  <c r="AK788" i="2" s="1"/>
  <c r="AJ707" i="2"/>
  <c r="AJ788" i="2" s="1"/>
  <c r="AI707" i="2"/>
  <c r="AI788" i="2" s="1"/>
  <c r="AH707" i="2"/>
  <c r="AH788" i="2" s="1"/>
  <c r="AG707" i="2"/>
  <c r="AG788" i="2" s="1"/>
  <c r="AF707" i="2"/>
  <c r="AF788" i="2" s="1"/>
  <c r="AE707" i="2"/>
  <c r="AE788" i="2" s="1"/>
  <c r="AD707" i="2"/>
  <c r="AD788" i="2" s="1"/>
  <c r="AC707" i="2"/>
  <c r="AC788" i="2" s="1"/>
  <c r="AB707" i="2"/>
  <c r="AB788" i="2" s="1"/>
  <c r="AA707" i="2"/>
  <c r="AA788" i="2" s="1"/>
  <c r="Z707" i="2"/>
  <c r="Z788" i="2" s="1"/>
  <c r="Y707" i="2"/>
  <c r="Y788" i="2" s="1"/>
  <c r="X707" i="2"/>
  <c r="X788" i="2" s="1"/>
  <c r="W707" i="2"/>
  <c r="W788" i="2" s="1"/>
  <c r="V707" i="2"/>
  <c r="V788" i="2" s="1"/>
  <c r="U707" i="2"/>
  <c r="U788" i="2" s="1"/>
  <c r="T707" i="2"/>
  <c r="T788" i="2" s="1"/>
  <c r="S707" i="2"/>
  <c r="S788" i="2" s="1"/>
  <c r="R707" i="2"/>
  <c r="R788" i="2" s="1"/>
  <c r="Q707" i="2"/>
  <c r="Q788" i="2" s="1"/>
  <c r="P707" i="2"/>
  <c r="P788" i="2" s="1"/>
  <c r="O707" i="2"/>
  <c r="O788" i="2" s="1"/>
  <c r="N707" i="2"/>
  <c r="N788" i="2" s="1"/>
  <c r="M707" i="2"/>
  <c r="M788" i="2" s="1"/>
  <c r="L707" i="2"/>
  <c r="L788" i="2" s="1"/>
  <c r="K707" i="2"/>
  <c r="K788" i="2" s="1"/>
  <c r="J707" i="2"/>
  <c r="J788" i="2" s="1"/>
  <c r="I707" i="2"/>
  <c r="I788" i="2" s="1"/>
  <c r="H707" i="2"/>
  <c r="H788" i="2" s="1"/>
  <c r="G707" i="2"/>
  <c r="G788" i="2" s="1"/>
  <c r="AV706" i="2"/>
  <c r="AV787" i="2" s="1"/>
  <c r="AU706" i="2"/>
  <c r="AU787" i="2" s="1"/>
  <c r="AT706" i="2"/>
  <c r="AT787" i="2" s="1"/>
  <c r="AS706" i="2"/>
  <c r="AS787" i="2" s="1"/>
  <c r="AR706" i="2"/>
  <c r="AR787" i="2" s="1"/>
  <c r="AQ706" i="2"/>
  <c r="AQ787" i="2" s="1"/>
  <c r="AP706" i="2"/>
  <c r="AP787" i="2" s="1"/>
  <c r="AO706" i="2"/>
  <c r="AO787" i="2" s="1"/>
  <c r="AN706" i="2"/>
  <c r="AN787" i="2" s="1"/>
  <c r="AM706" i="2"/>
  <c r="AM787" i="2" s="1"/>
  <c r="AL706" i="2"/>
  <c r="AL787" i="2" s="1"/>
  <c r="AK706" i="2"/>
  <c r="AK787" i="2" s="1"/>
  <c r="AJ706" i="2"/>
  <c r="AJ787" i="2" s="1"/>
  <c r="AI706" i="2"/>
  <c r="AI787" i="2" s="1"/>
  <c r="AH706" i="2"/>
  <c r="AH787" i="2" s="1"/>
  <c r="AG706" i="2"/>
  <c r="AG787" i="2" s="1"/>
  <c r="AF706" i="2"/>
  <c r="AF787" i="2" s="1"/>
  <c r="AE706" i="2"/>
  <c r="AE787" i="2" s="1"/>
  <c r="AD706" i="2"/>
  <c r="AD787" i="2" s="1"/>
  <c r="AC706" i="2"/>
  <c r="AC787" i="2" s="1"/>
  <c r="AB706" i="2"/>
  <c r="AB787" i="2" s="1"/>
  <c r="AA706" i="2"/>
  <c r="AA787" i="2" s="1"/>
  <c r="Z706" i="2"/>
  <c r="Z787" i="2" s="1"/>
  <c r="Y706" i="2"/>
  <c r="Y787" i="2" s="1"/>
  <c r="X706" i="2"/>
  <c r="X787" i="2" s="1"/>
  <c r="W706" i="2"/>
  <c r="W787" i="2" s="1"/>
  <c r="V706" i="2"/>
  <c r="V787" i="2" s="1"/>
  <c r="U706" i="2"/>
  <c r="U787" i="2" s="1"/>
  <c r="T706" i="2"/>
  <c r="T787" i="2" s="1"/>
  <c r="S706" i="2"/>
  <c r="S787" i="2" s="1"/>
  <c r="R706" i="2"/>
  <c r="R787" i="2" s="1"/>
  <c r="Q706" i="2"/>
  <c r="Q787" i="2" s="1"/>
  <c r="P706" i="2"/>
  <c r="P787" i="2" s="1"/>
  <c r="O706" i="2"/>
  <c r="O787" i="2" s="1"/>
  <c r="N706" i="2"/>
  <c r="N787" i="2" s="1"/>
  <c r="M706" i="2"/>
  <c r="M787" i="2" s="1"/>
  <c r="L706" i="2"/>
  <c r="L787" i="2" s="1"/>
  <c r="K706" i="2"/>
  <c r="K787" i="2" s="1"/>
  <c r="J706" i="2"/>
  <c r="J787" i="2" s="1"/>
  <c r="I706" i="2"/>
  <c r="I787" i="2" s="1"/>
  <c r="H706" i="2"/>
  <c r="H787" i="2" s="1"/>
  <c r="G706" i="2"/>
  <c r="G787" i="2" s="1"/>
  <c r="AX693" i="2"/>
  <c r="G692" i="2"/>
  <c r="G708" i="2" s="1"/>
  <c r="G789" i="2" s="1"/>
  <c r="D689" i="2"/>
  <c r="D688" i="2"/>
  <c r="AX687" i="2"/>
  <c r="B687" i="2" s="1"/>
  <c r="D687" i="2"/>
  <c r="P694" i="2" s="1"/>
  <c r="AD303" i="2"/>
  <c r="AL303" i="2"/>
  <c r="AS285" i="2"/>
  <c r="T267" i="2"/>
  <c r="AK267" i="2"/>
  <c r="AL267" i="2"/>
  <c r="D318" i="2"/>
  <c r="D317" i="2"/>
  <c r="D316" i="2"/>
  <c r="H314" i="2"/>
  <c r="I314" i="2" s="1"/>
  <c r="J314" i="2" s="1"/>
  <c r="K314" i="2" s="1"/>
  <c r="L314" i="2" s="1"/>
  <c r="M314" i="2" s="1"/>
  <c r="N314" i="2" s="1"/>
  <c r="O314" i="2" s="1"/>
  <c r="P314" i="2" s="1"/>
  <c r="Q314" i="2" s="1"/>
  <c r="R314" i="2" s="1"/>
  <c r="S314" i="2" s="1"/>
  <c r="T314" i="2" s="1"/>
  <c r="U314" i="2" s="1"/>
  <c r="V314" i="2" s="1"/>
  <c r="W314" i="2" s="1"/>
  <c r="X314" i="2" s="1"/>
  <c r="Y314" i="2" s="1"/>
  <c r="Z314" i="2" s="1"/>
  <c r="AA314" i="2" s="1"/>
  <c r="AB314" i="2" s="1"/>
  <c r="AC314" i="2" s="1"/>
  <c r="AD314" i="2" s="1"/>
  <c r="AE314" i="2" s="1"/>
  <c r="AF314" i="2" s="1"/>
  <c r="AG314" i="2" s="1"/>
  <c r="AH314" i="2" s="1"/>
  <c r="AI314" i="2" s="1"/>
  <c r="AJ314" i="2" s="1"/>
  <c r="AK314" i="2" s="1"/>
  <c r="AL314" i="2" s="1"/>
  <c r="AM314" i="2" s="1"/>
  <c r="AN314" i="2" s="1"/>
  <c r="AO314" i="2" s="1"/>
  <c r="AP314" i="2" s="1"/>
  <c r="AQ314" i="2" s="1"/>
  <c r="AR314" i="2" s="1"/>
  <c r="AS314" i="2" s="1"/>
  <c r="AT314" i="2" s="1"/>
  <c r="AU314" i="2" s="1"/>
  <c r="AV314" i="2" s="1"/>
  <c r="H313" i="2"/>
  <c r="I313" i="2" s="1"/>
  <c r="J313" i="2" s="1"/>
  <c r="K313" i="2" s="1"/>
  <c r="L313" i="2" s="1"/>
  <c r="M313" i="2" s="1"/>
  <c r="N313" i="2" s="1"/>
  <c r="O313" i="2" s="1"/>
  <c r="P313" i="2" s="1"/>
  <c r="Q313" i="2" s="1"/>
  <c r="R313" i="2" s="1"/>
  <c r="S313" i="2" s="1"/>
  <c r="T313" i="2" s="1"/>
  <c r="U313" i="2" s="1"/>
  <c r="V313" i="2" s="1"/>
  <c r="W313" i="2" s="1"/>
  <c r="X313" i="2" s="1"/>
  <c r="Y313" i="2" s="1"/>
  <c r="Z313" i="2" s="1"/>
  <c r="AA313" i="2" s="1"/>
  <c r="AB313" i="2" s="1"/>
  <c r="AC313" i="2" s="1"/>
  <c r="AD313" i="2" s="1"/>
  <c r="AE313" i="2" s="1"/>
  <c r="AF313" i="2" s="1"/>
  <c r="AG313" i="2" s="1"/>
  <c r="AH313" i="2" s="1"/>
  <c r="AI313" i="2" s="1"/>
  <c r="AJ313" i="2" s="1"/>
  <c r="AK313" i="2" s="1"/>
  <c r="AL313" i="2" s="1"/>
  <c r="AM313" i="2" s="1"/>
  <c r="AN313" i="2" s="1"/>
  <c r="AO313" i="2" s="1"/>
  <c r="AP313" i="2" s="1"/>
  <c r="AQ313" i="2" s="1"/>
  <c r="AR313" i="2" s="1"/>
  <c r="AS313" i="2" s="1"/>
  <c r="AT313" i="2" s="1"/>
  <c r="AU313" i="2" s="1"/>
  <c r="AV313" i="2" s="1"/>
  <c r="D313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D310" i="2"/>
  <c r="B309" i="2"/>
  <c r="D308" i="2"/>
  <c r="B307" i="2"/>
  <c r="D306" i="2"/>
  <c r="D305" i="2"/>
  <c r="D300" i="2"/>
  <c r="D299" i="2"/>
  <c r="D298" i="2"/>
  <c r="H296" i="2"/>
  <c r="I296" i="2" s="1"/>
  <c r="J296" i="2" s="1"/>
  <c r="K296" i="2" s="1"/>
  <c r="L296" i="2" s="1"/>
  <c r="M296" i="2" s="1"/>
  <c r="N296" i="2" s="1"/>
  <c r="O296" i="2" s="1"/>
  <c r="P296" i="2" s="1"/>
  <c r="Q296" i="2" s="1"/>
  <c r="R296" i="2" s="1"/>
  <c r="S296" i="2" s="1"/>
  <c r="T296" i="2" s="1"/>
  <c r="U296" i="2" s="1"/>
  <c r="V296" i="2" s="1"/>
  <c r="W296" i="2" s="1"/>
  <c r="X296" i="2" s="1"/>
  <c r="Y296" i="2" s="1"/>
  <c r="Z296" i="2" s="1"/>
  <c r="AA296" i="2" s="1"/>
  <c r="AB296" i="2" s="1"/>
  <c r="AC296" i="2" s="1"/>
  <c r="AD296" i="2" s="1"/>
  <c r="AE296" i="2" s="1"/>
  <c r="AF296" i="2" s="1"/>
  <c r="AG296" i="2" s="1"/>
  <c r="AH296" i="2" s="1"/>
  <c r="AI296" i="2" s="1"/>
  <c r="AJ296" i="2" s="1"/>
  <c r="AK296" i="2" s="1"/>
  <c r="AL296" i="2" s="1"/>
  <c r="AM296" i="2" s="1"/>
  <c r="AN296" i="2" s="1"/>
  <c r="AO296" i="2" s="1"/>
  <c r="AP296" i="2" s="1"/>
  <c r="AQ296" i="2" s="1"/>
  <c r="AR296" i="2" s="1"/>
  <c r="AS296" i="2" s="1"/>
  <c r="AT296" i="2" s="1"/>
  <c r="AU296" i="2" s="1"/>
  <c r="AV296" i="2" s="1"/>
  <c r="H295" i="2"/>
  <c r="I295" i="2" s="1"/>
  <c r="J295" i="2" s="1"/>
  <c r="K295" i="2" s="1"/>
  <c r="L295" i="2" s="1"/>
  <c r="M295" i="2" s="1"/>
  <c r="N295" i="2" s="1"/>
  <c r="O295" i="2" s="1"/>
  <c r="P295" i="2" s="1"/>
  <c r="Q295" i="2" s="1"/>
  <c r="R295" i="2" s="1"/>
  <c r="S295" i="2" s="1"/>
  <c r="T295" i="2" s="1"/>
  <c r="U295" i="2" s="1"/>
  <c r="V295" i="2" s="1"/>
  <c r="W295" i="2" s="1"/>
  <c r="X295" i="2" s="1"/>
  <c r="Y295" i="2" s="1"/>
  <c r="Z295" i="2" s="1"/>
  <c r="AA295" i="2" s="1"/>
  <c r="AB295" i="2" s="1"/>
  <c r="AC295" i="2" s="1"/>
  <c r="AD295" i="2" s="1"/>
  <c r="AE295" i="2" s="1"/>
  <c r="AF295" i="2" s="1"/>
  <c r="AG295" i="2" s="1"/>
  <c r="AH295" i="2" s="1"/>
  <c r="AI295" i="2" s="1"/>
  <c r="AJ295" i="2" s="1"/>
  <c r="AK295" i="2" s="1"/>
  <c r="AL295" i="2" s="1"/>
  <c r="AM295" i="2" s="1"/>
  <c r="AN295" i="2" s="1"/>
  <c r="AO295" i="2" s="1"/>
  <c r="AP295" i="2" s="1"/>
  <c r="AQ295" i="2" s="1"/>
  <c r="AR295" i="2" s="1"/>
  <c r="AS295" i="2" s="1"/>
  <c r="AT295" i="2" s="1"/>
  <c r="AU295" i="2" s="1"/>
  <c r="AV295" i="2" s="1"/>
  <c r="D295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D292" i="2"/>
  <c r="B291" i="2"/>
  <c r="D290" i="2"/>
  <c r="B289" i="2"/>
  <c r="D288" i="2"/>
  <c r="D287" i="2"/>
  <c r="D282" i="2"/>
  <c r="D281" i="2"/>
  <c r="D280" i="2"/>
  <c r="H278" i="2"/>
  <c r="I278" i="2" s="1"/>
  <c r="J278" i="2" s="1"/>
  <c r="K278" i="2" s="1"/>
  <c r="L278" i="2" s="1"/>
  <c r="M278" i="2" s="1"/>
  <c r="N278" i="2" s="1"/>
  <c r="O278" i="2" s="1"/>
  <c r="P278" i="2" s="1"/>
  <c r="Q278" i="2" s="1"/>
  <c r="R278" i="2" s="1"/>
  <c r="S278" i="2" s="1"/>
  <c r="T278" i="2" s="1"/>
  <c r="U278" i="2" s="1"/>
  <c r="V278" i="2" s="1"/>
  <c r="W278" i="2" s="1"/>
  <c r="X278" i="2" s="1"/>
  <c r="Y278" i="2" s="1"/>
  <c r="Z278" i="2" s="1"/>
  <c r="AA278" i="2" s="1"/>
  <c r="AB278" i="2" s="1"/>
  <c r="AC278" i="2" s="1"/>
  <c r="AD278" i="2" s="1"/>
  <c r="AE278" i="2" s="1"/>
  <c r="AF278" i="2" s="1"/>
  <c r="AG278" i="2" s="1"/>
  <c r="AH278" i="2" s="1"/>
  <c r="AI278" i="2" s="1"/>
  <c r="AJ278" i="2" s="1"/>
  <c r="AK278" i="2" s="1"/>
  <c r="AL278" i="2" s="1"/>
  <c r="AM278" i="2" s="1"/>
  <c r="AN278" i="2" s="1"/>
  <c r="AO278" i="2" s="1"/>
  <c r="AP278" i="2" s="1"/>
  <c r="AQ278" i="2" s="1"/>
  <c r="AR278" i="2" s="1"/>
  <c r="AS278" i="2" s="1"/>
  <c r="AT278" i="2" s="1"/>
  <c r="AU278" i="2" s="1"/>
  <c r="AV278" i="2" s="1"/>
  <c r="H277" i="2"/>
  <c r="I277" i="2" s="1"/>
  <c r="J277" i="2" s="1"/>
  <c r="K277" i="2" s="1"/>
  <c r="L277" i="2" s="1"/>
  <c r="M277" i="2" s="1"/>
  <c r="N277" i="2" s="1"/>
  <c r="O277" i="2" s="1"/>
  <c r="P277" i="2" s="1"/>
  <c r="Q277" i="2" s="1"/>
  <c r="R277" i="2" s="1"/>
  <c r="S277" i="2" s="1"/>
  <c r="T277" i="2" s="1"/>
  <c r="U277" i="2" s="1"/>
  <c r="V277" i="2" s="1"/>
  <c r="W277" i="2" s="1"/>
  <c r="X277" i="2" s="1"/>
  <c r="Y277" i="2" s="1"/>
  <c r="Z277" i="2" s="1"/>
  <c r="AA277" i="2" s="1"/>
  <c r="AB277" i="2" s="1"/>
  <c r="AC277" i="2" s="1"/>
  <c r="AD277" i="2" s="1"/>
  <c r="AE277" i="2" s="1"/>
  <c r="AF277" i="2" s="1"/>
  <c r="AG277" i="2" s="1"/>
  <c r="AH277" i="2" s="1"/>
  <c r="AI277" i="2" s="1"/>
  <c r="AJ277" i="2" s="1"/>
  <c r="AK277" i="2" s="1"/>
  <c r="AL277" i="2" s="1"/>
  <c r="AM277" i="2" s="1"/>
  <c r="AN277" i="2" s="1"/>
  <c r="AO277" i="2" s="1"/>
  <c r="AP277" i="2" s="1"/>
  <c r="AQ277" i="2" s="1"/>
  <c r="AR277" i="2" s="1"/>
  <c r="AS277" i="2" s="1"/>
  <c r="AT277" i="2" s="1"/>
  <c r="AU277" i="2" s="1"/>
  <c r="AV277" i="2" s="1"/>
  <c r="D277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D274" i="2"/>
  <c r="B273" i="2"/>
  <c r="D272" i="2"/>
  <c r="B271" i="2"/>
  <c r="D270" i="2"/>
  <c r="D269" i="2"/>
  <c r="D263" i="2"/>
  <c r="D262" i="2"/>
  <c r="D261" i="2"/>
  <c r="H259" i="2"/>
  <c r="I259" i="2" s="1"/>
  <c r="J259" i="2" s="1"/>
  <c r="K259" i="2" s="1"/>
  <c r="L259" i="2" s="1"/>
  <c r="M259" i="2" s="1"/>
  <c r="N259" i="2" s="1"/>
  <c r="O259" i="2" s="1"/>
  <c r="P259" i="2" s="1"/>
  <c r="Q259" i="2" s="1"/>
  <c r="R259" i="2" s="1"/>
  <c r="S259" i="2" s="1"/>
  <c r="T259" i="2" s="1"/>
  <c r="U259" i="2" s="1"/>
  <c r="V259" i="2" s="1"/>
  <c r="W259" i="2" s="1"/>
  <c r="X259" i="2" s="1"/>
  <c r="Y259" i="2" s="1"/>
  <c r="Z259" i="2" s="1"/>
  <c r="AA259" i="2" s="1"/>
  <c r="AB259" i="2" s="1"/>
  <c r="AC259" i="2" s="1"/>
  <c r="AD259" i="2" s="1"/>
  <c r="AE259" i="2" s="1"/>
  <c r="AF259" i="2" s="1"/>
  <c r="AG259" i="2" s="1"/>
  <c r="AH259" i="2" s="1"/>
  <c r="AI259" i="2" s="1"/>
  <c r="AJ259" i="2" s="1"/>
  <c r="AK259" i="2" s="1"/>
  <c r="AL259" i="2" s="1"/>
  <c r="AM259" i="2" s="1"/>
  <c r="AN259" i="2" s="1"/>
  <c r="AO259" i="2" s="1"/>
  <c r="AP259" i="2" s="1"/>
  <c r="AQ259" i="2" s="1"/>
  <c r="AR259" i="2" s="1"/>
  <c r="AS259" i="2" s="1"/>
  <c r="AT259" i="2" s="1"/>
  <c r="AU259" i="2" s="1"/>
  <c r="AV259" i="2" s="1"/>
  <c r="H258" i="2"/>
  <c r="I258" i="2" s="1"/>
  <c r="J258" i="2" s="1"/>
  <c r="K258" i="2" s="1"/>
  <c r="L258" i="2" s="1"/>
  <c r="M258" i="2" s="1"/>
  <c r="N258" i="2" s="1"/>
  <c r="O258" i="2" s="1"/>
  <c r="P258" i="2" s="1"/>
  <c r="Q258" i="2" s="1"/>
  <c r="R258" i="2" s="1"/>
  <c r="S258" i="2" s="1"/>
  <c r="T258" i="2" s="1"/>
  <c r="U258" i="2" s="1"/>
  <c r="V258" i="2" s="1"/>
  <c r="W258" i="2" s="1"/>
  <c r="X258" i="2" s="1"/>
  <c r="Y258" i="2" s="1"/>
  <c r="Z258" i="2" s="1"/>
  <c r="AA258" i="2" s="1"/>
  <c r="AB258" i="2" s="1"/>
  <c r="AC258" i="2" s="1"/>
  <c r="AD258" i="2" s="1"/>
  <c r="AE258" i="2" s="1"/>
  <c r="AF258" i="2" s="1"/>
  <c r="AG258" i="2" s="1"/>
  <c r="AH258" i="2" s="1"/>
  <c r="AI258" i="2" s="1"/>
  <c r="AJ258" i="2" s="1"/>
  <c r="AK258" i="2" s="1"/>
  <c r="AL258" i="2" s="1"/>
  <c r="AM258" i="2" s="1"/>
  <c r="AN258" i="2" s="1"/>
  <c r="AO258" i="2" s="1"/>
  <c r="AP258" i="2" s="1"/>
  <c r="AQ258" i="2" s="1"/>
  <c r="AR258" i="2" s="1"/>
  <c r="AS258" i="2" s="1"/>
  <c r="AT258" i="2" s="1"/>
  <c r="AU258" i="2" s="1"/>
  <c r="AV258" i="2" s="1"/>
  <c r="D258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D255" i="2"/>
  <c r="B254" i="2"/>
  <c r="D253" i="2"/>
  <c r="B252" i="2"/>
  <c r="D251" i="2"/>
  <c r="D250" i="2"/>
  <c r="D245" i="2"/>
  <c r="D244" i="2"/>
  <c r="D243" i="2"/>
  <c r="H241" i="2"/>
  <c r="I241" i="2" s="1"/>
  <c r="J241" i="2" s="1"/>
  <c r="K241" i="2" s="1"/>
  <c r="L241" i="2" s="1"/>
  <c r="M241" i="2" s="1"/>
  <c r="N241" i="2" s="1"/>
  <c r="O241" i="2" s="1"/>
  <c r="P241" i="2" s="1"/>
  <c r="Q241" i="2" s="1"/>
  <c r="R241" i="2" s="1"/>
  <c r="S241" i="2" s="1"/>
  <c r="T241" i="2" s="1"/>
  <c r="U241" i="2" s="1"/>
  <c r="V241" i="2" s="1"/>
  <c r="W241" i="2" s="1"/>
  <c r="X241" i="2" s="1"/>
  <c r="Y241" i="2" s="1"/>
  <c r="Z241" i="2" s="1"/>
  <c r="AA241" i="2" s="1"/>
  <c r="AB241" i="2" s="1"/>
  <c r="AC241" i="2" s="1"/>
  <c r="AD241" i="2" s="1"/>
  <c r="AE241" i="2" s="1"/>
  <c r="AF241" i="2" s="1"/>
  <c r="AG241" i="2" s="1"/>
  <c r="AH241" i="2" s="1"/>
  <c r="AI241" i="2" s="1"/>
  <c r="AJ241" i="2" s="1"/>
  <c r="AK241" i="2" s="1"/>
  <c r="AL241" i="2" s="1"/>
  <c r="AM241" i="2" s="1"/>
  <c r="AN241" i="2" s="1"/>
  <c r="AO241" i="2" s="1"/>
  <c r="AP241" i="2" s="1"/>
  <c r="AQ241" i="2" s="1"/>
  <c r="AR241" i="2" s="1"/>
  <c r="AS241" i="2" s="1"/>
  <c r="AT241" i="2" s="1"/>
  <c r="AU241" i="2" s="1"/>
  <c r="AV241" i="2" s="1"/>
  <c r="H240" i="2"/>
  <c r="I240" i="2" s="1"/>
  <c r="J240" i="2" s="1"/>
  <c r="K240" i="2" s="1"/>
  <c r="L240" i="2" s="1"/>
  <c r="M240" i="2" s="1"/>
  <c r="N240" i="2" s="1"/>
  <c r="O240" i="2" s="1"/>
  <c r="P240" i="2" s="1"/>
  <c r="Q240" i="2" s="1"/>
  <c r="R240" i="2" s="1"/>
  <c r="S240" i="2" s="1"/>
  <c r="T240" i="2" s="1"/>
  <c r="U240" i="2" s="1"/>
  <c r="V240" i="2" s="1"/>
  <c r="W240" i="2" s="1"/>
  <c r="X240" i="2" s="1"/>
  <c r="Y240" i="2" s="1"/>
  <c r="Z240" i="2" s="1"/>
  <c r="AA240" i="2" s="1"/>
  <c r="AB240" i="2" s="1"/>
  <c r="AC240" i="2" s="1"/>
  <c r="AD240" i="2" s="1"/>
  <c r="AE240" i="2" s="1"/>
  <c r="AF240" i="2" s="1"/>
  <c r="AG240" i="2" s="1"/>
  <c r="AH240" i="2" s="1"/>
  <c r="AI240" i="2" s="1"/>
  <c r="AJ240" i="2" s="1"/>
  <c r="AK240" i="2" s="1"/>
  <c r="AL240" i="2" s="1"/>
  <c r="AM240" i="2" s="1"/>
  <c r="AN240" i="2" s="1"/>
  <c r="AO240" i="2" s="1"/>
  <c r="AP240" i="2" s="1"/>
  <c r="AQ240" i="2" s="1"/>
  <c r="AR240" i="2" s="1"/>
  <c r="AS240" i="2" s="1"/>
  <c r="AT240" i="2" s="1"/>
  <c r="AU240" i="2" s="1"/>
  <c r="AV240" i="2" s="1"/>
  <c r="D240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D237" i="2"/>
  <c r="B236" i="2"/>
  <c r="D235" i="2"/>
  <c r="B234" i="2"/>
  <c r="D233" i="2"/>
  <c r="D232" i="2"/>
  <c r="D227" i="2"/>
  <c r="D226" i="2"/>
  <c r="D225" i="2"/>
  <c r="H223" i="2"/>
  <c r="I223" i="2" s="1"/>
  <c r="J223" i="2" s="1"/>
  <c r="K223" i="2" s="1"/>
  <c r="L223" i="2" s="1"/>
  <c r="M223" i="2" s="1"/>
  <c r="N223" i="2" s="1"/>
  <c r="O223" i="2" s="1"/>
  <c r="P223" i="2" s="1"/>
  <c r="Q223" i="2" s="1"/>
  <c r="R223" i="2" s="1"/>
  <c r="S223" i="2" s="1"/>
  <c r="T223" i="2" s="1"/>
  <c r="U223" i="2" s="1"/>
  <c r="V223" i="2" s="1"/>
  <c r="W223" i="2" s="1"/>
  <c r="X223" i="2" s="1"/>
  <c r="Y223" i="2" s="1"/>
  <c r="Z223" i="2" s="1"/>
  <c r="AA223" i="2" s="1"/>
  <c r="AB223" i="2" s="1"/>
  <c r="AC223" i="2" s="1"/>
  <c r="AD223" i="2" s="1"/>
  <c r="AE223" i="2" s="1"/>
  <c r="AF223" i="2" s="1"/>
  <c r="AG223" i="2" s="1"/>
  <c r="AH223" i="2" s="1"/>
  <c r="AI223" i="2" s="1"/>
  <c r="AJ223" i="2" s="1"/>
  <c r="AK223" i="2" s="1"/>
  <c r="AL223" i="2" s="1"/>
  <c r="AM223" i="2" s="1"/>
  <c r="AN223" i="2" s="1"/>
  <c r="AO223" i="2" s="1"/>
  <c r="AP223" i="2" s="1"/>
  <c r="AQ223" i="2" s="1"/>
  <c r="AR223" i="2" s="1"/>
  <c r="AS223" i="2" s="1"/>
  <c r="AT223" i="2" s="1"/>
  <c r="AU223" i="2" s="1"/>
  <c r="AV223" i="2" s="1"/>
  <c r="H222" i="2"/>
  <c r="I222" i="2" s="1"/>
  <c r="J222" i="2" s="1"/>
  <c r="K222" i="2" s="1"/>
  <c r="L222" i="2" s="1"/>
  <c r="M222" i="2" s="1"/>
  <c r="N222" i="2" s="1"/>
  <c r="O222" i="2" s="1"/>
  <c r="P222" i="2" s="1"/>
  <c r="Q222" i="2" s="1"/>
  <c r="R222" i="2" s="1"/>
  <c r="S222" i="2" s="1"/>
  <c r="T222" i="2" s="1"/>
  <c r="U222" i="2" s="1"/>
  <c r="V222" i="2" s="1"/>
  <c r="W222" i="2" s="1"/>
  <c r="X222" i="2" s="1"/>
  <c r="Y222" i="2" s="1"/>
  <c r="Z222" i="2" s="1"/>
  <c r="AA222" i="2" s="1"/>
  <c r="AB222" i="2" s="1"/>
  <c r="AC222" i="2" s="1"/>
  <c r="AD222" i="2" s="1"/>
  <c r="AE222" i="2" s="1"/>
  <c r="AF222" i="2" s="1"/>
  <c r="AG222" i="2" s="1"/>
  <c r="AH222" i="2" s="1"/>
  <c r="AI222" i="2" s="1"/>
  <c r="AJ222" i="2" s="1"/>
  <c r="AK222" i="2" s="1"/>
  <c r="AL222" i="2" s="1"/>
  <c r="AM222" i="2" s="1"/>
  <c r="AN222" i="2" s="1"/>
  <c r="AO222" i="2" s="1"/>
  <c r="AP222" i="2" s="1"/>
  <c r="AQ222" i="2" s="1"/>
  <c r="AR222" i="2" s="1"/>
  <c r="AS222" i="2" s="1"/>
  <c r="AT222" i="2" s="1"/>
  <c r="AU222" i="2" s="1"/>
  <c r="AV222" i="2" s="1"/>
  <c r="D222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D219" i="2"/>
  <c r="B218" i="2"/>
  <c r="D217" i="2"/>
  <c r="B216" i="2"/>
  <c r="D215" i="2"/>
  <c r="D214" i="2"/>
  <c r="D209" i="2"/>
  <c r="D208" i="2"/>
  <c r="D207" i="2"/>
  <c r="H205" i="2"/>
  <c r="I205" i="2" s="1"/>
  <c r="J205" i="2" s="1"/>
  <c r="K205" i="2" s="1"/>
  <c r="L205" i="2" s="1"/>
  <c r="M205" i="2" s="1"/>
  <c r="N205" i="2" s="1"/>
  <c r="O205" i="2" s="1"/>
  <c r="P205" i="2" s="1"/>
  <c r="Q205" i="2" s="1"/>
  <c r="R205" i="2" s="1"/>
  <c r="S205" i="2" s="1"/>
  <c r="T205" i="2" s="1"/>
  <c r="U205" i="2" s="1"/>
  <c r="V205" i="2" s="1"/>
  <c r="W205" i="2" s="1"/>
  <c r="X205" i="2" s="1"/>
  <c r="Y205" i="2" s="1"/>
  <c r="Z205" i="2" s="1"/>
  <c r="AA205" i="2" s="1"/>
  <c r="AB205" i="2" s="1"/>
  <c r="AC205" i="2" s="1"/>
  <c r="AD205" i="2" s="1"/>
  <c r="AE205" i="2" s="1"/>
  <c r="AF205" i="2" s="1"/>
  <c r="AG205" i="2" s="1"/>
  <c r="AH205" i="2" s="1"/>
  <c r="AI205" i="2" s="1"/>
  <c r="AJ205" i="2" s="1"/>
  <c r="AK205" i="2" s="1"/>
  <c r="AL205" i="2" s="1"/>
  <c r="AM205" i="2" s="1"/>
  <c r="AN205" i="2" s="1"/>
  <c r="AO205" i="2" s="1"/>
  <c r="AP205" i="2" s="1"/>
  <c r="AQ205" i="2" s="1"/>
  <c r="AR205" i="2" s="1"/>
  <c r="AS205" i="2" s="1"/>
  <c r="AT205" i="2" s="1"/>
  <c r="AU205" i="2" s="1"/>
  <c r="AV205" i="2" s="1"/>
  <c r="H204" i="2"/>
  <c r="I204" i="2" s="1"/>
  <c r="J204" i="2" s="1"/>
  <c r="K204" i="2" s="1"/>
  <c r="L204" i="2" s="1"/>
  <c r="M204" i="2" s="1"/>
  <c r="N204" i="2" s="1"/>
  <c r="O204" i="2" s="1"/>
  <c r="P204" i="2" s="1"/>
  <c r="Q204" i="2" s="1"/>
  <c r="R204" i="2" s="1"/>
  <c r="S204" i="2" s="1"/>
  <c r="T204" i="2" s="1"/>
  <c r="U204" i="2" s="1"/>
  <c r="V204" i="2" s="1"/>
  <c r="W204" i="2" s="1"/>
  <c r="X204" i="2" s="1"/>
  <c r="Y204" i="2" s="1"/>
  <c r="Z204" i="2" s="1"/>
  <c r="AA204" i="2" s="1"/>
  <c r="AB204" i="2" s="1"/>
  <c r="AC204" i="2" s="1"/>
  <c r="AD204" i="2" s="1"/>
  <c r="AE204" i="2" s="1"/>
  <c r="AF204" i="2" s="1"/>
  <c r="AG204" i="2" s="1"/>
  <c r="AH204" i="2" s="1"/>
  <c r="AI204" i="2" s="1"/>
  <c r="AJ204" i="2" s="1"/>
  <c r="AK204" i="2" s="1"/>
  <c r="AL204" i="2" s="1"/>
  <c r="AM204" i="2" s="1"/>
  <c r="AN204" i="2" s="1"/>
  <c r="AO204" i="2" s="1"/>
  <c r="AP204" i="2" s="1"/>
  <c r="AQ204" i="2" s="1"/>
  <c r="AR204" i="2" s="1"/>
  <c r="AS204" i="2" s="1"/>
  <c r="AT204" i="2" s="1"/>
  <c r="AU204" i="2" s="1"/>
  <c r="AV204" i="2" s="1"/>
  <c r="D204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D201" i="2"/>
  <c r="B200" i="2"/>
  <c r="D199" i="2"/>
  <c r="B198" i="2"/>
  <c r="D197" i="2"/>
  <c r="D196" i="2"/>
  <c r="D191" i="2"/>
  <c r="D190" i="2"/>
  <c r="D189" i="2"/>
  <c r="H187" i="2"/>
  <c r="I187" i="2" s="1"/>
  <c r="J187" i="2" s="1"/>
  <c r="K187" i="2" s="1"/>
  <c r="L187" i="2" s="1"/>
  <c r="M187" i="2" s="1"/>
  <c r="N187" i="2" s="1"/>
  <c r="O187" i="2" s="1"/>
  <c r="P187" i="2" s="1"/>
  <c r="Q187" i="2" s="1"/>
  <c r="R187" i="2" s="1"/>
  <c r="S187" i="2" s="1"/>
  <c r="T187" i="2" s="1"/>
  <c r="U187" i="2" s="1"/>
  <c r="V187" i="2" s="1"/>
  <c r="W187" i="2" s="1"/>
  <c r="X187" i="2" s="1"/>
  <c r="Y187" i="2" s="1"/>
  <c r="Z187" i="2" s="1"/>
  <c r="AA187" i="2" s="1"/>
  <c r="AB187" i="2" s="1"/>
  <c r="AC187" i="2" s="1"/>
  <c r="AD187" i="2" s="1"/>
  <c r="AE187" i="2" s="1"/>
  <c r="AF187" i="2" s="1"/>
  <c r="AG187" i="2" s="1"/>
  <c r="AH187" i="2" s="1"/>
  <c r="AI187" i="2" s="1"/>
  <c r="AJ187" i="2" s="1"/>
  <c r="AK187" i="2" s="1"/>
  <c r="AL187" i="2" s="1"/>
  <c r="AM187" i="2" s="1"/>
  <c r="AN187" i="2" s="1"/>
  <c r="AO187" i="2" s="1"/>
  <c r="AP187" i="2" s="1"/>
  <c r="AQ187" i="2" s="1"/>
  <c r="AR187" i="2" s="1"/>
  <c r="AS187" i="2" s="1"/>
  <c r="AT187" i="2" s="1"/>
  <c r="AU187" i="2" s="1"/>
  <c r="AV187" i="2" s="1"/>
  <c r="H186" i="2"/>
  <c r="I186" i="2" s="1"/>
  <c r="J186" i="2" s="1"/>
  <c r="K186" i="2" s="1"/>
  <c r="L186" i="2" s="1"/>
  <c r="M186" i="2" s="1"/>
  <c r="N186" i="2" s="1"/>
  <c r="O186" i="2" s="1"/>
  <c r="P186" i="2" s="1"/>
  <c r="Q186" i="2" s="1"/>
  <c r="R186" i="2" s="1"/>
  <c r="S186" i="2" s="1"/>
  <c r="T186" i="2" s="1"/>
  <c r="U186" i="2" s="1"/>
  <c r="V186" i="2" s="1"/>
  <c r="W186" i="2" s="1"/>
  <c r="X186" i="2" s="1"/>
  <c r="Y186" i="2" s="1"/>
  <c r="Z186" i="2" s="1"/>
  <c r="AA186" i="2" s="1"/>
  <c r="AB186" i="2" s="1"/>
  <c r="AC186" i="2" s="1"/>
  <c r="AD186" i="2" s="1"/>
  <c r="AE186" i="2" s="1"/>
  <c r="AF186" i="2" s="1"/>
  <c r="AG186" i="2" s="1"/>
  <c r="AH186" i="2" s="1"/>
  <c r="AI186" i="2" s="1"/>
  <c r="AJ186" i="2" s="1"/>
  <c r="AK186" i="2" s="1"/>
  <c r="AL186" i="2" s="1"/>
  <c r="AM186" i="2" s="1"/>
  <c r="AN186" i="2" s="1"/>
  <c r="AO186" i="2" s="1"/>
  <c r="AP186" i="2" s="1"/>
  <c r="AQ186" i="2" s="1"/>
  <c r="AR186" i="2" s="1"/>
  <c r="AS186" i="2" s="1"/>
  <c r="AT186" i="2" s="1"/>
  <c r="AU186" i="2" s="1"/>
  <c r="AV186" i="2" s="1"/>
  <c r="D186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D183" i="2"/>
  <c r="B182" i="2"/>
  <c r="D181" i="2"/>
  <c r="B180" i="2"/>
  <c r="D179" i="2"/>
  <c r="D178" i="2"/>
  <c r="O72" i="2"/>
  <c r="S72" i="2" s="1"/>
  <c r="O65" i="2"/>
  <c r="S65" i="2" s="1"/>
  <c r="O68" i="2" s="1"/>
  <c r="O73" i="2"/>
  <c r="S73" i="2" s="1"/>
  <c r="W73" i="2" s="1"/>
  <c r="AA73" i="2" s="1"/>
  <c r="AE73" i="2" s="1"/>
  <c r="AI73" i="2" s="1"/>
  <c r="AM73" i="2" s="1"/>
  <c r="AQ73" i="2" s="1"/>
  <c r="K73" i="2"/>
  <c r="K66" i="2"/>
  <c r="K67" i="2" s="1"/>
  <c r="AV76" i="2"/>
  <c r="AV303" i="2" s="1"/>
  <c r="AT76" i="2"/>
  <c r="AT303" i="2" s="1"/>
  <c r="AS76" i="2"/>
  <c r="AS303" i="2" s="1"/>
  <c r="AR76" i="2"/>
  <c r="AR303" i="2" s="1"/>
  <c r="AP76" i="2"/>
  <c r="AP303" i="2" s="1"/>
  <c r="AO76" i="2"/>
  <c r="AO303" i="2" s="1"/>
  <c r="AN76" i="2"/>
  <c r="AN303" i="2" s="1"/>
  <c r="AL76" i="2"/>
  <c r="AK76" i="2"/>
  <c r="AK303" i="2" s="1"/>
  <c r="AJ76" i="2"/>
  <c r="AJ303" i="2" s="1"/>
  <c r="AH76" i="2"/>
  <c r="AH303" i="2" s="1"/>
  <c r="AG76" i="2"/>
  <c r="AG303" i="2" s="1"/>
  <c r="AF76" i="2"/>
  <c r="AF303" i="2" s="1"/>
  <c r="AD76" i="2"/>
  <c r="AC76" i="2"/>
  <c r="AC303" i="2" s="1"/>
  <c r="AB76" i="2"/>
  <c r="AB303" i="2" s="1"/>
  <c r="Z76" i="2"/>
  <c r="Z303" i="2" s="1"/>
  <c r="Y76" i="2"/>
  <c r="Y303" i="2" s="1"/>
  <c r="X76" i="2"/>
  <c r="X303" i="2" s="1"/>
  <c r="V76" i="2"/>
  <c r="V303" i="2" s="1"/>
  <c r="U76" i="2"/>
  <c r="U303" i="2" s="1"/>
  <c r="T76" i="2"/>
  <c r="T303" i="2" s="1"/>
  <c r="R76" i="2"/>
  <c r="R303" i="2" s="1"/>
  <c r="Q76" i="2"/>
  <c r="Q303" i="2" s="1"/>
  <c r="P76" i="2"/>
  <c r="P303" i="2" s="1"/>
  <c r="N76" i="2"/>
  <c r="N303" i="2" s="1"/>
  <c r="M76" i="2"/>
  <c r="M303" i="2" s="1"/>
  <c r="L76" i="2"/>
  <c r="L303" i="2" s="1"/>
  <c r="J76" i="2"/>
  <c r="J303" i="2" s="1"/>
  <c r="I76" i="2"/>
  <c r="I303" i="2" s="1"/>
  <c r="H76" i="2"/>
  <c r="H303" i="2" s="1"/>
  <c r="G75" i="2"/>
  <c r="K74" i="2"/>
  <c r="G74" i="2"/>
  <c r="AV69" i="2"/>
  <c r="AV285" i="2" s="1"/>
  <c r="AT69" i="2"/>
  <c r="AT285" i="2" s="1"/>
  <c r="AS69" i="2"/>
  <c r="AR69" i="2"/>
  <c r="AR285" i="2" s="1"/>
  <c r="AP69" i="2"/>
  <c r="AP285" i="2" s="1"/>
  <c r="AO69" i="2"/>
  <c r="AO285" i="2" s="1"/>
  <c r="AN69" i="2"/>
  <c r="AN285" i="2" s="1"/>
  <c r="AL69" i="2"/>
  <c r="AL285" i="2" s="1"/>
  <c r="AK69" i="2"/>
  <c r="AK285" i="2" s="1"/>
  <c r="AJ69" i="2"/>
  <c r="AJ285" i="2" s="1"/>
  <c r="AH69" i="2"/>
  <c r="AH285" i="2" s="1"/>
  <c r="AG69" i="2"/>
  <c r="AG285" i="2" s="1"/>
  <c r="AF69" i="2"/>
  <c r="AF285" i="2" s="1"/>
  <c r="AD69" i="2"/>
  <c r="AD285" i="2" s="1"/>
  <c r="AC69" i="2"/>
  <c r="AC285" i="2" s="1"/>
  <c r="AB69" i="2"/>
  <c r="AB285" i="2" s="1"/>
  <c r="Z69" i="2"/>
  <c r="Z285" i="2" s="1"/>
  <c r="Y69" i="2"/>
  <c r="Y285" i="2" s="1"/>
  <c r="X69" i="2"/>
  <c r="X285" i="2" s="1"/>
  <c r="V69" i="2"/>
  <c r="V285" i="2" s="1"/>
  <c r="U69" i="2"/>
  <c r="U285" i="2" s="1"/>
  <c r="T69" i="2"/>
  <c r="T285" i="2" s="1"/>
  <c r="R69" i="2"/>
  <c r="R285" i="2" s="1"/>
  <c r="Q69" i="2"/>
  <c r="Q285" i="2" s="1"/>
  <c r="P69" i="2"/>
  <c r="P285" i="2" s="1"/>
  <c r="N69" i="2"/>
  <c r="N285" i="2" s="1"/>
  <c r="M69" i="2"/>
  <c r="M285" i="2" s="1"/>
  <c r="L69" i="2"/>
  <c r="L285" i="2" s="1"/>
  <c r="J69" i="2"/>
  <c r="J285" i="2" s="1"/>
  <c r="I69" i="2"/>
  <c r="I285" i="2" s="1"/>
  <c r="H69" i="2"/>
  <c r="H285" i="2" s="1"/>
  <c r="G68" i="2"/>
  <c r="G67" i="2"/>
  <c r="H62" i="2"/>
  <c r="H267" i="2" s="1"/>
  <c r="I62" i="2"/>
  <c r="I267" i="2" s="1"/>
  <c r="J62" i="2"/>
  <c r="J267" i="2" s="1"/>
  <c r="L62" i="2"/>
  <c r="L267" i="2" s="1"/>
  <c r="M62" i="2"/>
  <c r="M267" i="2" s="1"/>
  <c r="N62" i="2"/>
  <c r="N267" i="2" s="1"/>
  <c r="P62" i="2"/>
  <c r="P267" i="2" s="1"/>
  <c r="Q62" i="2"/>
  <c r="Q267" i="2" s="1"/>
  <c r="R62" i="2"/>
  <c r="R267" i="2" s="1"/>
  <c r="T62" i="2"/>
  <c r="U62" i="2"/>
  <c r="U267" i="2" s="1"/>
  <c r="V62" i="2"/>
  <c r="V267" i="2" s="1"/>
  <c r="X62" i="2"/>
  <c r="X267" i="2" s="1"/>
  <c r="Y62" i="2"/>
  <c r="Y267" i="2" s="1"/>
  <c r="Z62" i="2"/>
  <c r="Z267" i="2" s="1"/>
  <c r="AB62" i="2"/>
  <c r="AB267" i="2" s="1"/>
  <c r="AC62" i="2"/>
  <c r="AC267" i="2" s="1"/>
  <c r="AD62" i="2"/>
  <c r="AD267" i="2" s="1"/>
  <c r="AF62" i="2"/>
  <c r="AF267" i="2" s="1"/>
  <c r="AG62" i="2"/>
  <c r="AG267" i="2" s="1"/>
  <c r="AH62" i="2"/>
  <c r="AH267" i="2" s="1"/>
  <c r="AJ62" i="2"/>
  <c r="AJ267" i="2" s="1"/>
  <c r="AK62" i="2"/>
  <c r="AL62" i="2"/>
  <c r="AN62" i="2"/>
  <c r="AN267" i="2" s="1"/>
  <c r="AO62" i="2"/>
  <c r="AO267" i="2" s="1"/>
  <c r="AP62" i="2"/>
  <c r="AP267" i="2" s="1"/>
  <c r="AR62" i="2"/>
  <c r="AR267" i="2" s="1"/>
  <c r="AS62" i="2"/>
  <c r="AS267" i="2" s="1"/>
  <c r="AT62" i="2"/>
  <c r="AT267" i="2" s="1"/>
  <c r="AV62" i="2"/>
  <c r="AV267" i="2" s="1"/>
  <c r="AU60" i="2"/>
  <c r="AQ61" i="2"/>
  <c r="AU61" i="2" s="1"/>
  <c r="AQ60" i="2"/>
  <c r="AM61" i="2"/>
  <c r="AM60" i="2"/>
  <c r="AI61" i="2"/>
  <c r="AI60" i="2"/>
  <c r="AE61" i="2"/>
  <c r="AE60" i="2"/>
  <c r="AE62" i="2" s="1"/>
  <c r="AE267" i="2" s="1"/>
  <c r="AA61" i="2"/>
  <c r="AA62" i="2" s="1"/>
  <c r="AA267" i="2" s="1"/>
  <c r="AA60" i="2"/>
  <c r="W61" i="2"/>
  <c r="W60" i="2"/>
  <c r="S61" i="2"/>
  <c r="S60" i="2"/>
  <c r="O61" i="2"/>
  <c r="O60" i="2"/>
  <c r="O62" i="2" s="1"/>
  <c r="O267" i="2" s="1"/>
  <c r="K61" i="2"/>
  <c r="K60" i="2"/>
  <c r="G61" i="2"/>
  <c r="G60" i="2"/>
  <c r="D172" i="2"/>
  <c r="D171" i="2"/>
  <c r="D170" i="2"/>
  <c r="H168" i="2"/>
  <c r="I168" i="2" s="1"/>
  <c r="J168" i="2" s="1"/>
  <c r="K168" i="2" s="1"/>
  <c r="L168" i="2" s="1"/>
  <c r="M168" i="2" s="1"/>
  <c r="N168" i="2" s="1"/>
  <c r="O168" i="2" s="1"/>
  <c r="P168" i="2" s="1"/>
  <c r="Q168" i="2" s="1"/>
  <c r="R168" i="2" s="1"/>
  <c r="S168" i="2" s="1"/>
  <c r="T168" i="2" s="1"/>
  <c r="U168" i="2" s="1"/>
  <c r="V168" i="2" s="1"/>
  <c r="W168" i="2" s="1"/>
  <c r="X168" i="2" s="1"/>
  <c r="Y168" i="2" s="1"/>
  <c r="Z168" i="2" s="1"/>
  <c r="AA168" i="2" s="1"/>
  <c r="AB168" i="2" s="1"/>
  <c r="AC168" i="2" s="1"/>
  <c r="AD168" i="2" s="1"/>
  <c r="AE168" i="2" s="1"/>
  <c r="AF168" i="2" s="1"/>
  <c r="AG168" i="2" s="1"/>
  <c r="AH168" i="2" s="1"/>
  <c r="AI168" i="2" s="1"/>
  <c r="AJ168" i="2" s="1"/>
  <c r="AK168" i="2" s="1"/>
  <c r="AL168" i="2" s="1"/>
  <c r="AM168" i="2" s="1"/>
  <c r="AN168" i="2" s="1"/>
  <c r="AO168" i="2" s="1"/>
  <c r="AP168" i="2" s="1"/>
  <c r="AQ168" i="2" s="1"/>
  <c r="AR168" i="2" s="1"/>
  <c r="AS168" i="2" s="1"/>
  <c r="AT168" i="2" s="1"/>
  <c r="AU168" i="2" s="1"/>
  <c r="AV168" i="2" s="1"/>
  <c r="H167" i="2"/>
  <c r="I167" i="2" s="1"/>
  <c r="J167" i="2" s="1"/>
  <c r="K167" i="2" s="1"/>
  <c r="L167" i="2" s="1"/>
  <c r="M167" i="2" s="1"/>
  <c r="N167" i="2" s="1"/>
  <c r="O167" i="2" s="1"/>
  <c r="P167" i="2" s="1"/>
  <c r="Q167" i="2" s="1"/>
  <c r="R167" i="2" s="1"/>
  <c r="S167" i="2" s="1"/>
  <c r="T167" i="2" s="1"/>
  <c r="U167" i="2" s="1"/>
  <c r="V167" i="2" s="1"/>
  <c r="W167" i="2" s="1"/>
  <c r="X167" i="2" s="1"/>
  <c r="Y167" i="2" s="1"/>
  <c r="Z167" i="2" s="1"/>
  <c r="AA167" i="2" s="1"/>
  <c r="AB167" i="2" s="1"/>
  <c r="AC167" i="2" s="1"/>
  <c r="AD167" i="2" s="1"/>
  <c r="AE167" i="2" s="1"/>
  <c r="AF167" i="2" s="1"/>
  <c r="AG167" i="2" s="1"/>
  <c r="AH167" i="2" s="1"/>
  <c r="AI167" i="2" s="1"/>
  <c r="AJ167" i="2" s="1"/>
  <c r="AK167" i="2" s="1"/>
  <c r="AL167" i="2" s="1"/>
  <c r="AM167" i="2" s="1"/>
  <c r="AN167" i="2" s="1"/>
  <c r="AO167" i="2" s="1"/>
  <c r="AP167" i="2" s="1"/>
  <c r="AQ167" i="2" s="1"/>
  <c r="AR167" i="2" s="1"/>
  <c r="AS167" i="2" s="1"/>
  <c r="AT167" i="2" s="1"/>
  <c r="AU167" i="2" s="1"/>
  <c r="AV167" i="2" s="1"/>
  <c r="D167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D164" i="2"/>
  <c r="B163" i="2"/>
  <c r="D162" i="2"/>
  <c r="B161" i="2"/>
  <c r="D160" i="2"/>
  <c r="D159" i="2"/>
  <c r="D154" i="2"/>
  <c r="D153" i="2"/>
  <c r="D152" i="2"/>
  <c r="H150" i="2"/>
  <c r="I150" i="2" s="1"/>
  <c r="J150" i="2" s="1"/>
  <c r="K150" i="2" s="1"/>
  <c r="L150" i="2" s="1"/>
  <c r="M150" i="2" s="1"/>
  <c r="N150" i="2" s="1"/>
  <c r="O150" i="2" s="1"/>
  <c r="P150" i="2" s="1"/>
  <c r="Q150" i="2" s="1"/>
  <c r="R150" i="2" s="1"/>
  <c r="S150" i="2" s="1"/>
  <c r="T150" i="2" s="1"/>
  <c r="U150" i="2" s="1"/>
  <c r="V150" i="2" s="1"/>
  <c r="W150" i="2" s="1"/>
  <c r="X150" i="2" s="1"/>
  <c r="Y150" i="2" s="1"/>
  <c r="Z150" i="2" s="1"/>
  <c r="AA150" i="2" s="1"/>
  <c r="AB150" i="2" s="1"/>
  <c r="AC150" i="2" s="1"/>
  <c r="AD150" i="2" s="1"/>
  <c r="AE150" i="2" s="1"/>
  <c r="AF150" i="2" s="1"/>
  <c r="AG150" i="2" s="1"/>
  <c r="AH150" i="2" s="1"/>
  <c r="AI150" i="2" s="1"/>
  <c r="AJ150" i="2" s="1"/>
  <c r="AK150" i="2" s="1"/>
  <c r="AL150" i="2" s="1"/>
  <c r="AM150" i="2" s="1"/>
  <c r="AN150" i="2" s="1"/>
  <c r="AO150" i="2" s="1"/>
  <c r="AP150" i="2" s="1"/>
  <c r="AQ150" i="2" s="1"/>
  <c r="AR150" i="2" s="1"/>
  <c r="AS150" i="2" s="1"/>
  <c r="AT150" i="2" s="1"/>
  <c r="AU150" i="2" s="1"/>
  <c r="AV150" i="2" s="1"/>
  <c r="H149" i="2"/>
  <c r="I149" i="2" s="1"/>
  <c r="J149" i="2" s="1"/>
  <c r="K149" i="2" s="1"/>
  <c r="L149" i="2" s="1"/>
  <c r="M149" i="2" s="1"/>
  <c r="N149" i="2" s="1"/>
  <c r="O149" i="2" s="1"/>
  <c r="P149" i="2" s="1"/>
  <c r="Q149" i="2" s="1"/>
  <c r="R149" i="2" s="1"/>
  <c r="S149" i="2" s="1"/>
  <c r="T149" i="2" s="1"/>
  <c r="U149" i="2" s="1"/>
  <c r="V149" i="2" s="1"/>
  <c r="W149" i="2" s="1"/>
  <c r="X149" i="2" s="1"/>
  <c r="Y149" i="2" s="1"/>
  <c r="Z149" i="2" s="1"/>
  <c r="AA149" i="2" s="1"/>
  <c r="AB149" i="2" s="1"/>
  <c r="AC149" i="2" s="1"/>
  <c r="AD149" i="2" s="1"/>
  <c r="AE149" i="2" s="1"/>
  <c r="AF149" i="2" s="1"/>
  <c r="AG149" i="2" s="1"/>
  <c r="AH149" i="2" s="1"/>
  <c r="AI149" i="2" s="1"/>
  <c r="AJ149" i="2" s="1"/>
  <c r="AK149" i="2" s="1"/>
  <c r="AL149" i="2" s="1"/>
  <c r="AM149" i="2" s="1"/>
  <c r="AN149" i="2" s="1"/>
  <c r="AO149" i="2" s="1"/>
  <c r="AP149" i="2" s="1"/>
  <c r="AQ149" i="2" s="1"/>
  <c r="AR149" i="2" s="1"/>
  <c r="AS149" i="2" s="1"/>
  <c r="AT149" i="2" s="1"/>
  <c r="AU149" i="2" s="1"/>
  <c r="AV149" i="2" s="1"/>
  <c r="D149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D146" i="2"/>
  <c r="B145" i="2"/>
  <c r="D144" i="2"/>
  <c r="B143" i="2"/>
  <c r="D142" i="2"/>
  <c r="D141" i="2"/>
  <c r="D136" i="2"/>
  <c r="D135" i="2"/>
  <c r="D134" i="2"/>
  <c r="H132" i="2"/>
  <c r="I132" i="2" s="1"/>
  <c r="J132" i="2" s="1"/>
  <c r="K132" i="2" s="1"/>
  <c r="L132" i="2" s="1"/>
  <c r="M132" i="2" s="1"/>
  <c r="N132" i="2" s="1"/>
  <c r="O132" i="2" s="1"/>
  <c r="P132" i="2" s="1"/>
  <c r="Q132" i="2" s="1"/>
  <c r="R132" i="2" s="1"/>
  <c r="S132" i="2" s="1"/>
  <c r="T132" i="2" s="1"/>
  <c r="U132" i="2" s="1"/>
  <c r="V132" i="2" s="1"/>
  <c r="W132" i="2" s="1"/>
  <c r="X132" i="2" s="1"/>
  <c r="Y132" i="2" s="1"/>
  <c r="Z132" i="2" s="1"/>
  <c r="AA132" i="2" s="1"/>
  <c r="AB132" i="2" s="1"/>
  <c r="AC132" i="2" s="1"/>
  <c r="AD132" i="2" s="1"/>
  <c r="AE132" i="2" s="1"/>
  <c r="AF132" i="2" s="1"/>
  <c r="AG132" i="2" s="1"/>
  <c r="AH132" i="2" s="1"/>
  <c r="AI132" i="2" s="1"/>
  <c r="AJ132" i="2" s="1"/>
  <c r="AK132" i="2" s="1"/>
  <c r="AL132" i="2" s="1"/>
  <c r="AM132" i="2" s="1"/>
  <c r="AN132" i="2" s="1"/>
  <c r="AO132" i="2" s="1"/>
  <c r="AP132" i="2" s="1"/>
  <c r="AQ132" i="2" s="1"/>
  <c r="AR132" i="2" s="1"/>
  <c r="AS132" i="2" s="1"/>
  <c r="AT132" i="2" s="1"/>
  <c r="AU132" i="2" s="1"/>
  <c r="AV132" i="2" s="1"/>
  <c r="H131" i="2"/>
  <c r="I131" i="2" s="1"/>
  <c r="J131" i="2" s="1"/>
  <c r="K131" i="2" s="1"/>
  <c r="L131" i="2" s="1"/>
  <c r="M131" i="2" s="1"/>
  <c r="N131" i="2" s="1"/>
  <c r="O131" i="2" s="1"/>
  <c r="P131" i="2" s="1"/>
  <c r="Q131" i="2" s="1"/>
  <c r="R131" i="2" s="1"/>
  <c r="S131" i="2" s="1"/>
  <c r="T131" i="2" s="1"/>
  <c r="U131" i="2" s="1"/>
  <c r="V131" i="2" s="1"/>
  <c r="W131" i="2" s="1"/>
  <c r="X131" i="2" s="1"/>
  <c r="Y131" i="2" s="1"/>
  <c r="Z131" i="2" s="1"/>
  <c r="AA131" i="2" s="1"/>
  <c r="AB131" i="2" s="1"/>
  <c r="AC131" i="2" s="1"/>
  <c r="AD131" i="2" s="1"/>
  <c r="AE131" i="2" s="1"/>
  <c r="AF131" i="2" s="1"/>
  <c r="AG131" i="2" s="1"/>
  <c r="AH131" i="2" s="1"/>
  <c r="AI131" i="2" s="1"/>
  <c r="AJ131" i="2" s="1"/>
  <c r="AK131" i="2" s="1"/>
  <c r="AL131" i="2" s="1"/>
  <c r="AM131" i="2" s="1"/>
  <c r="AN131" i="2" s="1"/>
  <c r="AO131" i="2" s="1"/>
  <c r="AP131" i="2" s="1"/>
  <c r="AQ131" i="2" s="1"/>
  <c r="AR131" i="2" s="1"/>
  <c r="AS131" i="2" s="1"/>
  <c r="AT131" i="2" s="1"/>
  <c r="AU131" i="2" s="1"/>
  <c r="AV131" i="2" s="1"/>
  <c r="D131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D128" i="2"/>
  <c r="B127" i="2"/>
  <c r="D126" i="2"/>
  <c r="B125" i="2"/>
  <c r="D124" i="2"/>
  <c r="D123" i="2"/>
  <c r="D118" i="2"/>
  <c r="D117" i="2"/>
  <c r="D116" i="2"/>
  <c r="H114" i="2"/>
  <c r="I114" i="2" s="1"/>
  <c r="J114" i="2" s="1"/>
  <c r="K114" i="2" s="1"/>
  <c r="L114" i="2" s="1"/>
  <c r="M114" i="2" s="1"/>
  <c r="N114" i="2" s="1"/>
  <c r="O114" i="2" s="1"/>
  <c r="P114" i="2" s="1"/>
  <c r="Q114" i="2" s="1"/>
  <c r="R114" i="2" s="1"/>
  <c r="S114" i="2" s="1"/>
  <c r="T114" i="2" s="1"/>
  <c r="U114" i="2" s="1"/>
  <c r="V114" i="2" s="1"/>
  <c r="W114" i="2" s="1"/>
  <c r="X114" i="2" s="1"/>
  <c r="Y114" i="2" s="1"/>
  <c r="Z114" i="2" s="1"/>
  <c r="AA114" i="2" s="1"/>
  <c r="AB114" i="2" s="1"/>
  <c r="AC114" i="2" s="1"/>
  <c r="AD114" i="2" s="1"/>
  <c r="AE114" i="2" s="1"/>
  <c r="AF114" i="2" s="1"/>
  <c r="AG114" i="2" s="1"/>
  <c r="AH114" i="2" s="1"/>
  <c r="AI114" i="2" s="1"/>
  <c r="AJ114" i="2" s="1"/>
  <c r="AK114" i="2" s="1"/>
  <c r="AL114" i="2" s="1"/>
  <c r="AM114" i="2" s="1"/>
  <c r="AN114" i="2" s="1"/>
  <c r="AO114" i="2" s="1"/>
  <c r="AP114" i="2" s="1"/>
  <c r="AQ114" i="2" s="1"/>
  <c r="AR114" i="2" s="1"/>
  <c r="AS114" i="2" s="1"/>
  <c r="AT114" i="2" s="1"/>
  <c r="AU114" i="2" s="1"/>
  <c r="AV114" i="2" s="1"/>
  <c r="H113" i="2"/>
  <c r="I113" i="2" s="1"/>
  <c r="J113" i="2" s="1"/>
  <c r="K113" i="2" s="1"/>
  <c r="L113" i="2" s="1"/>
  <c r="M113" i="2" s="1"/>
  <c r="N113" i="2" s="1"/>
  <c r="O113" i="2" s="1"/>
  <c r="P113" i="2" s="1"/>
  <c r="Q113" i="2" s="1"/>
  <c r="R113" i="2" s="1"/>
  <c r="S113" i="2" s="1"/>
  <c r="T113" i="2" s="1"/>
  <c r="U113" i="2" s="1"/>
  <c r="V113" i="2" s="1"/>
  <c r="W113" i="2" s="1"/>
  <c r="X113" i="2" s="1"/>
  <c r="Y113" i="2" s="1"/>
  <c r="Z113" i="2" s="1"/>
  <c r="AA113" i="2" s="1"/>
  <c r="AB113" i="2" s="1"/>
  <c r="AC113" i="2" s="1"/>
  <c r="AD113" i="2" s="1"/>
  <c r="AE113" i="2" s="1"/>
  <c r="AF113" i="2" s="1"/>
  <c r="AG113" i="2" s="1"/>
  <c r="AH113" i="2" s="1"/>
  <c r="AI113" i="2" s="1"/>
  <c r="AJ113" i="2" s="1"/>
  <c r="AK113" i="2" s="1"/>
  <c r="AL113" i="2" s="1"/>
  <c r="AM113" i="2" s="1"/>
  <c r="AN113" i="2" s="1"/>
  <c r="AO113" i="2" s="1"/>
  <c r="AP113" i="2" s="1"/>
  <c r="AQ113" i="2" s="1"/>
  <c r="AR113" i="2" s="1"/>
  <c r="AS113" i="2" s="1"/>
  <c r="AT113" i="2" s="1"/>
  <c r="AU113" i="2" s="1"/>
  <c r="AV113" i="2" s="1"/>
  <c r="D113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D110" i="2"/>
  <c r="B109" i="2"/>
  <c r="D108" i="2"/>
  <c r="B107" i="2"/>
  <c r="D106" i="2"/>
  <c r="D105" i="2"/>
  <c r="D100" i="2"/>
  <c r="D99" i="2"/>
  <c r="D98" i="2"/>
  <c r="H96" i="2"/>
  <c r="I96" i="2" s="1"/>
  <c r="J96" i="2" s="1"/>
  <c r="K96" i="2" s="1"/>
  <c r="L96" i="2" s="1"/>
  <c r="M96" i="2" s="1"/>
  <c r="N96" i="2" s="1"/>
  <c r="O96" i="2" s="1"/>
  <c r="P96" i="2" s="1"/>
  <c r="Q96" i="2" s="1"/>
  <c r="R96" i="2" s="1"/>
  <c r="S96" i="2" s="1"/>
  <c r="T96" i="2" s="1"/>
  <c r="U96" i="2" s="1"/>
  <c r="V96" i="2" s="1"/>
  <c r="W96" i="2" s="1"/>
  <c r="X96" i="2" s="1"/>
  <c r="Y96" i="2" s="1"/>
  <c r="Z96" i="2" s="1"/>
  <c r="AA96" i="2" s="1"/>
  <c r="AB96" i="2" s="1"/>
  <c r="AC96" i="2" s="1"/>
  <c r="AD96" i="2" s="1"/>
  <c r="AE96" i="2" s="1"/>
  <c r="AF96" i="2" s="1"/>
  <c r="AG96" i="2" s="1"/>
  <c r="AH96" i="2" s="1"/>
  <c r="AI96" i="2" s="1"/>
  <c r="AJ96" i="2" s="1"/>
  <c r="AK96" i="2" s="1"/>
  <c r="AL96" i="2" s="1"/>
  <c r="AM96" i="2" s="1"/>
  <c r="AN96" i="2" s="1"/>
  <c r="AO96" i="2" s="1"/>
  <c r="AP96" i="2" s="1"/>
  <c r="AQ96" i="2" s="1"/>
  <c r="AR96" i="2" s="1"/>
  <c r="AS96" i="2" s="1"/>
  <c r="AT96" i="2" s="1"/>
  <c r="AU96" i="2" s="1"/>
  <c r="AV96" i="2" s="1"/>
  <c r="H95" i="2"/>
  <c r="I95" i="2" s="1"/>
  <c r="J95" i="2" s="1"/>
  <c r="K95" i="2" s="1"/>
  <c r="L95" i="2" s="1"/>
  <c r="M95" i="2" s="1"/>
  <c r="N95" i="2" s="1"/>
  <c r="O95" i="2" s="1"/>
  <c r="P95" i="2" s="1"/>
  <c r="Q95" i="2" s="1"/>
  <c r="R95" i="2" s="1"/>
  <c r="S95" i="2" s="1"/>
  <c r="T95" i="2" s="1"/>
  <c r="U95" i="2" s="1"/>
  <c r="V95" i="2" s="1"/>
  <c r="W95" i="2" s="1"/>
  <c r="X95" i="2" s="1"/>
  <c r="Y95" i="2" s="1"/>
  <c r="Z95" i="2" s="1"/>
  <c r="AA95" i="2" s="1"/>
  <c r="AB95" i="2" s="1"/>
  <c r="AC95" i="2" s="1"/>
  <c r="AD95" i="2" s="1"/>
  <c r="AE95" i="2" s="1"/>
  <c r="AF95" i="2" s="1"/>
  <c r="AG95" i="2" s="1"/>
  <c r="AH95" i="2" s="1"/>
  <c r="AI95" i="2" s="1"/>
  <c r="AJ95" i="2" s="1"/>
  <c r="AK95" i="2" s="1"/>
  <c r="AL95" i="2" s="1"/>
  <c r="AM95" i="2" s="1"/>
  <c r="AN95" i="2" s="1"/>
  <c r="AO95" i="2" s="1"/>
  <c r="AP95" i="2" s="1"/>
  <c r="AQ95" i="2" s="1"/>
  <c r="AR95" i="2" s="1"/>
  <c r="AS95" i="2" s="1"/>
  <c r="AT95" i="2" s="1"/>
  <c r="AU95" i="2" s="1"/>
  <c r="AV95" i="2" s="1"/>
  <c r="D95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D92" i="2"/>
  <c r="B91" i="2"/>
  <c r="D90" i="2"/>
  <c r="B89" i="2"/>
  <c r="D88" i="2"/>
  <c r="D87" i="2"/>
  <c r="H9" i="2"/>
  <c r="I9" i="2"/>
  <c r="J9" i="2"/>
  <c r="K9" i="2"/>
  <c r="L9" i="2"/>
  <c r="M9" i="2"/>
  <c r="N9" i="2"/>
  <c r="O9" i="2"/>
  <c r="P9" i="2"/>
  <c r="G9" i="2"/>
  <c r="Q44" i="2"/>
  <c r="Q45" i="2" s="1"/>
  <c r="Q46" i="2" s="1"/>
  <c r="H45" i="2"/>
  <c r="H46" i="2" s="1"/>
  <c r="I45" i="2"/>
  <c r="I46" i="2" s="1"/>
  <c r="J45" i="2"/>
  <c r="J46" i="2" s="1"/>
  <c r="K45" i="2"/>
  <c r="K46" i="2" s="1"/>
  <c r="L45" i="2"/>
  <c r="L46" i="2" s="1"/>
  <c r="M45" i="2"/>
  <c r="M46" i="2" s="1"/>
  <c r="N45" i="2"/>
  <c r="N46" i="2" s="1"/>
  <c r="O45" i="2"/>
  <c r="O46" i="2" s="1"/>
  <c r="P45" i="2"/>
  <c r="P46" i="2" s="1"/>
  <c r="H47" i="2"/>
  <c r="H176" i="2" s="1"/>
  <c r="H359" i="2" s="1"/>
  <c r="I47" i="2"/>
  <c r="I176" i="2" s="1"/>
  <c r="I359" i="2" s="1"/>
  <c r="J47" i="2"/>
  <c r="J176" i="2" s="1"/>
  <c r="J359" i="2" s="1"/>
  <c r="K47" i="2"/>
  <c r="K176" i="2" s="1"/>
  <c r="K359" i="2" s="1"/>
  <c r="L47" i="2"/>
  <c r="L176" i="2" s="1"/>
  <c r="L359" i="2" s="1"/>
  <c r="M47" i="2"/>
  <c r="M176" i="2" s="1"/>
  <c r="M359" i="2" s="1"/>
  <c r="N47" i="2"/>
  <c r="N176" i="2" s="1"/>
  <c r="N359" i="2" s="1"/>
  <c r="O47" i="2"/>
  <c r="O176" i="2" s="1"/>
  <c r="O359" i="2" s="1"/>
  <c r="P47" i="2"/>
  <c r="P176" i="2" s="1"/>
  <c r="P359" i="2" s="1"/>
  <c r="H48" i="2"/>
  <c r="H194" i="2" s="1"/>
  <c r="H360" i="2" s="1"/>
  <c r="I48" i="2"/>
  <c r="I194" i="2" s="1"/>
  <c r="I360" i="2" s="1"/>
  <c r="J48" i="2"/>
  <c r="J194" i="2" s="1"/>
  <c r="J360" i="2" s="1"/>
  <c r="K48" i="2"/>
  <c r="K194" i="2" s="1"/>
  <c r="K360" i="2" s="1"/>
  <c r="L48" i="2"/>
  <c r="L194" i="2" s="1"/>
  <c r="L360" i="2" s="1"/>
  <c r="M48" i="2"/>
  <c r="M194" i="2" s="1"/>
  <c r="M360" i="2" s="1"/>
  <c r="N48" i="2"/>
  <c r="N194" i="2" s="1"/>
  <c r="N360" i="2" s="1"/>
  <c r="O48" i="2"/>
  <c r="O194" i="2" s="1"/>
  <c r="O360" i="2" s="1"/>
  <c r="P48" i="2"/>
  <c r="P194" i="2" s="1"/>
  <c r="P360" i="2" s="1"/>
  <c r="H49" i="2"/>
  <c r="H212" i="2" s="1"/>
  <c r="H361" i="2" s="1"/>
  <c r="I49" i="2"/>
  <c r="I212" i="2" s="1"/>
  <c r="I361" i="2" s="1"/>
  <c r="J49" i="2"/>
  <c r="J212" i="2" s="1"/>
  <c r="J361" i="2" s="1"/>
  <c r="K49" i="2"/>
  <c r="K212" i="2" s="1"/>
  <c r="K361" i="2" s="1"/>
  <c r="L49" i="2"/>
  <c r="L212" i="2" s="1"/>
  <c r="L361" i="2" s="1"/>
  <c r="M49" i="2"/>
  <c r="M212" i="2" s="1"/>
  <c r="M361" i="2" s="1"/>
  <c r="N49" i="2"/>
  <c r="N212" i="2" s="1"/>
  <c r="N361" i="2" s="1"/>
  <c r="O49" i="2"/>
  <c r="O212" i="2" s="1"/>
  <c r="O361" i="2" s="1"/>
  <c r="P49" i="2"/>
  <c r="P212" i="2" s="1"/>
  <c r="P361" i="2" s="1"/>
  <c r="H50" i="2"/>
  <c r="H230" i="2" s="1"/>
  <c r="H362" i="2" s="1"/>
  <c r="I50" i="2"/>
  <c r="I230" i="2" s="1"/>
  <c r="I362" i="2" s="1"/>
  <c r="J50" i="2"/>
  <c r="J230" i="2" s="1"/>
  <c r="J362" i="2" s="1"/>
  <c r="K50" i="2"/>
  <c r="K230" i="2" s="1"/>
  <c r="K362" i="2" s="1"/>
  <c r="L50" i="2"/>
  <c r="L230" i="2" s="1"/>
  <c r="L362" i="2" s="1"/>
  <c r="M50" i="2"/>
  <c r="M230" i="2" s="1"/>
  <c r="M362" i="2" s="1"/>
  <c r="N50" i="2"/>
  <c r="N230" i="2" s="1"/>
  <c r="N362" i="2" s="1"/>
  <c r="O50" i="2"/>
  <c r="O230" i="2" s="1"/>
  <c r="O362" i="2" s="1"/>
  <c r="P50" i="2"/>
  <c r="P230" i="2" s="1"/>
  <c r="P362" i="2" s="1"/>
  <c r="H51" i="2"/>
  <c r="H248" i="2" s="1"/>
  <c r="H363" i="2" s="1"/>
  <c r="I51" i="2"/>
  <c r="I248" i="2" s="1"/>
  <c r="I363" i="2" s="1"/>
  <c r="J51" i="2"/>
  <c r="J248" i="2" s="1"/>
  <c r="J363" i="2" s="1"/>
  <c r="K51" i="2"/>
  <c r="K248" i="2" s="1"/>
  <c r="K363" i="2" s="1"/>
  <c r="L51" i="2"/>
  <c r="L248" i="2" s="1"/>
  <c r="L363" i="2" s="1"/>
  <c r="M51" i="2"/>
  <c r="M248" i="2" s="1"/>
  <c r="M363" i="2" s="1"/>
  <c r="N51" i="2"/>
  <c r="N248" i="2" s="1"/>
  <c r="N363" i="2" s="1"/>
  <c r="O51" i="2"/>
  <c r="O248" i="2" s="1"/>
  <c r="O363" i="2" s="1"/>
  <c r="P51" i="2"/>
  <c r="P248" i="2" s="1"/>
  <c r="P363" i="2" s="1"/>
  <c r="G48" i="2"/>
  <c r="G194" i="2" s="1"/>
  <c r="G360" i="2" s="1"/>
  <c r="G49" i="2"/>
  <c r="G212" i="2" s="1"/>
  <c r="G361" i="2" s="1"/>
  <c r="G50" i="2"/>
  <c r="G230" i="2" s="1"/>
  <c r="G362" i="2" s="1"/>
  <c r="G51" i="2"/>
  <c r="G248" i="2" s="1"/>
  <c r="G363" i="2" s="1"/>
  <c r="G47" i="2"/>
  <c r="G176" i="2" s="1"/>
  <c r="G359" i="2" s="1"/>
  <c r="G45" i="2"/>
  <c r="G46" i="2" s="1"/>
  <c r="H14" i="2"/>
  <c r="H139" i="2" s="1"/>
  <c r="G14" i="2"/>
  <c r="G139" i="2" s="1"/>
  <c r="H12" i="2"/>
  <c r="H121" i="2" s="1"/>
  <c r="H13" i="2"/>
  <c r="H157" i="2" s="1"/>
  <c r="G13" i="2"/>
  <c r="G157" i="2" s="1"/>
  <c r="G12" i="2"/>
  <c r="G121" i="2" s="1"/>
  <c r="AS6" i="2"/>
  <c r="AS7" i="2" s="1"/>
  <c r="AS103" i="2" s="1"/>
  <c r="AO6" i="2"/>
  <c r="AO8" i="2" s="1"/>
  <c r="AK6" i="2"/>
  <c r="AK7" i="2" s="1"/>
  <c r="AK103" i="2" s="1"/>
  <c r="AG6" i="2"/>
  <c r="AG8" i="2" s="1"/>
  <c r="AC6" i="2"/>
  <c r="AC7" i="2" s="1"/>
  <c r="AC103" i="2" s="1"/>
  <c r="Y6" i="2"/>
  <c r="Y8" i="2" s="1"/>
  <c r="U6" i="2"/>
  <c r="U7" i="2" s="1"/>
  <c r="U103" i="2" s="1"/>
  <c r="Q6" i="2"/>
  <c r="R6" i="2" s="1"/>
  <c r="M6" i="2"/>
  <c r="M7" i="2" s="1"/>
  <c r="M103" i="2" s="1"/>
  <c r="I6" i="2"/>
  <c r="I8" i="2" s="1"/>
  <c r="H6" i="2"/>
  <c r="H8" i="2" s="1"/>
  <c r="G6" i="2"/>
  <c r="B107" i="10"/>
  <c r="H109" i="10" s="1"/>
  <c r="G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C115" i="10"/>
  <c r="AD115" i="10"/>
  <c r="AE115" i="10"/>
  <c r="AF115" i="10"/>
  <c r="AG115" i="10"/>
  <c r="AH115" i="10"/>
  <c r="AI115" i="10"/>
  <c r="AJ115" i="10"/>
  <c r="AK115" i="10"/>
  <c r="AL115" i="10"/>
  <c r="AM115" i="10"/>
  <c r="AN115" i="10"/>
  <c r="AO115" i="10"/>
  <c r="AP115" i="10"/>
  <c r="AQ115" i="10"/>
  <c r="AR115" i="10"/>
  <c r="AS115" i="10"/>
  <c r="AT115" i="10"/>
  <c r="AU115" i="10"/>
  <c r="AV115" i="10"/>
  <c r="D112" i="10"/>
  <c r="D111" i="10"/>
  <c r="D110" i="10"/>
  <c r="D109" i="10"/>
  <c r="G108" i="10"/>
  <c r="D107" i="10"/>
  <c r="AV969" i="2"/>
  <c r="AV967" i="2"/>
  <c r="AV966" i="2"/>
  <c r="AV874" i="2"/>
  <c r="AV851" i="2"/>
  <c r="AV843" i="2"/>
  <c r="AV828" i="2"/>
  <c r="AV805" i="2"/>
  <c r="AV492" i="2"/>
  <c r="AV484" i="2"/>
  <c r="AU969" i="2"/>
  <c r="AU967" i="2"/>
  <c r="AU966" i="2"/>
  <c r="AU874" i="2"/>
  <c r="AU851" i="2"/>
  <c r="AU843" i="2"/>
  <c r="AU828" i="2"/>
  <c r="AU805" i="2"/>
  <c r="AU492" i="2"/>
  <c r="AU484" i="2"/>
  <c r="AT969" i="2"/>
  <c r="AT967" i="2"/>
  <c r="AT966" i="2"/>
  <c r="AT874" i="2"/>
  <c r="AT851" i="2"/>
  <c r="AT843" i="2"/>
  <c r="AT828" i="2"/>
  <c r="AT805" i="2"/>
  <c r="AT492" i="2"/>
  <c r="AT484" i="2"/>
  <c r="AS969" i="2"/>
  <c r="AS967" i="2"/>
  <c r="AS966" i="2"/>
  <c r="AS874" i="2"/>
  <c r="AS851" i="2"/>
  <c r="AS843" i="2"/>
  <c r="AS828" i="2"/>
  <c r="AS805" i="2"/>
  <c r="AS492" i="2"/>
  <c r="AS484" i="2"/>
  <c r="AR969" i="2"/>
  <c r="AR967" i="2"/>
  <c r="AR966" i="2"/>
  <c r="AR874" i="2"/>
  <c r="AR851" i="2"/>
  <c r="AR843" i="2"/>
  <c r="AR828" i="2"/>
  <c r="AR805" i="2"/>
  <c r="AR492" i="2"/>
  <c r="AR484" i="2"/>
  <c r="AQ969" i="2"/>
  <c r="AQ967" i="2"/>
  <c r="AQ966" i="2"/>
  <c r="AQ874" i="2"/>
  <c r="AQ851" i="2"/>
  <c r="AQ843" i="2"/>
  <c r="AQ828" i="2"/>
  <c r="AQ805" i="2"/>
  <c r="AQ492" i="2"/>
  <c r="AQ484" i="2"/>
  <c r="AP969" i="2"/>
  <c r="AP967" i="2"/>
  <c r="AP966" i="2"/>
  <c r="AP874" i="2"/>
  <c r="AP851" i="2"/>
  <c r="AP843" i="2"/>
  <c r="AP828" i="2"/>
  <c r="AP805" i="2"/>
  <c r="AP492" i="2"/>
  <c r="AP484" i="2"/>
  <c r="AO969" i="2"/>
  <c r="AO967" i="2"/>
  <c r="AO966" i="2"/>
  <c r="AO874" i="2"/>
  <c r="AO851" i="2"/>
  <c r="AO843" i="2"/>
  <c r="AO828" i="2"/>
  <c r="AO805" i="2"/>
  <c r="AO492" i="2"/>
  <c r="AO484" i="2"/>
  <c r="AN969" i="2"/>
  <c r="AN967" i="2"/>
  <c r="AN966" i="2"/>
  <c r="AN874" i="2"/>
  <c r="AN851" i="2"/>
  <c r="AN843" i="2"/>
  <c r="AN828" i="2"/>
  <c r="AN805" i="2"/>
  <c r="AN492" i="2"/>
  <c r="AN484" i="2"/>
  <c r="AM969" i="2"/>
  <c r="AM967" i="2"/>
  <c r="AM966" i="2"/>
  <c r="AM874" i="2"/>
  <c r="AM851" i="2"/>
  <c r="AM843" i="2"/>
  <c r="AM828" i="2"/>
  <c r="AM805" i="2"/>
  <c r="AM492" i="2"/>
  <c r="AM484" i="2"/>
  <c r="AL969" i="2"/>
  <c r="AL967" i="2"/>
  <c r="AL966" i="2"/>
  <c r="AL874" i="2"/>
  <c r="AL851" i="2"/>
  <c r="AL843" i="2"/>
  <c r="AL828" i="2"/>
  <c r="AL805" i="2"/>
  <c r="AL492" i="2"/>
  <c r="AL484" i="2"/>
  <c r="AK969" i="2"/>
  <c r="AK967" i="2"/>
  <c r="AK966" i="2"/>
  <c r="AK874" i="2"/>
  <c r="AK851" i="2"/>
  <c r="AK843" i="2"/>
  <c r="AK828" i="2"/>
  <c r="AK805" i="2"/>
  <c r="AK492" i="2"/>
  <c r="AK484" i="2"/>
  <c r="AJ969" i="2"/>
  <c r="AJ967" i="2"/>
  <c r="AJ966" i="2"/>
  <c r="AJ874" i="2"/>
  <c r="AJ851" i="2"/>
  <c r="AJ843" i="2"/>
  <c r="AJ828" i="2"/>
  <c r="AJ805" i="2"/>
  <c r="AJ492" i="2"/>
  <c r="AJ484" i="2"/>
  <c r="AI969" i="2"/>
  <c r="AI967" i="2"/>
  <c r="AI966" i="2"/>
  <c r="AI874" i="2"/>
  <c r="AI851" i="2"/>
  <c r="AI843" i="2"/>
  <c r="AI828" i="2"/>
  <c r="AI805" i="2"/>
  <c r="AI492" i="2"/>
  <c r="AI484" i="2"/>
  <c r="AH969" i="2"/>
  <c r="AH967" i="2"/>
  <c r="AH966" i="2"/>
  <c r="AH874" i="2"/>
  <c r="AH851" i="2"/>
  <c r="AH843" i="2"/>
  <c r="AH828" i="2"/>
  <c r="AH805" i="2"/>
  <c r="AH492" i="2"/>
  <c r="AH484" i="2"/>
  <c r="AG969" i="2"/>
  <c r="AG967" i="2"/>
  <c r="AG966" i="2"/>
  <c r="AG874" i="2"/>
  <c r="AG851" i="2"/>
  <c r="AG843" i="2"/>
  <c r="AG828" i="2"/>
  <c r="AG805" i="2"/>
  <c r="AG492" i="2"/>
  <c r="AG484" i="2"/>
  <c r="AF969" i="2"/>
  <c r="AF967" i="2"/>
  <c r="AF966" i="2"/>
  <c r="AF874" i="2"/>
  <c r="AF851" i="2"/>
  <c r="AF843" i="2"/>
  <c r="AF828" i="2"/>
  <c r="AF805" i="2"/>
  <c r="AF492" i="2"/>
  <c r="AF484" i="2"/>
  <c r="AE969" i="2"/>
  <c r="AE967" i="2"/>
  <c r="AE966" i="2"/>
  <c r="AE874" i="2"/>
  <c r="AE851" i="2"/>
  <c r="AE843" i="2"/>
  <c r="AE828" i="2"/>
  <c r="AE805" i="2"/>
  <c r="AE492" i="2"/>
  <c r="AE484" i="2"/>
  <c r="AD969" i="2"/>
  <c r="AD967" i="2"/>
  <c r="AD966" i="2"/>
  <c r="AD874" i="2"/>
  <c r="AD851" i="2"/>
  <c r="AD843" i="2"/>
  <c r="AD828" i="2"/>
  <c r="AD805" i="2"/>
  <c r="AD492" i="2"/>
  <c r="AD484" i="2"/>
  <c r="AC969" i="2"/>
  <c r="AC967" i="2"/>
  <c r="AC966" i="2"/>
  <c r="AC874" i="2"/>
  <c r="AC851" i="2"/>
  <c r="AC843" i="2"/>
  <c r="AC828" i="2"/>
  <c r="AC805" i="2"/>
  <c r="AC492" i="2"/>
  <c r="AC484" i="2"/>
  <c r="AB969" i="2"/>
  <c r="AB967" i="2"/>
  <c r="AB966" i="2"/>
  <c r="AB874" i="2"/>
  <c r="AB851" i="2"/>
  <c r="AB843" i="2"/>
  <c r="AB828" i="2"/>
  <c r="AB805" i="2"/>
  <c r="AB492" i="2"/>
  <c r="AB484" i="2"/>
  <c r="AA969" i="2"/>
  <c r="AA967" i="2"/>
  <c r="AA966" i="2"/>
  <c r="AA874" i="2"/>
  <c r="AA851" i="2"/>
  <c r="AA843" i="2"/>
  <c r="AA828" i="2"/>
  <c r="AA805" i="2"/>
  <c r="AA492" i="2"/>
  <c r="AA484" i="2"/>
  <c r="Z969" i="2"/>
  <c r="Z967" i="2"/>
  <c r="Z966" i="2"/>
  <c r="Z874" i="2"/>
  <c r="Z851" i="2"/>
  <c r="Z843" i="2"/>
  <c r="Z828" i="2"/>
  <c r="Z805" i="2"/>
  <c r="Z492" i="2"/>
  <c r="Z484" i="2"/>
  <c r="Y969" i="2"/>
  <c r="Y967" i="2"/>
  <c r="Y966" i="2"/>
  <c r="Y874" i="2"/>
  <c r="Y851" i="2"/>
  <c r="Y843" i="2"/>
  <c r="Y828" i="2"/>
  <c r="Y805" i="2"/>
  <c r="Y492" i="2"/>
  <c r="Y484" i="2"/>
  <c r="X969" i="2"/>
  <c r="X967" i="2"/>
  <c r="X966" i="2"/>
  <c r="X874" i="2"/>
  <c r="X851" i="2"/>
  <c r="X843" i="2"/>
  <c r="X828" i="2"/>
  <c r="X805" i="2"/>
  <c r="X492" i="2"/>
  <c r="X484" i="2"/>
  <c r="W969" i="2"/>
  <c r="W967" i="2"/>
  <c r="W966" i="2"/>
  <c r="W874" i="2"/>
  <c r="W851" i="2"/>
  <c r="W843" i="2"/>
  <c r="W828" i="2"/>
  <c r="W805" i="2"/>
  <c r="W492" i="2"/>
  <c r="W484" i="2"/>
  <c r="V969" i="2"/>
  <c r="V967" i="2"/>
  <c r="V966" i="2"/>
  <c r="V874" i="2"/>
  <c r="V851" i="2"/>
  <c r="V843" i="2"/>
  <c r="V828" i="2"/>
  <c r="V805" i="2"/>
  <c r="V492" i="2"/>
  <c r="V484" i="2"/>
  <c r="U969" i="2"/>
  <c r="U967" i="2"/>
  <c r="U966" i="2"/>
  <c r="U874" i="2"/>
  <c r="U851" i="2"/>
  <c r="U843" i="2"/>
  <c r="U828" i="2"/>
  <c r="U805" i="2"/>
  <c r="U492" i="2"/>
  <c r="U484" i="2"/>
  <c r="T969" i="2"/>
  <c r="T967" i="2"/>
  <c r="T966" i="2"/>
  <c r="T874" i="2"/>
  <c r="T851" i="2"/>
  <c r="T843" i="2"/>
  <c r="T828" i="2"/>
  <c r="T805" i="2"/>
  <c r="T492" i="2"/>
  <c r="T484" i="2"/>
  <c r="S969" i="2"/>
  <c r="S967" i="2"/>
  <c r="S966" i="2"/>
  <c r="S874" i="2"/>
  <c r="S851" i="2"/>
  <c r="S843" i="2"/>
  <c r="S828" i="2"/>
  <c r="S805" i="2"/>
  <c r="S492" i="2"/>
  <c r="S484" i="2"/>
  <c r="R969" i="2"/>
  <c r="R967" i="2"/>
  <c r="R966" i="2"/>
  <c r="R874" i="2"/>
  <c r="R851" i="2"/>
  <c r="R843" i="2"/>
  <c r="R828" i="2"/>
  <c r="R805" i="2"/>
  <c r="R492" i="2"/>
  <c r="R484" i="2"/>
  <c r="Q969" i="2"/>
  <c r="Q967" i="2"/>
  <c r="Q966" i="2"/>
  <c r="Q874" i="2"/>
  <c r="Q851" i="2"/>
  <c r="Q843" i="2"/>
  <c r="Q828" i="2"/>
  <c r="Q805" i="2"/>
  <c r="Q492" i="2"/>
  <c r="Q484" i="2"/>
  <c r="P969" i="2"/>
  <c r="P967" i="2"/>
  <c r="P966" i="2"/>
  <c r="P874" i="2"/>
  <c r="P851" i="2"/>
  <c r="P843" i="2"/>
  <c r="P828" i="2"/>
  <c r="P805" i="2"/>
  <c r="P492" i="2"/>
  <c r="P484" i="2"/>
  <c r="O969" i="2"/>
  <c r="O967" i="2"/>
  <c r="O966" i="2"/>
  <c r="O874" i="2"/>
  <c r="O851" i="2"/>
  <c r="O843" i="2"/>
  <c r="O828" i="2"/>
  <c r="O805" i="2"/>
  <c r="O492" i="2"/>
  <c r="O484" i="2"/>
  <c r="N969" i="2"/>
  <c r="N967" i="2"/>
  <c r="N966" i="2"/>
  <c r="N874" i="2"/>
  <c r="N851" i="2"/>
  <c r="N843" i="2"/>
  <c r="N828" i="2"/>
  <c r="N805" i="2"/>
  <c r="N492" i="2"/>
  <c r="N484" i="2"/>
  <c r="M969" i="2"/>
  <c r="M967" i="2"/>
  <c r="M966" i="2"/>
  <c r="M874" i="2"/>
  <c r="M851" i="2"/>
  <c r="M843" i="2"/>
  <c r="M828" i="2"/>
  <c r="M805" i="2"/>
  <c r="M492" i="2"/>
  <c r="M484" i="2"/>
  <c r="L969" i="2"/>
  <c r="L967" i="2"/>
  <c r="L966" i="2"/>
  <c r="L874" i="2"/>
  <c r="L851" i="2"/>
  <c r="L843" i="2"/>
  <c r="L828" i="2"/>
  <c r="L805" i="2"/>
  <c r="L492" i="2"/>
  <c r="L484" i="2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E88" i="12"/>
  <c r="E87" i="12"/>
  <c r="E86" i="12"/>
  <c r="E80" i="12"/>
  <c r="E79" i="12"/>
  <c r="E78" i="12"/>
  <c r="E72" i="12"/>
  <c r="E71" i="12"/>
  <c r="E70" i="12"/>
  <c r="E64" i="12"/>
  <c r="E63" i="12"/>
  <c r="E62" i="12"/>
  <c r="E56" i="12"/>
  <c r="E55" i="12"/>
  <c r="E54" i="12"/>
  <c r="E48" i="12"/>
  <c r="E47" i="12"/>
  <c r="E46" i="12"/>
  <c r="E40" i="12"/>
  <c r="E39" i="12"/>
  <c r="E38" i="12"/>
  <c r="E32" i="12"/>
  <c r="E31" i="12"/>
  <c r="E30" i="12"/>
  <c r="B25" i="12"/>
  <c r="E24" i="12"/>
  <c r="E23" i="12"/>
  <c r="E22" i="12"/>
  <c r="AE547" i="2" l="1"/>
  <c r="L756" i="2"/>
  <c r="T756" i="2"/>
  <c r="AB756" i="2"/>
  <c r="AJ756" i="2"/>
  <c r="AR756" i="2"/>
  <c r="AK520" i="2"/>
  <c r="G547" i="2"/>
  <c r="AJ547" i="2"/>
  <c r="M756" i="2"/>
  <c r="M520" i="2"/>
  <c r="AL520" i="2"/>
  <c r="AT536" i="2"/>
  <c r="L547" i="2"/>
  <c r="AK547" i="2"/>
  <c r="AC941" i="2"/>
  <c r="AK941" i="2"/>
  <c r="AM547" i="2"/>
  <c r="AI62" i="2"/>
  <c r="AI267" i="2" s="1"/>
  <c r="U520" i="2"/>
  <c r="AT520" i="2"/>
  <c r="T547" i="2"/>
  <c r="M547" i="2"/>
  <c r="V520" i="2"/>
  <c r="U547" i="2"/>
  <c r="O547" i="2"/>
  <c r="AR547" i="2"/>
  <c r="Q49" i="2"/>
  <c r="Q212" i="2" s="1"/>
  <c r="Q361" i="2" s="1"/>
  <c r="AB520" i="2"/>
  <c r="AC547" i="2"/>
  <c r="AB819" i="2"/>
  <c r="T819" i="2"/>
  <c r="AV819" i="2"/>
  <c r="AN819" i="2"/>
  <c r="AF819" i="2"/>
  <c r="X819" i="2"/>
  <c r="AM819" i="2"/>
  <c r="AE819" i="2"/>
  <c r="W819" i="2"/>
  <c r="O819" i="2"/>
  <c r="P819" i="2"/>
  <c r="G941" i="2"/>
  <c r="AQ528" i="2"/>
  <c r="P528" i="2"/>
  <c r="N528" i="2"/>
  <c r="AV528" i="2"/>
  <c r="M528" i="2"/>
  <c r="AS528" i="2"/>
  <c r="AD528" i="2"/>
  <c r="W72" i="2"/>
  <c r="W74" i="2" s="1"/>
  <c r="O75" i="2"/>
  <c r="AC528" i="2"/>
  <c r="AF528" i="2"/>
  <c r="W62" i="2"/>
  <c r="W267" i="2" s="1"/>
  <c r="AM62" i="2"/>
  <c r="AM267" i="2" s="1"/>
  <c r="AT528" i="2"/>
  <c r="K75" i="2"/>
  <c r="AC694" i="2"/>
  <c r="AC777" i="2" s="1"/>
  <c r="Q694" i="2"/>
  <c r="Q777" i="2" s="1"/>
  <c r="K694" i="2"/>
  <c r="K777" i="2" s="1"/>
  <c r="AT819" i="2"/>
  <c r="AL819" i="2"/>
  <c r="V819" i="2"/>
  <c r="N819" i="2"/>
  <c r="AR819" i="2"/>
  <c r="AJ819" i="2"/>
  <c r="L819" i="2"/>
  <c r="AS819" i="2"/>
  <c r="AK819" i="2"/>
  <c r="AC819" i="2"/>
  <c r="M819" i="2"/>
  <c r="N941" i="2"/>
  <c r="V941" i="2"/>
  <c r="AD941" i="2"/>
  <c r="AL941" i="2"/>
  <c r="AT941" i="2"/>
  <c r="AA728" i="2"/>
  <c r="AQ819" i="2"/>
  <c r="AA819" i="2"/>
  <c r="S819" i="2"/>
  <c r="O66" i="2"/>
  <c r="AC520" i="2"/>
  <c r="AV520" i="2"/>
  <c r="AD536" i="2"/>
  <c r="W547" i="2"/>
  <c r="AS547" i="2"/>
  <c r="AF566" i="2"/>
  <c r="S62" i="2"/>
  <c r="S267" i="2" s="1"/>
  <c r="M728" i="2"/>
  <c r="U728" i="2"/>
  <c r="AC728" i="2"/>
  <c r="AK728" i="2"/>
  <c r="AS728" i="2"/>
  <c r="H802" i="2"/>
  <c r="P802" i="2"/>
  <c r="P24" i="4" s="1"/>
  <c r="X802" i="2"/>
  <c r="X24" i="4" s="1"/>
  <c r="AF802" i="2"/>
  <c r="AF24" i="4" s="1"/>
  <c r="AN802" i="2"/>
  <c r="AN24" i="4" s="1"/>
  <c r="AV802" i="2"/>
  <c r="AV24" i="4" s="1"/>
  <c r="V803" i="2"/>
  <c r="L520" i="2"/>
  <c r="AD520" i="2"/>
  <c r="AF536" i="2"/>
  <c r="AB547" i="2"/>
  <c r="AU547" i="2"/>
  <c r="AS566" i="2"/>
  <c r="O941" i="2"/>
  <c r="W941" i="2"/>
  <c r="AE941" i="2"/>
  <c r="AM941" i="2"/>
  <c r="AU941" i="2"/>
  <c r="I941" i="2"/>
  <c r="Q941" i="2"/>
  <c r="Y941" i="2"/>
  <c r="AG941" i="2"/>
  <c r="AO941" i="2"/>
  <c r="H941" i="2"/>
  <c r="P941" i="2"/>
  <c r="X941" i="2"/>
  <c r="AF941" i="2"/>
  <c r="AN941" i="2"/>
  <c r="AV941" i="2"/>
  <c r="L941" i="2"/>
  <c r="T941" i="2"/>
  <c r="AB941" i="2"/>
  <c r="AJ941" i="2"/>
  <c r="AR941" i="2"/>
  <c r="M941" i="2"/>
  <c r="U941" i="2"/>
  <c r="AS941" i="2"/>
  <c r="J941" i="2"/>
  <c r="R941" i="2"/>
  <c r="Z941" i="2"/>
  <c r="AH941" i="2"/>
  <c r="AP941" i="2"/>
  <c r="AK908" i="2"/>
  <c r="K941" i="2"/>
  <c r="S941" i="2"/>
  <c r="AA941" i="2"/>
  <c r="AI941" i="2"/>
  <c r="AQ941" i="2"/>
  <c r="AI927" i="2"/>
  <c r="AT908" i="2"/>
  <c r="G908" i="2"/>
  <c r="AB908" i="2"/>
  <c r="AE908" i="2"/>
  <c r="T908" i="2"/>
  <c r="N908" i="2"/>
  <c r="AR908" i="2"/>
  <c r="AD908" i="2"/>
  <c r="Q908" i="2"/>
  <c r="O908" i="2"/>
  <c r="AX907" i="2"/>
  <c r="AM908" i="2"/>
  <c r="W908" i="2"/>
  <c r="T927" i="2"/>
  <c r="Y908" i="2"/>
  <c r="U927" i="2"/>
  <c r="AJ908" i="2"/>
  <c r="AG908" i="2"/>
  <c r="AT927" i="2"/>
  <c r="AD927" i="2"/>
  <c r="N927" i="2"/>
  <c r="AS927" i="2"/>
  <c r="AC927" i="2"/>
  <c r="M927" i="2"/>
  <c r="AR927" i="2"/>
  <c r="AB927" i="2"/>
  <c r="L927" i="2"/>
  <c r="AQ927" i="2"/>
  <c r="AA927" i="2"/>
  <c r="K927" i="2"/>
  <c r="AL927" i="2"/>
  <c r="V927" i="2"/>
  <c r="I908" i="2"/>
  <c r="AL908" i="2"/>
  <c r="AX926" i="2"/>
  <c r="AK927" i="2"/>
  <c r="L908" i="2"/>
  <c r="AU908" i="2"/>
  <c r="M908" i="2"/>
  <c r="U908" i="2"/>
  <c r="AC908" i="2"/>
  <c r="AS908" i="2"/>
  <c r="AJ927" i="2"/>
  <c r="V908" i="2"/>
  <c r="S927" i="2"/>
  <c r="G927" i="2"/>
  <c r="O927" i="2"/>
  <c r="W927" i="2"/>
  <c r="AE927" i="2"/>
  <c r="AM927" i="2"/>
  <c r="AU927" i="2"/>
  <c r="H927" i="2"/>
  <c r="P927" i="2"/>
  <c r="X927" i="2"/>
  <c r="AF927" i="2"/>
  <c r="AN927" i="2"/>
  <c r="AV927" i="2"/>
  <c r="AO908" i="2"/>
  <c r="H908" i="2"/>
  <c r="P908" i="2"/>
  <c r="X908" i="2"/>
  <c r="AF908" i="2"/>
  <c r="AN908" i="2"/>
  <c r="AV908" i="2"/>
  <c r="I927" i="2"/>
  <c r="Q927" i="2"/>
  <c r="Y927" i="2"/>
  <c r="AG927" i="2"/>
  <c r="AO927" i="2"/>
  <c r="J927" i="2"/>
  <c r="R927" i="2"/>
  <c r="Z927" i="2"/>
  <c r="AH927" i="2"/>
  <c r="AP927" i="2"/>
  <c r="J908" i="2"/>
  <c r="R908" i="2"/>
  <c r="Z908" i="2"/>
  <c r="AH908" i="2"/>
  <c r="AP908" i="2"/>
  <c r="K908" i="2"/>
  <c r="S908" i="2"/>
  <c r="AA908" i="2"/>
  <c r="AI908" i="2"/>
  <c r="AQ908" i="2"/>
  <c r="AQ942" i="2" s="1"/>
  <c r="L566" i="2"/>
  <c r="V566" i="2"/>
  <c r="AH566" i="2"/>
  <c r="AT566" i="2"/>
  <c r="M566" i="2"/>
  <c r="X566" i="2"/>
  <c r="AJ566" i="2"/>
  <c r="AV566" i="2"/>
  <c r="P566" i="2"/>
  <c r="R566" i="2"/>
  <c r="AB566" i="2"/>
  <c r="AN566" i="2"/>
  <c r="Z566" i="2"/>
  <c r="AK566" i="2"/>
  <c r="AL566" i="2"/>
  <c r="H566" i="2"/>
  <c r="S566" i="2"/>
  <c r="AC566" i="2"/>
  <c r="AP566" i="2"/>
  <c r="N566" i="2"/>
  <c r="AA566" i="2"/>
  <c r="J566" i="2"/>
  <c r="T566" i="2"/>
  <c r="AD566" i="2"/>
  <c r="AR566" i="2"/>
  <c r="G566" i="2"/>
  <c r="O566" i="2"/>
  <c r="W566" i="2"/>
  <c r="AE566" i="2"/>
  <c r="AM566" i="2"/>
  <c r="AU566" i="2"/>
  <c r="I566" i="2"/>
  <c r="Q566" i="2"/>
  <c r="Y566" i="2"/>
  <c r="AG566" i="2"/>
  <c r="AO566" i="2"/>
  <c r="AI566" i="2"/>
  <c r="U555" i="2"/>
  <c r="AK555" i="2"/>
  <c r="H547" i="2"/>
  <c r="X547" i="2"/>
  <c r="AN547" i="2"/>
  <c r="G555" i="2"/>
  <c r="W555" i="2"/>
  <c r="AM555" i="2"/>
  <c r="P555" i="2"/>
  <c r="X555" i="2"/>
  <c r="L555" i="2"/>
  <c r="AB555" i="2"/>
  <c r="AR555" i="2"/>
  <c r="AV555" i="2"/>
  <c r="T555" i="2"/>
  <c r="AN555" i="2"/>
  <c r="M555" i="2"/>
  <c r="AC555" i="2"/>
  <c r="AS555" i="2"/>
  <c r="AF555" i="2"/>
  <c r="AJ555" i="2"/>
  <c r="H555" i="2"/>
  <c r="P547" i="2"/>
  <c r="AF547" i="2"/>
  <c r="AV547" i="2"/>
  <c r="O555" i="2"/>
  <c r="AE555" i="2"/>
  <c r="AU555" i="2"/>
  <c r="N547" i="2"/>
  <c r="V547" i="2"/>
  <c r="AD547" i="2"/>
  <c r="AL547" i="2"/>
  <c r="AT547" i="2"/>
  <c r="N555" i="2"/>
  <c r="V555" i="2"/>
  <c r="AD555" i="2"/>
  <c r="AL555" i="2"/>
  <c r="AT555" i="2"/>
  <c r="I547" i="2"/>
  <c r="Q547" i="2"/>
  <c r="Y547" i="2"/>
  <c r="AG547" i="2"/>
  <c r="AO547" i="2"/>
  <c r="I555" i="2"/>
  <c r="Q555" i="2"/>
  <c r="Y555" i="2"/>
  <c r="AG555" i="2"/>
  <c r="AO555" i="2"/>
  <c r="J547" i="2"/>
  <c r="R547" i="2"/>
  <c r="Z547" i="2"/>
  <c r="AH547" i="2"/>
  <c r="AP547" i="2"/>
  <c r="J555" i="2"/>
  <c r="R555" i="2"/>
  <c r="Z555" i="2"/>
  <c r="AH555" i="2"/>
  <c r="AP555" i="2"/>
  <c r="K547" i="2"/>
  <c r="S547" i="2"/>
  <c r="AA547" i="2"/>
  <c r="AI547" i="2"/>
  <c r="K555" i="2"/>
  <c r="S555" i="2"/>
  <c r="AA555" i="2"/>
  <c r="AI555" i="2"/>
  <c r="T520" i="2"/>
  <c r="AJ520" i="2"/>
  <c r="U528" i="2"/>
  <c r="AK528" i="2"/>
  <c r="V536" i="2"/>
  <c r="AL536" i="2"/>
  <c r="AJ528" i="2"/>
  <c r="V528" i="2"/>
  <c r="AL528" i="2"/>
  <c r="H536" i="2"/>
  <c r="X536" i="2"/>
  <c r="AN536" i="2"/>
  <c r="AJ536" i="2"/>
  <c r="T528" i="2"/>
  <c r="U536" i="2"/>
  <c r="H528" i="2"/>
  <c r="X528" i="2"/>
  <c r="AN528" i="2"/>
  <c r="L536" i="2"/>
  <c r="AB536" i="2"/>
  <c r="AR536" i="2"/>
  <c r="T536" i="2"/>
  <c r="AK536" i="2"/>
  <c r="M803" i="2"/>
  <c r="U803" i="2"/>
  <c r="AC803" i="2"/>
  <c r="AK803" i="2"/>
  <c r="AS803" i="2"/>
  <c r="H520" i="2"/>
  <c r="X520" i="2"/>
  <c r="AN520" i="2"/>
  <c r="L528" i="2"/>
  <c r="AB528" i="2"/>
  <c r="AR528" i="2"/>
  <c r="M536" i="2"/>
  <c r="AC536" i="2"/>
  <c r="AS536" i="2"/>
  <c r="G520" i="2"/>
  <c r="O520" i="2"/>
  <c r="W520" i="2"/>
  <c r="AE520" i="2"/>
  <c r="AM520" i="2"/>
  <c r="AU520" i="2"/>
  <c r="G528" i="2"/>
  <c r="O528" i="2"/>
  <c r="W528" i="2"/>
  <c r="AE528" i="2"/>
  <c r="AM528" i="2"/>
  <c r="AU528" i="2"/>
  <c r="G536" i="2"/>
  <c r="O536" i="2"/>
  <c r="W536" i="2"/>
  <c r="AE536" i="2"/>
  <c r="AM536" i="2"/>
  <c r="AU536" i="2"/>
  <c r="I520" i="2"/>
  <c r="Q520" i="2"/>
  <c r="Y520" i="2"/>
  <c r="AG520" i="2"/>
  <c r="AO520" i="2"/>
  <c r="I528" i="2"/>
  <c r="Q528" i="2"/>
  <c r="Y528" i="2"/>
  <c r="AG528" i="2"/>
  <c r="AO528" i="2"/>
  <c r="I536" i="2"/>
  <c r="Q536" i="2"/>
  <c r="Y536" i="2"/>
  <c r="AG536" i="2"/>
  <c r="AO536" i="2"/>
  <c r="J520" i="2"/>
  <c r="R520" i="2"/>
  <c r="Z520" i="2"/>
  <c r="AH520" i="2"/>
  <c r="AP520" i="2"/>
  <c r="J528" i="2"/>
  <c r="R528" i="2"/>
  <c r="Z528" i="2"/>
  <c r="AH528" i="2"/>
  <c r="AP528" i="2"/>
  <c r="J536" i="2"/>
  <c r="R536" i="2"/>
  <c r="Z536" i="2"/>
  <c r="AH536" i="2"/>
  <c r="AP536" i="2"/>
  <c r="K520" i="2"/>
  <c r="S520" i="2"/>
  <c r="AA520" i="2"/>
  <c r="AI520" i="2"/>
  <c r="K528" i="2"/>
  <c r="S528" i="2"/>
  <c r="AA528" i="2"/>
  <c r="AI528" i="2"/>
  <c r="K536" i="2"/>
  <c r="S536" i="2"/>
  <c r="AA536" i="2"/>
  <c r="AI536" i="2"/>
  <c r="G35" i="2"/>
  <c r="G25" i="2"/>
  <c r="L802" i="2"/>
  <c r="L24" i="4" s="1"/>
  <c r="G28" i="2"/>
  <c r="H35" i="2"/>
  <c r="H36" i="2"/>
  <c r="H28" i="2"/>
  <c r="H34" i="2"/>
  <c r="H33" i="2"/>
  <c r="H25" i="2"/>
  <c r="G34" i="2"/>
  <c r="G26" i="2"/>
  <c r="G22" i="2"/>
  <c r="H37" i="2"/>
  <c r="G37" i="2"/>
  <c r="H22" i="2"/>
  <c r="AU73" i="2"/>
  <c r="G69" i="2"/>
  <c r="G285" i="2" s="1"/>
  <c r="AQ62" i="2"/>
  <c r="AQ267" i="2" s="1"/>
  <c r="Q9" i="2"/>
  <c r="Q50" i="2"/>
  <c r="Q230" i="2" s="1"/>
  <c r="Q362" i="2" s="1"/>
  <c r="Q47" i="2"/>
  <c r="Q176" i="2" s="1"/>
  <c r="Q359" i="2" s="1"/>
  <c r="Q51" i="2"/>
  <c r="Q248" i="2" s="1"/>
  <c r="Q363" i="2" s="1"/>
  <c r="O67" i="2"/>
  <c r="O69" i="2" s="1"/>
  <c r="O285" i="2" s="1"/>
  <c r="S66" i="2"/>
  <c r="W66" i="2" s="1"/>
  <c r="AA66" i="2" s="1"/>
  <c r="AE66" i="2" s="1"/>
  <c r="W65" i="2"/>
  <c r="Q48" i="2"/>
  <c r="Q194" i="2" s="1"/>
  <c r="Q360" i="2" s="1"/>
  <c r="AU62" i="2"/>
  <c r="AU267" i="2" s="1"/>
  <c r="O74" i="2"/>
  <c r="O76" i="2" s="1"/>
  <c r="O303" i="2" s="1"/>
  <c r="K68" i="2"/>
  <c r="K69" i="2" s="1"/>
  <c r="K285" i="2" s="1"/>
  <c r="M694" i="2"/>
  <c r="AF694" i="2"/>
  <c r="AF777" i="2" s="1"/>
  <c r="U724" i="2"/>
  <c r="AG694" i="2"/>
  <c r="AC724" i="2"/>
  <c r="AC791" i="2" s="1"/>
  <c r="G62" i="2"/>
  <c r="G267" i="2" s="1"/>
  <c r="AK694" i="2"/>
  <c r="AK777" i="2" s="1"/>
  <c r="N728" i="2"/>
  <c r="AC756" i="2"/>
  <c r="AS756" i="2"/>
  <c r="K62" i="2"/>
  <c r="K267" i="2" s="1"/>
  <c r="AN694" i="2"/>
  <c r="AN777" i="2" s="1"/>
  <c r="J358" i="2"/>
  <c r="I358" i="2"/>
  <c r="G358" i="2"/>
  <c r="P358" i="2"/>
  <c r="H358" i="2"/>
  <c r="O358" i="2"/>
  <c r="M358" i="2"/>
  <c r="N358" i="2"/>
  <c r="L358" i="2"/>
  <c r="K358" i="2"/>
  <c r="I802" i="2"/>
  <c r="Y802" i="2"/>
  <c r="Y24" i="4" s="1"/>
  <c r="AO802" i="2"/>
  <c r="AO24" i="4" s="1"/>
  <c r="G803" i="2"/>
  <c r="O803" i="2"/>
  <c r="W803" i="2"/>
  <c r="AE803" i="2"/>
  <c r="AM803" i="2"/>
  <c r="AU803" i="2"/>
  <c r="G804" i="2"/>
  <c r="AL803" i="2"/>
  <c r="AG802" i="2"/>
  <c r="AG24" i="4" s="1"/>
  <c r="AB802" i="2"/>
  <c r="AB24" i="4" s="1"/>
  <c r="Q802" i="2"/>
  <c r="Q24" i="4" s="1"/>
  <c r="K803" i="2"/>
  <c r="AA803" i="2"/>
  <c r="AQ803" i="2"/>
  <c r="P803" i="2"/>
  <c r="AF803" i="2"/>
  <c r="AV803" i="2"/>
  <c r="K802" i="2"/>
  <c r="S802" i="2"/>
  <c r="S24" i="4" s="1"/>
  <c r="AA802" i="2"/>
  <c r="AA24" i="4" s="1"/>
  <c r="AI802" i="2"/>
  <c r="AI24" i="4" s="1"/>
  <c r="AQ802" i="2"/>
  <c r="AQ24" i="4" s="1"/>
  <c r="I803" i="2"/>
  <c r="Q803" i="2"/>
  <c r="Y803" i="2"/>
  <c r="AG803" i="2"/>
  <c r="AO803" i="2"/>
  <c r="T802" i="2"/>
  <c r="T24" i="4" s="1"/>
  <c r="AJ802" i="2"/>
  <c r="AJ24" i="4" s="1"/>
  <c r="AR802" i="2"/>
  <c r="AR24" i="4" s="1"/>
  <c r="J803" i="2"/>
  <c r="R803" i="2"/>
  <c r="Z803" i="2"/>
  <c r="AH803" i="2"/>
  <c r="AP803" i="2"/>
  <c r="H803" i="2"/>
  <c r="X803" i="2"/>
  <c r="AN803" i="2"/>
  <c r="M802" i="2"/>
  <c r="M24" i="4" s="1"/>
  <c r="U802" i="2"/>
  <c r="U24" i="4" s="1"/>
  <c r="AC802" i="2"/>
  <c r="AC24" i="4" s="1"/>
  <c r="AK802" i="2"/>
  <c r="AK24" i="4" s="1"/>
  <c r="AS802" i="2"/>
  <c r="AS24" i="4" s="1"/>
  <c r="S803" i="2"/>
  <c r="AI803" i="2"/>
  <c r="N802" i="2"/>
  <c r="N24" i="4" s="1"/>
  <c r="V802" i="2"/>
  <c r="V24" i="4" s="1"/>
  <c r="AD802" i="2"/>
  <c r="AD24" i="4" s="1"/>
  <c r="AL802" i="2"/>
  <c r="AL24" i="4" s="1"/>
  <c r="AT802" i="2"/>
  <c r="AT24" i="4" s="1"/>
  <c r="L803" i="2"/>
  <c r="T803" i="2"/>
  <c r="AB803" i="2"/>
  <c r="AJ803" i="2"/>
  <c r="AR803" i="2"/>
  <c r="G802" i="2"/>
  <c r="O802" i="2"/>
  <c r="O24" i="4" s="1"/>
  <c r="W802" i="2"/>
  <c r="W24" i="4" s="1"/>
  <c r="AE802" i="2"/>
  <c r="AE24" i="4" s="1"/>
  <c r="AM802" i="2"/>
  <c r="AM24" i="4" s="1"/>
  <c r="AU802" i="2"/>
  <c r="AU24" i="4" s="1"/>
  <c r="AM752" i="2"/>
  <c r="T752" i="2"/>
  <c r="AS752" i="2"/>
  <c r="M752" i="2"/>
  <c r="AL752" i="2"/>
  <c r="G752" i="2"/>
  <c r="G761" i="2" s="1"/>
  <c r="AK752" i="2"/>
  <c r="AJ752" i="2"/>
  <c r="W752" i="2"/>
  <c r="U752" i="2"/>
  <c r="N803" i="2"/>
  <c r="AD803" i="2"/>
  <c r="AT803" i="2"/>
  <c r="AP756" i="2"/>
  <c r="Z756" i="2"/>
  <c r="U756" i="2"/>
  <c r="N756" i="2"/>
  <c r="V756" i="2"/>
  <c r="AD756" i="2"/>
  <c r="AL756" i="2"/>
  <c r="AT756" i="2"/>
  <c r="V752" i="2"/>
  <c r="S756" i="2"/>
  <c r="AA756" i="2"/>
  <c r="AI756" i="2"/>
  <c r="AQ756" i="2"/>
  <c r="J756" i="2"/>
  <c r="AK756" i="2"/>
  <c r="AX765" i="2"/>
  <c r="O756" i="2"/>
  <c r="AM756" i="2"/>
  <c r="H756" i="2"/>
  <c r="P756" i="2"/>
  <c r="X756" i="2"/>
  <c r="AF756" i="2"/>
  <c r="AN756" i="2"/>
  <c r="AV756" i="2"/>
  <c r="W756" i="2"/>
  <c r="AU756" i="2"/>
  <c r="I756" i="2"/>
  <c r="Q756" i="2"/>
  <c r="Y756" i="2"/>
  <c r="AG756" i="2"/>
  <c r="AO756" i="2"/>
  <c r="G756" i="2"/>
  <c r="AE756" i="2"/>
  <c r="J802" i="2"/>
  <c r="R802" i="2"/>
  <c r="R24" i="4" s="1"/>
  <c r="Z802" i="2"/>
  <c r="Z24" i="4" s="1"/>
  <c r="AH802" i="2"/>
  <c r="AH24" i="4" s="1"/>
  <c r="AP802" i="2"/>
  <c r="AP24" i="4" s="1"/>
  <c r="R756" i="2"/>
  <c r="AH756" i="2"/>
  <c r="L752" i="2"/>
  <c r="AB752" i="2"/>
  <c r="AR752" i="2"/>
  <c r="B754" i="2"/>
  <c r="G754" i="2" s="1"/>
  <c r="AJ728" i="2"/>
  <c r="AX749" i="2"/>
  <c r="N752" i="2"/>
  <c r="AD752" i="2"/>
  <c r="AT752" i="2"/>
  <c r="AQ752" i="2"/>
  <c r="AI752" i="2"/>
  <c r="AA752" i="2"/>
  <c r="S752" i="2"/>
  <c r="K752" i="2"/>
  <c r="AP752" i="2"/>
  <c r="AH752" i="2"/>
  <c r="Z752" i="2"/>
  <c r="R752" i="2"/>
  <c r="J752" i="2"/>
  <c r="AO752" i="2"/>
  <c r="AG752" i="2"/>
  <c r="Y752" i="2"/>
  <c r="Q752" i="2"/>
  <c r="I752" i="2"/>
  <c r="AV752" i="2"/>
  <c r="AN752" i="2"/>
  <c r="AF752" i="2"/>
  <c r="X752" i="2"/>
  <c r="P752" i="2"/>
  <c r="H752" i="2"/>
  <c r="O752" i="2"/>
  <c r="AE752" i="2"/>
  <c r="AU752" i="2"/>
  <c r="AX766" i="2"/>
  <c r="AX737" i="2"/>
  <c r="G728" i="2"/>
  <c r="O728" i="2"/>
  <c r="W728" i="2"/>
  <c r="AE728" i="2"/>
  <c r="AM728" i="2"/>
  <c r="AU728" i="2"/>
  <c r="AQ728" i="2"/>
  <c r="H728" i="2"/>
  <c r="P728" i="2"/>
  <c r="X728" i="2"/>
  <c r="AF728" i="2"/>
  <c r="AN728" i="2"/>
  <c r="AV728" i="2"/>
  <c r="AR728" i="2"/>
  <c r="AT728" i="2"/>
  <c r="AB728" i="2"/>
  <c r="AS724" i="2"/>
  <c r="V724" i="2"/>
  <c r="AR724" i="2"/>
  <c r="T724" i="2"/>
  <c r="AL724" i="2"/>
  <c r="N724" i="2"/>
  <c r="AK724" i="2"/>
  <c r="M724" i="2"/>
  <c r="AJ724" i="2"/>
  <c r="L724" i="2"/>
  <c r="AP728" i="2"/>
  <c r="AD724" i="2"/>
  <c r="K728" i="2"/>
  <c r="K792" i="2" s="1"/>
  <c r="AL728" i="2"/>
  <c r="J728" i="2"/>
  <c r="S728" i="2"/>
  <c r="AI728" i="2"/>
  <c r="AT724" i="2"/>
  <c r="AG819" i="2"/>
  <c r="Y819" i="2"/>
  <c r="V728" i="2"/>
  <c r="AD728" i="2"/>
  <c r="L728" i="2"/>
  <c r="T728" i="2"/>
  <c r="Z728" i="2"/>
  <c r="I728" i="2"/>
  <c r="Q728" i="2"/>
  <c r="Y728" i="2"/>
  <c r="AG728" i="2"/>
  <c r="AO728" i="2"/>
  <c r="R728" i="2"/>
  <c r="AH728" i="2"/>
  <c r="B726" i="2"/>
  <c r="G726" i="2" s="1"/>
  <c r="AX721" i="2"/>
  <c r="G724" i="2"/>
  <c r="W724" i="2"/>
  <c r="AM724" i="2"/>
  <c r="AQ724" i="2"/>
  <c r="AI724" i="2"/>
  <c r="AA724" i="2"/>
  <c r="S724" i="2"/>
  <c r="K724" i="2"/>
  <c r="AP724" i="2"/>
  <c r="AH724" i="2"/>
  <c r="Z724" i="2"/>
  <c r="R724" i="2"/>
  <c r="J724" i="2"/>
  <c r="AO724" i="2"/>
  <c r="AG724" i="2"/>
  <c r="Y724" i="2"/>
  <c r="Q724" i="2"/>
  <c r="I724" i="2"/>
  <c r="AV724" i="2"/>
  <c r="AN724" i="2"/>
  <c r="AF724" i="2"/>
  <c r="X724" i="2"/>
  <c r="P724" i="2"/>
  <c r="H724" i="2"/>
  <c r="O724" i="2"/>
  <c r="AE724" i="2"/>
  <c r="AU724" i="2"/>
  <c r="AX738" i="2"/>
  <c r="P777" i="2"/>
  <c r="U694" i="2"/>
  <c r="AQ694" i="2"/>
  <c r="X694" i="2"/>
  <c r="X777" i="2" s="1"/>
  <c r="AS694" i="2"/>
  <c r="AA694" i="2"/>
  <c r="AV694" i="2"/>
  <c r="H694" i="2"/>
  <c r="H777" i="2" s="1"/>
  <c r="AX706" i="2"/>
  <c r="AT694" i="2"/>
  <c r="AL694" i="2"/>
  <c r="AD694" i="2"/>
  <c r="V694" i="2"/>
  <c r="N694" i="2"/>
  <c r="AR694" i="2"/>
  <c r="AJ694" i="2"/>
  <c r="AB694" i="2"/>
  <c r="T694" i="2"/>
  <c r="L694" i="2"/>
  <c r="AP694" i="2"/>
  <c r="AH694" i="2"/>
  <c r="Z694" i="2"/>
  <c r="R694" i="2"/>
  <c r="J694" i="2"/>
  <c r="AU694" i="2"/>
  <c r="AM694" i="2"/>
  <c r="AE694" i="2"/>
  <c r="W694" i="2"/>
  <c r="O694" i="2"/>
  <c r="G694" i="2"/>
  <c r="G777" i="2" s="1"/>
  <c r="I694" i="2"/>
  <c r="Y694" i="2"/>
  <c r="AO694" i="2"/>
  <c r="S694" i="2"/>
  <c r="AI694" i="2"/>
  <c r="AX707" i="2"/>
  <c r="B695" i="2"/>
  <c r="S74" i="2"/>
  <c r="K76" i="2"/>
  <c r="K303" i="2" s="1"/>
  <c r="G76" i="2"/>
  <c r="G303" i="2" s="1"/>
  <c r="R44" i="2"/>
  <c r="AX109" i="10"/>
  <c r="H115" i="10"/>
  <c r="AM45" i="4"/>
  <c r="L54" i="4"/>
  <c r="O54" i="4"/>
  <c r="N54" i="4"/>
  <c r="N6" i="2"/>
  <c r="N7" i="2" s="1"/>
  <c r="N103" i="2" s="1"/>
  <c r="AC8" i="2"/>
  <c r="Z6" i="2"/>
  <c r="AA6" i="2" s="1"/>
  <c r="AB6" i="2" s="1"/>
  <c r="AD6" i="2"/>
  <c r="AP6" i="2"/>
  <c r="H7" i="2"/>
  <c r="AT6" i="2"/>
  <c r="AT7" i="2" s="1"/>
  <c r="AT103" i="2" s="1"/>
  <c r="R8" i="2"/>
  <c r="R7" i="2"/>
  <c r="R103" i="2" s="1"/>
  <c r="S6" i="2"/>
  <c r="G7" i="2"/>
  <c r="G103" i="2" s="1"/>
  <c r="J6" i="2"/>
  <c r="AH6" i="2"/>
  <c r="AS8" i="2"/>
  <c r="AK8" i="2"/>
  <c r="U8" i="2"/>
  <c r="M8" i="2"/>
  <c r="M10" i="2" s="1"/>
  <c r="M85" i="2" s="1"/>
  <c r="V6" i="2"/>
  <c r="G8" i="2"/>
  <c r="AO7" i="2"/>
  <c r="AO103" i="2" s="1"/>
  <c r="AG7" i="2"/>
  <c r="AG103" i="2" s="1"/>
  <c r="Y7" i="2"/>
  <c r="Y103" i="2" s="1"/>
  <c r="Q7" i="2"/>
  <c r="Q103" i="2" s="1"/>
  <c r="I7" i="2"/>
  <c r="Q8" i="2"/>
  <c r="AL6" i="2"/>
  <c r="Q54" i="4"/>
  <c r="U54" i="4"/>
  <c r="R54" i="4"/>
  <c r="Q45" i="4"/>
  <c r="AH45" i="4"/>
  <c r="T54" i="4"/>
  <c r="H108" i="10"/>
  <c r="AL32" i="4"/>
  <c r="AL55" i="4"/>
  <c r="AL19" i="4"/>
  <c r="AL62" i="4"/>
  <c r="AL51" i="4"/>
  <c r="AL63" i="4"/>
  <c r="AL281" i="4" s="1"/>
  <c r="AL107" i="4"/>
  <c r="AL61" i="4"/>
  <c r="AL27" i="4"/>
  <c r="AL60" i="4"/>
  <c r="L61" i="4"/>
  <c r="L51" i="4"/>
  <c r="L19" i="4"/>
  <c r="L60" i="4"/>
  <c r="L27" i="4"/>
  <c r="L107" i="4"/>
  <c r="L55" i="4"/>
  <c r="L63" i="4"/>
  <c r="L281" i="4" s="1"/>
  <c r="L32" i="4"/>
  <c r="L62" i="4"/>
  <c r="M107" i="4"/>
  <c r="M55" i="4"/>
  <c r="M32" i="4"/>
  <c r="M62" i="4"/>
  <c r="M51" i="4"/>
  <c r="M27" i="4"/>
  <c r="M63" i="4"/>
  <c r="M61" i="4"/>
  <c r="M19" i="4"/>
  <c r="M60" i="4"/>
  <c r="N63" i="4"/>
  <c r="N281" i="4" s="1"/>
  <c r="N62" i="4"/>
  <c r="N61" i="4"/>
  <c r="N51" i="4"/>
  <c r="N19" i="4"/>
  <c r="N60" i="4"/>
  <c r="N55" i="4"/>
  <c r="N27" i="4"/>
  <c r="N32" i="4"/>
  <c r="N107" i="4"/>
  <c r="O60" i="4"/>
  <c r="O27" i="4"/>
  <c r="O32" i="4"/>
  <c r="O107" i="4"/>
  <c r="O63" i="4"/>
  <c r="O281" i="4" s="1"/>
  <c r="O62" i="4"/>
  <c r="O55" i="4"/>
  <c r="O61" i="4"/>
  <c r="O19" i="4"/>
  <c r="O51" i="4"/>
  <c r="P107" i="4"/>
  <c r="P55" i="4"/>
  <c r="P32" i="4"/>
  <c r="P63" i="4"/>
  <c r="P281" i="4" s="1"/>
  <c r="P61" i="4"/>
  <c r="P51" i="4"/>
  <c r="P19" i="4"/>
  <c r="P27" i="4"/>
  <c r="P62" i="4"/>
  <c r="P60" i="4"/>
  <c r="Q62" i="4"/>
  <c r="Q63" i="4"/>
  <c r="Q51" i="4"/>
  <c r="Q61" i="4"/>
  <c r="Q107" i="4"/>
  <c r="Q60" i="4"/>
  <c r="Q32" i="4"/>
  <c r="Q19" i="4"/>
  <c r="Q55" i="4"/>
  <c r="Q27" i="4"/>
  <c r="R19" i="4"/>
  <c r="R63" i="4"/>
  <c r="R281" i="4" s="1"/>
  <c r="R27" i="4"/>
  <c r="R107" i="4"/>
  <c r="R61" i="4"/>
  <c r="R51" i="4"/>
  <c r="R62" i="4"/>
  <c r="R32" i="4"/>
  <c r="R60" i="4"/>
  <c r="R55" i="4"/>
  <c r="S32" i="4"/>
  <c r="S61" i="4"/>
  <c r="S19" i="4"/>
  <c r="S60" i="4"/>
  <c r="S55" i="4"/>
  <c r="S27" i="4"/>
  <c r="S107" i="4"/>
  <c r="S51" i="4"/>
  <c r="S63" i="4"/>
  <c r="S281" i="4" s="1"/>
  <c r="T107" i="4"/>
  <c r="T55" i="4"/>
  <c r="T32" i="4"/>
  <c r="T61" i="4"/>
  <c r="T51" i="4"/>
  <c r="T19" i="4"/>
  <c r="T60" i="4"/>
  <c r="T62" i="4"/>
  <c r="T27" i="4"/>
  <c r="T63" i="4"/>
  <c r="T281" i="4" s="1"/>
  <c r="U63" i="4"/>
  <c r="U62" i="4"/>
  <c r="U61" i="4"/>
  <c r="U51" i="4"/>
  <c r="U19" i="4"/>
  <c r="U107" i="4"/>
  <c r="U60" i="4"/>
  <c r="U32" i="4"/>
  <c r="U55" i="4"/>
  <c r="U27" i="4"/>
  <c r="V60" i="4"/>
  <c r="V27" i="4"/>
  <c r="V63" i="4"/>
  <c r="V281" i="4" s="1"/>
  <c r="V107" i="4"/>
  <c r="V61" i="4"/>
  <c r="V32" i="4"/>
  <c r="V55" i="4"/>
  <c r="V19" i="4"/>
  <c r="V51" i="4"/>
  <c r="V62" i="4"/>
  <c r="W107" i="4"/>
  <c r="W55" i="4"/>
  <c r="W32" i="4"/>
  <c r="W63" i="4"/>
  <c r="W281" i="4" s="1"/>
  <c r="W60" i="4"/>
  <c r="W27" i="4"/>
  <c r="W61" i="4"/>
  <c r="W51" i="4"/>
  <c r="W19" i="4"/>
  <c r="W62" i="4"/>
  <c r="X62" i="4"/>
  <c r="X107" i="4"/>
  <c r="X61" i="4"/>
  <c r="X51" i="4"/>
  <c r="X19" i="4"/>
  <c r="X60" i="4"/>
  <c r="X27" i="4"/>
  <c r="X55" i="4"/>
  <c r="X63" i="4"/>
  <c r="X281" i="4" s="1"/>
  <c r="X32" i="4"/>
  <c r="Y63" i="4"/>
  <c r="Y27" i="4"/>
  <c r="Y62" i="4"/>
  <c r="Y51" i="4"/>
  <c r="Y32" i="4"/>
  <c r="Y107" i="4"/>
  <c r="Y61" i="4"/>
  <c r="Y19" i="4"/>
  <c r="Y60" i="4"/>
  <c r="Y55" i="4"/>
  <c r="Z32" i="4"/>
  <c r="Z55" i="4"/>
  <c r="Z19" i="4"/>
  <c r="Z61" i="4"/>
  <c r="Z63" i="4"/>
  <c r="Z281" i="4" s="1"/>
  <c r="Z107" i="4"/>
  <c r="Z51" i="4"/>
  <c r="Z62" i="4"/>
  <c r="Z60" i="4"/>
  <c r="Z27" i="4"/>
  <c r="AA107" i="4"/>
  <c r="AA61" i="4"/>
  <c r="AA51" i="4"/>
  <c r="AA19" i="4"/>
  <c r="AA60" i="4"/>
  <c r="AA32" i="4"/>
  <c r="AA27" i="4"/>
  <c r="AA62" i="4"/>
  <c r="AA63" i="4"/>
  <c r="AA281" i="4" s="1"/>
  <c r="AA55" i="4"/>
  <c r="AB63" i="4"/>
  <c r="AB281" i="4" s="1"/>
  <c r="AB62" i="4"/>
  <c r="AB61" i="4"/>
  <c r="AB51" i="4"/>
  <c r="AB19" i="4"/>
  <c r="AB60" i="4"/>
  <c r="AB55" i="4"/>
  <c r="AB32" i="4"/>
  <c r="AB27" i="4"/>
  <c r="AB107" i="4"/>
  <c r="AB45" i="4"/>
  <c r="AC60" i="4"/>
  <c r="AC27" i="4"/>
  <c r="AC63" i="4"/>
  <c r="AC107" i="4"/>
  <c r="AC62" i="4"/>
  <c r="AC32" i="4"/>
  <c r="AC61" i="4"/>
  <c r="AC19" i="4"/>
  <c r="AC55" i="4"/>
  <c r="AC51" i="4"/>
  <c r="AD55" i="4"/>
  <c r="AD107" i="4"/>
  <c r="AD32" i="4"/>
  <c r="AD63" i="4"/>
  <c r="AD281" i="4" s="1"/>
  <c r="AD60" i="4"/>
  <c r="AD27" i="4"/>
  <c r="AD51" i="4"/>
  <c r="AD61" i="4"/>
  <c r="AD19" i="4"/>
  <c r="AD62" i="4"/>
  <c r="AE63" i="4"/>
  <c r="AE281" i="4" s="1"/>
  <c r="AE27" i="4"/>
  <c r="AE62" i="4"/>
  <c r="AE51" i="4"/>
  <c r="AE32" i="4"/>
  <c r="AE60" i="4"/>
  <c r="AE19" i="4"/>
  <c r="AE61" i="4"/>
  <c r="AE55" i="4"/>
  <c r="AE107" i="4"/>
  <c r="AF32" i="4"/>
  <c r="AF55" i="4"/>
  <c r="AF19" i="4"/>
  <c r="AF61" i="4"/>
  <c r="AF27" i="4"/>
  <c r="AF51" i="4"/>
  <c r="AF62" i="4"/>
  <c r="AF63" i="4"/>
  <c r="AF281" i="4" s="1"/>
  <c r="AF107" i="4"/>
  <c r="AF60" i="4"/>
  <c r="AO62" i="4"/>
  <c r="AO61" i="4"/>
  <c r="AO51" i="4"/>
  <c r="AO19" i="4"/>
  <c r="AO60" i="4"/>
  <c r="AO27" i="4"/>
  <c r="AO107" i="4"/>
  <c r="AO55" i="4"/>
  <c r="AO32" i="4"/>
  <c r="AO63" i="4"/>
  <c r="AT62" i="4"/>
  <c r="AT63" i="4"/>
  <c r="AT281" i="4" s="1"/>
  <c r="AT51" i="4"/>
  <c r="AT61" i="4"/>
  <c r="AT32" i="4"/>
  <c r="AT19" i="4"/>
  <c r="AT55" i="4"/>
  <c r="AT27" i="4"/>
  <c r="AT60" i="4"/>
  <c r="AT107" i="4"/>
  <c r="AV32" i="4"/>
  <c r="AV55" i="4"/>
  <c r="AV19" i="4"/>
  <c r="AV61" i="4"/>
  <c r="AV27" i="4"/>
  <c r="AV51" i="4"/>
  <c r="AV62" i="4"/>
  <c r="AV63" i="4"/>
  <c r="AV281" i="4" s="1"/>
  <c r="AV107" i="4"/>
  <c r="AV60" i="4"/>
  <c r="U45" i="4"/>
  <c r="V54" i="4"/>
  <c r="AB54" i="4"/>
  <c r="AP45" i="4"/>
  <c r="S62" i="4"/>
  <c r="AK61" i="4"/>
  <c r="AK51" i="4"/>
  <c r="AK19" i="4"/>
  <c r="AK27" i="4"/>
  <c r="AK63" i="4"/>
  <c r="AK62" i="4"/>
  <c r="AK107" i="4"/>
  <c r="AK60" i="4"/>
  <c r="AK32" i="4"/>
  <c r="AK55" i="4"/>
  <c r="AN107" i="4"/>
  <c r="AN55" i="4"/>
  <c r="AN32" i="4"/>
  <c r="AN63" i="4"/>
  <c r="AN281" i="4" s="1"/>
  <c r="AN60" i="4"/>
  <c r="AN27" i="4"/>
  <c r="AN62" i="4"/>
  <c r="AN61" i="4"/>
  <c r="AN19" i="4"/>
  <c r="AN51" i="4"/>
  <c r="AR63" i="4"/>
  <c r="AR281" i="4" s="1"/>
  <c r="AR27" i="4"/>
  <c r="AR61" i="4"/>
  <c r="AR32" i="4"/>
  <c r="AR60" i="4"/>
  <c r="AR19" i="4"/>
  <c r="AR55" i="4"/>
  <c r="AR107" i="4"/>
  <c r="AR51" i="4"/>
  <c r="AR62" i="4"/>
  <c r="AG107" i="4"/>
  <c r="AG61" i="4"/>
  <c r="AG51" i="4"/>
  <c r="AG19" i="4"/>
  <c r="AG60" i="4"/>
  <c r="AG32" i="4"/>
  <c r="AG27" i="4"/>
  <c r="AG55" i="4"/>
  <c r="AG63" i="4"/>
  <c r="AG62" i="4"/>
  <c r="AP55" i="4"/>
  <c r="AP19" i="4"/>
  <c r="AP107" i="4"/>
  <c r="AP61" i="4"/>
  <c r="AP63" i="4"/>
  <c r="AP281" i="4" s="1"/>
  <c r="AP62" i="4"/>
  <c r="AP60" i="4"/>
  <c r="AP51" i="4"/>
  <c r="AP27" i="4"/>
  <c r="AP32" i="4"/>
  <c r="X45" i="4"/>
  <c r="AH62" i="4"/>
  <c r="AH32" i="4"/>
  <c r="AH55" i="4"/>
  <c r="AH19" i="4"/>
  <c r="AH63" i="4"/>
  <c r="AH281" i="4" s="1"/>
  <c r="AH51" i="4"/>
  <c r="AH27" i="4"/>
  <c r="AH61" i="4"/>
  <c r="AH60" i="4"/>
  <c r="AH107" i="4"/>
  <c r="O45" i="4"/>
  <c r="AJ32" i="4"/>
  <c r="AJ63" i="4"/>
  <c r="AJ281" i="4" s="1"/>
  <c r="AJ27" i="4"/>
  <c r="AJ62" i="4"/>
  <c r="AJ51" i="4"/>
  <c r="AJ61" i="4"/>
  <c r="AJ107" i="4"/>
  <c r="AJ60" i="4"/>
  <c r="AJ19" i="4"/>
  <c r="AJ55" i="4"/>
  <c r="AI62" i="4"/>
  <c r="AI51" i="4"/>
  <c r="AI107" i="4"/>
  <c r="AI61" i="4"/>
  <c r="AI60" i="4"/>
  <c r="AI19" i="4"/>
  <c r="AI32" i="4"/>
  <c r="AI55" i="4"/>
  <c r="AI27" i="4"/>
  <c r="AI63" i="4"/>
  <c r="AI281" i="4" s="1"/>
  <c r="AM63" i="4"/>
  <c r="AM281" i="4" s="1"/>
  <c r="AM61" i="4"/>
  <c r="AM107" i="4"/>
  <c r="AM60" i="4"/>
  <c r="AM19" i="4"/>
  <c r="AM55" i="4"/>
  <c r="AM32" i="4"/>
  <c r="AM27" i="4"/>
  <c r="AM62" i="4"/>
  <c r="AM51" i="4"/>
  <c r="AQ107" i="4"/>
  <c r="AQ32" i="4"/>
  <c r="AQ60" i="4"/>
  <c r="AQ63" i="4"/>
  <c r="AQ281" i="4" s="1"/>
  <c r="AQ27" i="4"/>
  <c r="AQ19" i="4"/>
  <c r="AQ62" i="4"/>
  <c r="AQ55" i="4"/>
  <c r="AQ61" i="4"/>
  <c r="AQ51" i="4"/>
  <c r="AS107" i="4"/>
  <c r="AS32" i="4"/>
  <c r="AS62" i="4"/>
  <c r="AS51" i="4"/>
  <c r="AS61" i="4"/>
  <c r="AS60" i="4"/>
  <c r="AS55" i="4"/>
  <c r="AS19" i="4"/>
  <c r="AS63" i="4"/>
  <c r="AS27" i="4"/>
  <c r="AU62" i="4"/>
  <c r="AU51" i="4"/>
  <c r="AU107" i="4"/>
  <c r="AU61" i="4"/>
  <c r="AU60" i="4"/>
  <c r="AU19" i="4"/>
  <c r="AU55" i="4"/>
  <c r="AU32" i="4"/>
  <c r="AU27" i="4"/>
  <c r="AU63" i="4"/>
  <c r="AU281" i="4" s="1"/>
  <c r="M45" i="4"/>
  <c r="P54" i="4"/>
  <c r="N45" i="4"/>
  <c r="P45" i="4"/>
  <c r="T45" i="4"/>
  <c r="Y54" i="4"/>
  <c r="AC54" i="4"/>
  <c r="AU54" i="4"/>
  <c r="AE54" i="4"/>
  <c r="AJ45" i="4"/>
  <c r="AK54" i="4"/>
  <c r="AN45" i="4"/>
  <c r="AR45" i="4"/>
  <c r="L45" i="4"/>
  <c r="M54" i="4"/>
  <c r="AI45" i="4"/>
  <c r="S45" i="4"/>
  <c r="AL45" i="4"/>
  <c r="Z45" i="4"/>
  <c r="AG54" i="4"/>
  <c r="AO54" i="4"/>
  <c r="R45" i="4"/>
  <c r="S54" i="4"/>
  <c r="V45" i="4"/>
  <c r="W45" i="4"/>
  <c r="X54" i="4"/>
  <c r="AA54" i="4"/>
  <c r="W54" i="4"/>
  <c r="AA45" i="4"/>
  <c r="AD45" i="4"/>
  <c r="AE45" i="4"/>
  <c r="AI54" i="4"/>
  <c r="AJ54" i="4"/>
  <c r="AM54" i="4"/>
  <c r="AN54" i="4"/>
  <c r="AF45" i="4"/>
  <c r="AQ45" i="4"/>
  <c r="Y45" i="4"/>
  <c r="Z54" i="4"/>
  <c r="AC45" i="4"/>
  <c r="AD54" i="4"/>
  <c r="AF54" i="4"/>
  <c r="AP54" i="4"/>
  <c r="AO45" i="4"/>
  <c r="AT54" i="4"/>
  <c r="AG45" i="4"/>
  <c r="AH54" i="4"/>
  <c r="AK45" i="4"/>
  <c r="AL54" i="4"/>
  <c r="AS45" i="4"/>
  <c r="AR54" i="4"/>
  <c r="AS54" i="4"/>
  <c r="AV54" i="4"/>
  <c r="AQ54" i="4"/>
  <c r="AT45" i="4"/>
  <c r="AU45" i="4"/>
  <c r="AV45" i="4"/>
  <c r="I40" i="7" l="1"/>
  <c r="M792" i="2"/>
  <c r="M956" i="2" s="1"/>
  <c r="M322" i="4" s="1"/>
  <c r="J49" i="7"/>
  <c r="J46" i="7"/>
  <c r="F16" i="7"/>
  <c r="K40" i="7"/>
  <c r="H50" i="7"/>
  <c r="F56" i="7"/>
  <c r="AC792" i="2"/>
  <c r="AC956" i="2" s="1"/>
  <c r="AC322" i="4" s="1"/>
  <c r="G16" i="7"/>
  <c r="AK792" i="2"/>
  <c r="AK956" i="2" s="1"/>
  <c r="AK322" i="4" s="1"/>
  <c r="L50" i="7"/>
  <c r="L46" i="7"/>
  <c r="G40" i="7"/>
  <c r="F49" i="7"/>
  <c r="M16" i="7"/>
  <c r="AS792" i="2"/>
  <c r="AS956" i="2" s="1"/>
  <c r="AS322" i="4" s="1"/>
  <c r="U942" i="2"/>
  <c r="M57" i="7"/>
  <c r="N57" i="7"/>
  <c r="L56" i="7"/>
  <c r="I56" i="7"/>
  <c r="J56" i="7"/>
  <c r="K56" i="7"/>
  <c r="I49" i="7"/>
  <c r="N27" i="7"/>
  <c r="L27" i="7"/>
  <c r="M55" i="7"/>
  <c r="J27" i="7"/>
  <c r="N50" i="7"/>
  <c r="L57" i="7"/>
  <c r="AO281" i="4"/>
  <c r="M58" i="7"/>
  <c r="I46" i="7"/>
  <c r="F46" i="7"/>
  <c r="N40" i="7"/>
  <c r="K27" i="7"/>
  <c r="AK281" i="4"/>
  <c r="L58" i="7"/>
  <c r="J22" i="7"/>
  <c r="I57" i="7"/>
  <c r="G46" i="7"/>
  <c r="F40" i="7"/>
  <c r="N56" i="7"/>
  <c r="K55" i="7"/>
  <c r="L22" i="7"/>
  <c r="H40" i="7"/>
  <c r="M50" i="7"/>
  <c r="J50" i="7"/>
  <c r="J55" i="7"/>
  <c r="I50" i="7"/>
  <c r="I22" i="7"/>
  <c r="H56" i="7"/>
  <c r="G22" i="7"/>
  <c r="Q281" i="4"/>
  <c r="G58" i="7"/>
  <c r="F27" i="7"/>
  <c r="AA72" i="2"/>
  <c r="AE72" i="2" s="1"/>
  <c r="K57" i="7"/>
  <c r="G27" i="7"/>
  <c r="L49" i="7"/>
  <c r="K22" i="7"/>
  <c r="M56" i="7"/>
  <c r="AC281" i="4"/>
  <c r="J58" i="7"/>
  <c r="H16" i="7"/>
  <c r="G56" i="7"/>
  <c r="N55" i="7"/>
  <c r="M27" i="7"/>
  <c r="H46" i="7"/>
  <c r="F57" i="7"/>
  <c r="AA792" i="2"/>
  <c r="AA956" i="2" s="1"/>
  <c r="AA322" i="4" s="1"/>
  <c r="L40" i="7"/>
  <c r="J40" i="7"/>
  <c r="N46" i="7"/>
  <c r="K16" i="7"/>
  <c r="L16" i="7"/>
  <c r="J16" i="7"/>
  <c r="I55" i="7"/>
  <c r="Y281" i="4"/>
  <c r="I58" i="7"/>
  <c r="H22" i="7"/>
  <c r="H57" i="7"/>
  <c r="G50" i="7"/>
  <c r="G57" i="7"/>
  <c r="F55" i="7"/>
  <c r="F50" i="7"/>
  <c r="U792" i="2"/>
  <c r="U956" i="2" s="1"/>
  <c r="U322" i="4" s="1"/>
  <c r="S67" i="2"/>
  <c r="S75" i="2"/>
  <c r="S942" i="2"/>
  <c r="K46" i="7"/>
  <c r="M22" i="7"/>
  <c r="I16" i="7"/>
  <c r="U281" i="4"/>
  <c r="H58" i="7"/>
  <c r="N22" i="7"/>
  <c r="H27" i="7"/>
  <c r="M49" i="7"/>
  <c r="AS281" i="4"/>
  <c r="N58" i="7"/>
  <c r="AG281" i="4"/>
  <c r="K58" i="7"/>
  <c r="L55" i="7"/>
  <c r="J57" i="7"/>
  <c r="H55" i="7"/>
  <c r="G55" i="7"/>
  <c r="M281" i="4"/>
  <c r="F58" i="7"/>
  <c r="H49" i="7"/>
  <c r="N49" i="7"/>
  <c r="M40" i="7"/>
  <c r="K49" i="7"/>
  <c r="N16" i="7"/>
  <c r="K50" i="7"/>
  <c r="M46" i="7"/>
  <c r="I27" i="7"/>
  <c r="F22" i="7"/>
  <c r="G49" i="7"/>
  <c r="AO942" i="2"/>
  <c r="AL942" i="2"/>
  <c r="AG942" i="2"/>
  <c r="AH942" i="2"/>
  <c r="AU942" i="2"/>
  <c r="N942" i="2"/>
  <c r="AT942" i="2"/>
  <c r="L942" i="2"/>
  <c r="W942" i="2"/>
  <c r="P942" i="2"/>
  <c r="V942" i="2"/>
  <c r="AI942" i="2"/>
  <c r="H942" i="2"/>
  <c r="G942" i="2"/>
  <c r="AP942" i="2"/>
  <c r="AN942" i="2"/>
  <c r="M942" i="2"/>
  <c r="AS942" i="2"/>
  <c r="AM942" i="2"/>
  <c r="AE942" i="2"/>
  <c r="Z942" i="2"/>
  <c r="AV942" i="2"/>
  <c r="AC942" i="2"/>
  <c r="AB942" i="2"/>
  <c r="R942" i="2"/>
  <c r="O942" i="2"/>
  <c r="J942" i="2"/>
  <c r="AF942" i="2"/>
  <c r="I942" i="2"/>
  <c r="AJ942" i="2"/>
  <c r="Q942" i="2"/>
  <c r="K942" i="2"/>
  <c r="X942" i="2"/>
  <c r="AD942" i="2"/>
  <c r="T942" i="2"/>
  <c r="AA942" i="2"/>
  <c r="Y942" i="2"/>
  <c r="AR942" i="2"/>
  <c r="AK942" i="2"/>
  <c r="G38" i="2"/>
  <c r="G336" i="2" s="1"/>
  <c r="H30" i="2"/>
  <c r="G30" i="2"/>
  <c r="Q358" i="2"/>
  <c r="M777" i="2"/>
  <c r="H38" i="2"/>
  <c r="H336" i="2" s="1"/>
  <c r="N792" i="2"/>
  <c r="N956" i="2" s="1"/>
  <c r="N322" i="4" s="1"/>
  <c r="AA65" i="2"/>
  <c r="W67" i="2"/>
  <c r="S68" i="2"/>
  <c r="AI66" i="2"/>
  <c r="AM66" i="2" s="1"/>
  <c r="S76" i="2"/>
  <c r="S303" i="2" s="1"/>
  <c r="AG777" i="2"/>
  <c r="AE791" i="2"/>
  <c r="AH791" i="2"/>
  <c r="AT791" i="2"/>
  <c r="AL791" i="2"/>
  <c r="AU791" i="2"/>
  <c r="AV791" i="2"/>
  <c r="Z791" i="2"/>
  <c r="O791" i="2"/>
  <c r="Q791" i="2"/>
  <c r="AP791" i="2"/>
  <c r="W791" i="2"/>
  <c r="Y791" i="2"/>
  <c r="K791" i="2"/>
  <c r="AM791" i="2"/>
  <c r="AD791" i="2"/>
  <c r="AB791" i="2"/>
  <c r="AR791" i="2"/>
  <c r="AJ791" i="2"/>
  <c r="AK791" i="2"/>
  <c r="G792" i="2"/>
  <c r="P791" i="2"/>
  <c r="AG791" i="2"/>
  <c r="S791" i="2"/>
  <c r="AO791" i="2"/>
  <c r="AA791" i="2"/>
  <c r="AF791" i="2"/>
  <c r="J791" i="2"/>
  <c r="AI791" i="2"/>
  <c r="T791" i="2"/>
  <c r="X791" i="2"/>
  <c r="AN791" i="2"/>
  <c r="R791" i="2"/>
  <c r="AQ791" i="2"/>
  <c r="I791" i="2"/>
  <c r="G791" i="2"/>
  <c r="AX756" i="2"/>
  <c r="H791" i="2"/>
  <c r="I792" i="2"/>
  <c r="T792" i="2"/>
  <c r="T956" i="2" s="1"/>
  <c r="T322" i="4" s="1"/>
  <c r="S792" i="2"/>
  <c r="S956" i="2" s="1"/>
  <c r="S322" i="4" s="1"/>
  <c r="AG792" i="2"/>
  <c r="AG956" i="2" s="1"/>
  <c r="AG322" i="4" s="1"/>
  <c r="J792" i="2"/>
  <c r="AP792" i="2"/>
  <c r="AP956" i="2" s="1"/>
  <c r="AP322" i="4" s="1"/>
  <c r="P792" i="2"/>
  <c r="P956" i="2" s="1"/>
  <c r="P322" i="4" s="1"/>
  <c r="AH792" i="2"/>
  <c r="AH956" i="2" s="1"/>
  <c r="AH322" i="4" s="1"/>
  <c r="Y792" i="2"/>
  <c r="Y956" i="2" s="1"/>
  <c r="Y322" i="4" s="1"/>
  <c r="AD792" i="2"/>
  <c r="AD956" i="2" s="1"/>
  <c r="AD322" i="4" s="1"/>
  <c r="L791" i="2"/>
  <c r="V791" i="2"/>
  <c r="AB792" i="2"/>
  <c r="H792" i="2"/>
  <c r="AU792" i="2"/>
  <c r="AI792" i="2"/>
  <c r="AF792" i="2"/>
  <c r="AJ792" i="2"/>
  <c r="AJ956" i="2" s="1"/>
  <c r="AJ322" i="4" s="1"/>
  <c r="L792" i="2"/>
  <c r="L956" i="2" s="1"/>
  <c r="L322" i="4" s="1"/>
  <c r="Q792" i="2"/>
  <c r="M791" i="2"/>
  <c r="AR792" i="2"/>
  <c r="AR956" i="2" s="1"/>
  <c r="AR322" i="4" s="1"/>
  <c r="AE792" i="2"/>
  <c r="AE956" i="2" s="1"/>
  <c r="AE322" i="4" s="1"/>
  <c r="X792" i="2"/>
  <c r="X956" i="2" s="1"/>
  <c r="X322" i="4" s="1"/>
  <c r="AT792" i="2"/>
  <c r="AT956" i="2" s="1"/>
  <c r="AT322" i="4" s="1"/>
  <c r="AM792" i="2"/>
  <c r="AM956" i="2" s="1"/>
  <c r="AM322" i="4" s="1"/>
  <c r="AL792" i="2"/>
  <c r="AL956" i="2" s="1"/>
  <c r="AL322" i="4" s="1"/>
  <c r="AV792" i="2"/>
  <c r="AV956" i="2" s="1"/>
  <c r="AV322" i="4" s="1"/>
  <c r="W792" i="2"/>
  <c r="W956" i="2" s="1"/>
  <c r="W322" i="4" s="1"/>
  <c r="U791" i="2"/>
  <c r="AQ792" i="2"/>
  <c r="AQ956" i="2" s="1"/>
  <c r="AQ322" i="4" s="1"/>
  <c r="AO792" i="2"/>
  <c r="AO956" i="2" s="1"/>
  <c r="AO322" i="4" s="1"/>
  <c r="R792" i="2"/>
  <c r="R956" i="2" s="1"/>
  <c r="R322" i="4" s="1"/>
  <c r="V792" i="2"/>
  <c r="V956" i="2" s="1"/>
  <c r="V322" i="4" s="1"/>
  <c r="AS791" i="2"/>
  <c r="Z792" i="2"/>
  <c r="Z956" i="2" s="1"/>
  <c r="Z322" i="4" s="1"/>
  <c r="N791" i="2"/>
  <c r="AN792" i="2"/>
  <c r="AN956" i="2" s="1"/>
  <c r="AN322" i="4" s="1"/>
  <c r="O792" i="2"/>
  <c r="AX752" i="2"/>
  <c r="AX728" i="2"/>
  <c r="AX724" i="2"/>
  <c r="G733" i="2"/>
  <c r="G797" i="2" s="1"/>
  <c r="I777" i="2"/>
  <c r="Z777" i="2"/>
  <c r="N777" i="2"/>
  <c r="O777" i="2"/>
  <c r="AH777" i="2"/>
  <c r="V777" i="2"/>
  <c r="AV777" i="2"/>
  <c r="AI777" i="2"/>
  <c r="AE777" i="2"/>
  <c r="AL777" i="2"/>
  <c r="AM777" i="2"/>
  <c r="T777" i="2"/>
  <c r="AT777" i="2"/>
  <c r="AR777" i="2"/>
  <c r="W777" i="2"/>
  <c r="AP777" i="2"/>
  <c r="AD777" i="2"/>
  <c r="AA777" i="2"/>
  <c r="S777" i="2"/>
  <c r="L777" i="2"/>
  <c r="AS777" i="2"/>
  <c r="AO777" i="2"/>
  <c r="AU777" i="2"/>
  <c r="AB777" i="2"/>
  <c r="R777" i="2"/>
  <c r="U777" i="2"/>
  <c r="Y777" i="2"/>
  <c r="J777" i="2"/>
  <c r="AJ777" i="2"/>
  <c r="AQ777" i="2"/>
  <c r="B696" i="2"/>
  <c r="G696" i="2" s="1"/>
  <c r="G820" i="2" s="1"/>
  <c r="G695" i="2"/>
  <c r="G821" i="2" s="1"/>
  <c r="G702" i="2"/>
  <c r="AX694" i="2"/>
  <c r="I10" i="2"/>
  <c r="I85" i="2" s="1"/>
  <c r="I103" i="2"/>
  <c r="H10" i="2"/>
  <c r="H85" i="2" s="1"/>
  <c r="H103" i="2"/>
  <c r="S44" i="2"/>
  <c r="R49" i="2"/>
  <c r="R212" i="2" s="1"/>
  <c r="R361" i="2" s="1"/>
  <c r="R48" i="2"/>
  <c r="R194" i="2" s="1"/>
  <c r="R360" i="2" s="1"/>
  <c r="R50" i="2"/>
  <c r="R230" i="2" s="1"/>
  <c r="R362" i="2" s="1"/>
  <c r="R51" i="2"/>
  <c r="R248" i="2" s="1"/>
  <c r="R363" i="2" s="1"/>
  <c r="R9" i="2"/>
  <c r="R47" i="2"/>
  <c r="R176" i="2" s="1"/>
  <c r="R359" i="2" s="1"/>
  <c r="R45" i="2"/>
  <c r="R46" i="2" s="1"/>
  <c r="N8" i="2"/>
  <c r="N10" i="2" s="1"/>
  <c r="N85" i="2" s="1"/>
  <c r="AA8" i="2"/>
  <c r="Z8" i="2"/>
  <c r="Z7" i="2"/>
  <c r="Z103" i="2" s="1"/>
  <c r="AT8" i="2"/>
  <c r="O6" i="2"/>
  <c r="O8" i="2" s="1"/>
  <c r="AA7" i="2"/>
  <c r="AA103" i="2" s="1"/>
  <c r="AU6" i="2"/>
  <c r="AU7" i="2" s="1"/>
  <c r="AU103" i="2" s="1"/>
  <c r="AP7" i="2"/>
  <c r="AP103" i="2" s="1"/>
  <c r="AQ6" i="2"/>
  <c r="AP8" i="2"/>
  <c r="AD7" i="2"/>
  <c r="AD103" i="2" s="1"/>
  <c r="AD8" i="2"/>
  <c r="AE6" i="2"/>
  <c r="T6" i="2"/>
  <c r="S8" i="2"/>
  <c r="S7" i="2"/>
  <c r="S103" i="2" s="1"/>
  <c r="AH8" i="2"/>
  <c r="AI6" i="2"/>
  <c r="AH7" i="2"/>
  <c r="AH103" i="2" s="1"/>
  <c r="AL7" i="2"/>
  <c r="AL103" i="2" s="1"/>
  <c r="AM6" i="2"/>
  <c r="AL8" i="2"/>
  <c r="Q10" i="2"/>
  <c r="Q85" i="2" s="1"/>
  <c r="V7" i="2"/>
  <c r="V103" i="2" s="1"/>
  <c r="W6" i="2"/>
  <c r="V8" i="2"/>
  <c r="J8" i="2"/>
  <c r="K6" i="2"/>
  <c r="J7" i="2"/>
  <c r="J103" i="2" s="1"/>
  <c r="AB8" i="2"/>
  <c r="AB7" i="2"/>
  <c r="AB103" i="2" s="1"/>
  <c r="G10" i="2"/>
  <c r="G85" i="2" s="1"/>
  <c r="I108" i="10"/>
  <c r="AP132" i="4"/>
  <c r="AP230" i="4"/>
  <c r="AI280" i="4"/>
  <c r="AI133" i="4"/>
  <c r="AI65" i="4"/>
  <c r="AR231" i="4"/>
  <c r="AR127" i="4"/>
  <c r="AC231" i="4"/>
  <c r="AC127" i="4"/>
  <c r="W230" i="4"/>
  <c r="W132" i="4"/>
  <c r="S280" i="4"/>
  <c r="S65" i="4"/>
  <c r="S133" i="4"/>
  <c r="Q280" i="4"/>
  <c r="Q133" i="4"/>
  <c r="Q65" i="4"/>
  <c r="N231" i="4"/>
  <c r="N127" i="4"/>
  <c r="AV127" i="4"/>
  <c r="AV231" i="4"/>
  <c r="AT230" i="4"/>
  <c r="AT132" i="4"/>
  <c r="Z280" i="4"/>
  <c r="Z65" i="4"/>
  <c r="Z133" i="4"/>
  <c r="Y65" i="4"/>
  <c r="Y280" i="4"/>
  <c r="Y133" i="4"/>
  <c r="X231" i="4"/>
  <c r="X127" i="4"/>
  <c r="V132" i="4"/>
  <c r="V230" i="4"/>
  <c r="U230" i="4"/>
  <c r="U132" i="4"/>
  <c r="P230" i="4"/>
  <c r="P132" i="4"/>
  <c r="O133" i="4"/>
  <c r="O280" i="4"/>
  <c r="O65" i="4"/>
  <c r="AQ231" i="4"/>
  <c r="AQ127" i="4"/>
  <c r="AQ65" i="4"/>
  <c r="AQ133" i="4"/>
  <c r="AQ280" i="4"/>
  <c r="AI132" i="4"/>
  <c r="AI230" i="4"/>
  <c r="AR280" i="4"/>
  <c r="AR133" i="4"/>
  <c r="AR65" i="4"/>
  <c r="AN280" i="4"/>
  <c r="AN65" i="4"/>
  <c r="AN133" i="4"/>
  <c r="AK132" i="4"/>
  <c r="AK230" i="4"/>
  <c r="AB132" i="4"/>
  <c r="AB230" i="4"/>
  <c r="AA231" i="4"/>
  <c r="AA127" i="4"/>
  <c r="AA280" i="4"/>
  <c r="AA133" i="4"/>
  <c r="AA65" i="4"/>
  <c r="Z127" i="4"/>
  <c r="Z231" i="4"/>
  <c r="Z230" i="4"/>
  <c r="Z132" i="4"/>
  <c r="W127" i="4"/>
  <c r="W231" i="4"/>
  <c r="U280" i="4"/>
  <c r="U133" i="4"/>
  <c r="U65" i="4"/>
  <c r="U231" i="4"/>
  <c r="U127" i="4"/>
  <c r="T231" i="4"/>
  <c r="T127" i="4"/>
  <c r="S230" i="4"/>
  <c r="S132" i="4"/>
  <c r="N133" i="4"/>
  <c r="N280" i="4"/>
  <c r="N65" i="4"/>
  <c r="L133" i="4"/>
  <c r="L280" i="4"/>
  <c r="L65" i="4"/>
  <c r="AN230" i="4"/>
  <c r="AN132" i="4"/>
  <c r="R132" i="4"/>
  <c r="R230" i="4"/>
  <c r="N132" i="4"/>
  <c r="N230" i="4"/>
  <c r="AL230" i="4"/>
  <c r="AL132" i="4"/>
  <c r="AN127" i="4"/>
  <c r="AN231" i="4"/>
  <c r="AS231" i="4"/>
  <c r="AS127" i="4"/>
  <c r="AM231" i="4"/>
  <c r="AM127" i="4"/>
  <c r="AF230" i="4"/>
  <c r="AF132" i="4"/>
  <c r="AE132" i="4"/>
  <c r="AE230" i="4"/>
  <c r="AD280" i="4"/>
  <c r="AD133" i="4"/>
  <c r="AD65" i="4"/>
  <c r="AC133" i="4"/>
  <c r="AC280" i="4"/>
  <c r="AC65" i="4"/>
  <c r="AB231" i="4"/>
  <c r="AB127" i="4"/>
  <c r="Y132" i="4"/>
  <c r="Y230" i="4"/>
  <c r="Y127" i="4"/>
  <c r="Y231" i="4"/>
  <c r="W280" i="4"/>
  <c r="W65" i="4"/>
  <c r="W133" i="4"/>
  <c r="V231" i="4"/>
  <c r="V127" i="4"/>
  <c r="V133" i="4"/>
  <c r="V280" i="4"/>
  <c r="V65" i="4"/>
  <c r="T280" i="4"/>
  <c r="T65" i="4"/>
  <c r="T133" i="4"/>
  <c r="R231" i="4"/>
  <c r="R127" i="4"/>
  <c r="Q132" i="4"/>
  <c r="Q230" i="4"/>
  <c r="O132" i="4"/>
  <c r="O230" i="4"/>
  <c r="AU280" i="4"/>
  <c r="AU133" i="4"/>
  <c r="AU65" i="4"/>
  <c r="AS65" i="4"/>
  <c r="AS280" i="4"/>
  <c r="AS133" i="4"/>
  <c r="AM132" i="4"/>
  <c r="AM230" i="4"/>
  <c r="AP127" i="4"/>
  <c r="AP231" i="4"/>
  <c r="AR132" i="4"/>
  <c r="AR230" i="4"/>
  <c r="AT65" i="4"/>
  <c r="AT280" i="4"/>
  <c r="AT133" i="4"/>
  <c r="AF127" i="4"/>
  <c r="AF231" i="4"/>
  <c r="AE231" i="4"/>
  <c r="AE127" i="4"/>
  <c r="AD231" i="4"/>
  <c r="AD127" i="4"/>
  <c r="X280" i="4"/>
  <c r="X133" i="4"/>
  <c r="X65" i="4"/>
  <c r="P127" i="4"/>
  <c r="P231" i="4"/>
  <c r="M280" i="4"/>
  <c r="M65" i="4"/>
  <c r="M133" i="4"/>
  <c r="M231" i="4"/>
  <c r="M127" i="4"/>
  <c r="AL280" i="4"/>
  <c r="AL65" i="4"/>
  <c r="AL133" i="4"/>
  <c r="AL231" i="4"/>
  <c r="AL127" i="4"/>
  <c r="AG231" i="4"/>
  <c r="AG127" i="4"/>
  <c r="Q231" i="4"/>
  <c r="Q127" i="4"/>
  <c r="AK65" i="4"/>
  <c r="AK280" i="4"/>
  <c r="AK133" i="4"/>
  <c r="AF280" i="4"/>
  <c r="AF65" i="4"/>
  <c r="AF133" i="4"/>
  <c r="AU231" i="4"/>
  <c r="AU127" i="4"/>
  <c r="AM133" i="4"/>
  <c r="AM280" i="4"/>
  <c r="AM65" i="4"/>
  <c r="AJ230" i="4"/>
  <c r="AJ132" i="4"/>
  <c r="AH231" i="4"/>
  <c r="AH127" i="4"/>
  <c r="AP65" i="4"/>
  <c r="AP133" i="4"/>
  <c r="AP280" i="4"/>
  <c r="AG133" i="4"/>
  <c r="AG65" i="4"/>
  <c r="AG280" i="4"/>
  <c r="AK231" i="4"/>
  <c r="AK127" i="4"/>
  <c r="P280" i="4"/>
  <c r="P65" i="4"/>
  <c r="P133" i="4"/>
  <c r="AI231" i="4"/>
  <c r="AI127" i="4"/>
  <c r="AJ127" i="4"/>
  <c r="AJ231" i="4"/>
  <c r="AH65" i="4"/>
  <c r="AH280" i="4"/>
  <c r="AH133" i="4"/>
  <c r="AV280" i="4"/>
  <c r="AV65" i="4"/>
  <c r="AV133" i="4"/>
  <c r="AE65" i="4"/>
  <c r="AE280" i="4"/>
  <c r="AE133" i="4"/>
  <c r="AB133" i="4"/>
  <c r="AB65" i="4"/>
  <c r="AB280" i="4"/>
  <c r="AA230" i="4"/>
  <c r="AA132" i="4"/>
  <c r="O231" i="4"/>
  <c r="O127" i="4"/>
  <c r="L231" i="4"/>
  <c r="L127" i="4"/>
  <c r="L132" i="4"/>
  <c r="L230" i="4"/>
  <c r="AO127" i="4"/>
  <c r="AO231" i="4"/>
  <c r="AD132" i="4"/>
  <c r="AD230" i="4"/>
  <c r="X132" i="4"/>
  <c r="X230" i="4"/>
  <c r="AV230" i="4"/>
  <c r="AV132" i="4"/>
  <c r="R65" i="4"/>
  <c r="R133" i="4"/>
  <c r="R280" i="4"/>
  <c r="S127" i="4"/>
  <c r="S231" i="4"/>
  <c r="AO280" i="4"/>
  <c r="AO133" i="4"/>
  <c r="AO65" i="4"/>
  <c r="AU132" i="4"/>
  <c r="AU230" i="4"/>
  <c r="AS230" i="4"/>
  <c r="AS132" i="4"/>
  <c r="AQ132" i="4"/>
  <c r="AQ230" i="4"/>
  <c r="AJ280" i="4"/>
  <c r="AJ65" i="4"/>
  <c r="AJ133" i="4"/>
  <c r="AH230" i="4"/>
  <c r="AH132" i="4"/>
  <c r="AG230" i="4"/>
  <c r="AG132" i="4"/>
  <c r="AT231" i="4"/>
  <c r="AT127" i="4"/>
  <c r="AO230" i="4"/>
  <c r="AO132" i="4"/>
  <c r="AC132" i="4"/>
  <c r="AC230" i="4"/>
  <c r="T230" i="4"/>
  <c r="T132" i="4"/>
  <c r="M230" i="4"/>
  <c r="M132" i="4"/>
  <c r="F74" i="7" l="1"/>
  <c r="S69" i="2"/>
  <c r="S285" i="2" s="1"/>
  <c r="AA74" i="2"/>
  <c r="F60" i="7"/>
  <c r="M75" i="7"/>
  <c r="K60" i="7"/>
  <c r="N60" i="7"/>
  <c r="N75" i="7"/>
  <c r="W75" i="2"/>
  <c r="W76" i="2" s="1"/>
  <c r="W303" i="2" s="1"/>
  <c r="M74" i="7"/>
  <c r="M60" i="7"/>
  <c r="L60" i="7"/>
  <c r="J60" i="7"/>
  <c r="I60" i="7"/>
  <c r="H74" i="7"/>
  <c r="G75" i="7"/>
  <c r="I75" i="7"/>
  <c r="G60" i="7"/>
  <c r="K74" i="7"/>
  <c r="L75" i="7"/>
  <c r="F75" i="7"/>
  <c r="G74" i="7"/>
  <c r="H75" i="7"/>
  <c r="J75" i="7"/>
  <c r="J74" i="7"/>
  <c r="N74" i="7"/>
  <c r="K75" i="7"/>
  <c r="I74" i="7"/>
  <c r="H60" i="7"/>
  <c r="L74" i="7"/>
  <c r="AA75" i="2"/>
  <c r="AE74" i="2"/>
  <c r="AI72" i="2"/>
  <c r="AE65" i="2"/>
  <c r="W68" i="2"/>
  <c r="W69" i="2" s="1"/>
  <c r="W285" i="2" s="1"/>
  <c r="AA67" i="2"/>
  <c r="AQ66" i="2"/>
  <c r="AU66" i="2" s="1"/>
  <c r="R358" i="2"/>
  <c r="AB956" i="2"/>
  <c r="AB322" i="4" s="1"/>
  <c r="AF956" i="2"/>
  <c r="AF322" i="4" s="1"/>
  <c r="Q956" i="2"/>
  <c r="Q322" i="4" s="1"/>
  <c r="AI956" i="2"/>
  <c r="AI322" i="4" s="1"/>
  <c r="O956" i="2"/>
  <c r="O322" i="4" s="1"/>
  <c r="AU956" i="2"/>
  <c r="AU322" i="4" s="1"/>
  <c r="G782" i="2"/>
  <c r="S48" i="2"/>
  <c r="S194" i="2" s="1"/>
  <c r="S360" i="2" s="1"/>
  <c r="S50" i="2"/>
  <c r="S230" i="2" s="1"/>
  <c r="S362" i="2" s="1"/>
  <c r="S51" i="2"/>
  <c r="S248" i="2" s="1"/>
  <c r="S363" i="2" s="1"/>
  <c r="S47" i="2"/>
  <c r="S176" i="2" s="1"/>
  <c r="S359" i="2" s="1"/>
  <c r="T44" i="2"/>
  <c r="S49" i="2"/>
  <c r="S212" i="2" s="1"/>
  <c r="S361" i="2" s="1"/>
  <c r="S9" i="2"/>
  <c r="S10" i="2" s="1"/>
  <c r="S85" i="2" s="1"/>
  <c r="S45" i="2"/>
  <c r="S46" i="2" s="1"/>
  <c r="R10" i="2"/>
  <c r="R85" i="2" s="1"/>
  <c r="AV6" i="2"/>
  <c r="AV8" i="2" s="1"/>
  <c r="P6" i="2"/>
  <c r="P8" i="2" s="1"/>
  <c r="O7" i="2"/>
  <c r="AU8" i="2"/>
  <c r="S134" i="4"/>
  <c r="AE7" i="2"/>
  <c r="AE103" i="2" s="1"/>
  <c r="AF6" i="2"/>
  <c r="AE8" i="2"/>
  <c r="AR6" i="2"/>
  <c r="AQ8" i="2"/>
  <c r="AQ7" i="2"/>
  <c r="AQ103" i="2" s="1"/>
  <c r="X134" i="4"/>
  <c r="W7" i="2"/>
  <c r="W103" i="2" s="1"/>
  <c r="W8" i="2"/>
  <c r="X6" i="2"/>
  <c r="T8" i="2"/>
  <c r="T7" i="2"/>
  <c r="T103" i="2" s="1"/>
  <c r="J10" i="2"/>
  <c r="J85" i="2" s="1"/>
  <c r="AI8" i="2"/>
  <c r="AJ6" i="2"/>
  <c r="AI7" i="2"/>
  <c r="AI103" i="2" s="1"/>
  <c r="AN6" i="2"/>
  <c r="AM7" i="2"/>
  <c r="AM103" i="2" s="1"/>
  <c r="AM8" i="2"/>
  <c r="L6" i="2"/>
  <c r="K8" i="2"/>
  <c r="K7" i="2"/>
  <c r="K103" i="2" s="1"/>
  <c r="AH134" i="4"/>
  <c r="AC134" i="4"/>
  <c r="AG134" i="4"/>
  <c r="Z134" i="4"/>
  <c r="L134" i="4"/>
  <c r="N134" i="4"/>
  <c r="AU134" i="4"/>
  <c r="AQ134" i="4"/>
  <c r="AA134" i="4"/>
  <c r="AV134" i="4"/>
  <c r="M134" i="4"/>
  <c r="AJ134" i="4"/>
  <c r="T134" i="4"/>
  <c r="Q134" i="4"/>
  <c r="U134" i="4"/>
  <c r="W134" i="4"/>
  <c r="AS134" i="4"/>
  <c r="J108" i="10"/>
  <c r="AP134" i="4"/>
  <c r="AD134" i="4"/>
  <c r="V134" i="4"/>
  <c r="AI134" i="4"/>
  <c r="AK134" i="4"/>
  <c r="AM134" i="4"/>
  <c r="AE134" i="4"/>
  <c r="R134" i="4"/>
  <c r="P134" i="4"/>
  <c r="AO134" i="4"/>
  <c r="AL134" i="4"/>
  <c r="AR134" i="4"/>
  <c r="O134" i="4"/>
  <c r="Y134" i="4"/>
  <c r="AF134" i="4"/>
  <c r="AN134" i="4"/>
  <c r="AB134" i="4"/>
  <c r="AT134" i="4"/>
  <c r="AA76" i="2" l="1"/>
  <c r="AA303" i="2" s="1"/>
  <c r="AA68" i="2"/>
  <c r="AA69" i="2" s="1"/>
  <c r="AA285" i="2" s="1"/>
  <c r="AI65" i="2"/>
  <c r="AE67" i="2"/>
  <c r="AE75" i="2"/>
  <c r="AE76" i="2" s="1"/>
  <c r="AE303" i="2" s="1"/>
  <c r="AI74" i="2"/>
  <c r="AM72" i="2"/>
  <c r="S358" i="2"/>
  <c r="O10" i="2"/>
  <c r="O85" i="2" s="1"/>
  <c r="O103" i="2"/>
  <c r="AV7" i="2"/>
  <c r="AV103" i="2" s="1"/>
  <c r="T48" i="2"/>
  <c r="T194" i="2" s="1"/>
  <c r="T360" i="2" s="1"/>
  <c r="T47" i="2"/>
  <c r="T176" i="2" s="1"/>
  <c r="T359" i="2" s="1"/>
  <c r="T50" i="2"/>
  <c r="T230" i="2" s="1"/>
  <c r="T362" i="2" s="1"/>
  <c r="T51" i="2"/>
  <c r="T248" i="2" s="1"/>
  <c r="T363" i="2" s="1"/>
  <c r="T9" i="2"/>
  <c r="T45" i="2"/>
  <c r="T46" i="2" s="1"/>
  <c r="U44" i="2"/>
  <c r="T49" i="2"/>
  <c r="T212" i="2" s="1"/>
  <c r="T361" i="2" s="1"/>
  <c r="P7" i="2"/>
  <c r="AR7" i="2"/>
  <c r="AR103" i="2" s="1"/>
  <c r="AR8" i="2"/>
  <c r="AF8" i="2"/>
  <c r="AF7" i="2"/>
  <c r="AF103" i="2" s="1"/>
  <c r="AN8" i="2"/>
  <c r="AN7" i="2"/>
  <c r="AN103" i="2" s="1"/>
  <c r="K10" i="2"/>
  <c r="K85" i="2" s="1"/>
  <c r="X8" i="2"/>
  <c r="X7" i="2"/>
  <c r="X103" i="2" s="1"/>
  <c r="AJ8" i="2"/>
  <c r="AJ7" i="2"/>
  <c r="AJ103" i="2" s="1"/>
  <c r="L8" i="2"/>
  <c r="L7" i="2"/>
  <c r="L103" i="2" s="1"/>
  <c r="K108" i="10"/>
  <c r="AI75" i="2" l="1"/>
  <c r="AI76" i="2" s="1"/>
  <c r="AI303" i="2" s="1"/>
  <c r="AM74" i="2"/>
  <c r="AQ72" i="2"/>
  <c r="AE68" i="2"/>
  <c r="AE69" i="2" s="1"/>
  <c r="AE285" i="2" s="1"/>
  <c r="AM65" i="2"/>
  <c r="AI67" i="2"/>
  <c r="T358" i="2"/>
  <c r="P10" i="2"/>
  <c r="P85" i="2" s="1"/>
  <c r="P103" i="2"/>
  <c r="U47" i="2"/>
  <c r="U176" i="2" s="1"/>
  <c r="U359" i="2" s="1"/>
  <c r="U45" i="2"/>
  <c r="U46" i="2" s="1"/>
  <c r="U50" i="2"/>
  <c r="U230" i="2" s="1"/>
  <c r="U362" i="2" s="1"/>
  <c r="U51" i="2"/>
  <c r="U248" i="2" s="1"/>
  <c r="U363" i="2" s="1"/>
  <c r="U9" i="2"/>
  <c r="U10" i="2" s="1"/>
  <c r="U85" i="2" s="1"/>
  <c r="V44" i="2"/>
  <c r="U48" i="2"/>
  <c r="U194" i="2" s="1"/>
  <c r="U360" i="2" s="1"/>
  <c r="U49" i="2"/>
  <c r="U212" i="2" s="1"/>
  <c r="U361" i="2" s="1"/>
  <c r="T10" i="2"/>
  <c r="T85" i="2" s="1"/>
  <c r="L10" i="2"/>
  <c r="L85" i="2" s="1"/>
  <c r="L108" i="10"/>
  <c r="AI68" i="2" l="1"/>
  <c r="AI69" i="2" s="1"/>
  <c r="AI285" i="2" s="1"/>
  <c r="AQ65" i="2"/>
  <c r="AM67" i="2"/>
  <c r="AM75" i="2"/>
  <c r="AM76" i="2" s="1"/>
  <c r="AM303" i="2" s="1"/>
  <c r="AU72" i="2"/>
  <c r="AQ74" i="2"/>
  <c r="U358" i="2"/>
  <c r="V47" i="2"/>
  <c r="V176" i="2" s="1"/>
  <c r="V359" i="2" s="1"/>
  <c r="V50" i="2"/>
  <c r="V230" i="2" s="1"/>
  <c r="V362" i="2" s="1"/>
  <c r="V51" i="2"/>
  <c r="V248" i="2" s="1"/>
  <c r="V363" i="2" s="1"/>
  <c r="V45" i="2"/>
  <c r="V46" i="2" s="1"/>
  <c r="W44" i="2"/>
  <c r="V9" i="2"/>
  <c r="V10" i="2" s="1"/>
  <c r="V85" i="2" s="1"/>
  <c r="V49" i="2"/>
  <c r="V212" i="2" s="1"/>
  <c r="V361" i="2" s="1"/>
  <c r="V48" i="2"/>
  <c r="V194" i="2" s="1"/>
  <c r="V360" i="2" s="1"/>
  <c r="M108" i="10"/>
  <c r="AQ75" i="2" l="1"/>
  <c r="AU75" i="2" s="1"/>
  <c r="AU74" i="2"/>
  <c r="AU76" i="2" s="1"/>
  <c r="AU303" i="2" s="1"/>
  <c r="AM68" i="2"/>
  <c r="AM69" i="2" s="1"/>
  <c r="AM285" i="2" s="1"/>
  <c r="AQ67" i="2"/>
  <c r="AU65" i="2"/>
  <c r="V358" i="2"/>
  <c r="W49" i="2"/>
  <c r="W212" i="2" s="1"/>
  <c r="W361" i="2" s="1"/>
  <c r="X44" i="2"/>
  <c r="W9" i="2"/>
  <c r="W10" i="2" s="1"/>
  <c r="W85" i="2" s="1"/>
  <c r="W45" i="2"/>
  <c r="W46" i="2" s="1"/>
  <c r="W50" i="2"/>
  <c r="W230" i="2" s="1"/>
  <c r="W362" i="2" s="1"/>
  <c r="W51" i="2"/>
  <c r="W248" i="2" s="1"/>
  <c r="W363" i="2" s="1"/>
  <c r="W48" i="2"/>
  <c r="W194" i="2" s="1"/>
  <c r="W360" i="2" s="1"/>
  <c r="W47" i="2"/>
  <c r="W176" i="2" s="1"/>
  <c r="W359" i="2" s="1"/>
  <c r="AX8" i="2"/>
  <c r="AX7" i="2"/>
  <c r="AX6" i="2"/>
  <c r="N108" i="10"/>
  <c r="AQ76" i="2" l="1"/>
  <c r="AQ303" i="2" s="1"/>
  <c r="AU67" i="2"/>
  <c r="AQ68" i="2"/>
  <c r="AU68" i="2" s="1"/>
  <c r="AQ69" i="2"/>
  <c r="AQ285" i="2" s="1"/>
  <c r="W358" i="2"/>
  <c r="X9" i="2"/>
  <c r="X10" i="2" s="1"/>
  <c r="X85" i="2" s="1"/>
  <c r="Y44" i="2"/>
  <c r="X50" i="2"/>
  <c r="X230" i="2" s="1"/>
  <c r="X362" i="2" s="1"/>
  <c r="X45" i="2"/>
  <c r="X46" i="2" s="1"/>
  <c r="X49" i="2"/>
  <c r="X212" i="2" s="1"/>
  <c r="X361" i="2" s="1"/>
  <c r="X51" i="2"/>
  <c r="X248" i="2" s="1"/>
  <c r="X363" i="2" s="1"/>
  <c r="X47" i="2"/>
  <c r="X176" i="2" s="1"/>
  <c r="X359" i="2" s="1"/>
  <c r="X48" i="2"/>
  <c r="X194" i="2" s="1"/>
  <c r="X360" i="2" s="1"/>
  <c r="O108" i="10"/>
  <c r="AU69" i="2" l="1"/>
  <c r="AU285" i="2" s="1"/>
  <c r="X358" i="2"/>
  <c r="Y9" i="2"/>
  <c r="Y10" i="2" s="1"/>
  <c r="Y85" i="2" s="1"/>
  <c r="Y45" i="2"/>
  <c r="Y46" i="2" s="1"/>
  <c r="Y49" i="2"/>
  <c r="Y212" i="2" s="1"/>
  <c r="Y361" i="2" s="1"/>
  <c r="Y48" i="2"/>
  <c r="Y194" i="2" s="1"/>
  <c r="Y360" i="2" s="1"/>
  <c r="Z44" i="2"/>
  <c r="Y51" i="2"/>
  <c r="Y248" i="2" s="1"/>
  <c r="Y363" i="2" s="1"/>
  <c r="Y47" i="2"/>
  <c r="Y176" i="2" s="1"/>
  <c r="Y359" i="2" s="1"/>
  <c r="Y50" i="2"/>
  <c r="Y230" i="2" s="1"/>
  <c r="Y362" i="2" s="1"/>
  <c r="P108" i="10"/>
  <c r="Y358" i="2" l="1"/>
  <c r="Z9" i="2"/>
  <c r="Z10" i="2" s="1"/>
  <c r="Z85" i="2" s="1"/>
  <c r="Z50" i="2"/>
  <c r="Z230" i="2" s="1"/>
  <c r="Z362" i="2" s="1"/>
  <c r="Z47" i="2"/>
  <c r="Z176" i="2" s="1"/>
  <c r="Z359" i="2" s="1"/>
  <c r="AA44" i="2"/>
  <c r="Z48" i="2"/>
  <c r="Z194" i="2" s="1"/>
  <c r="Z360" i="2" s="1"/>
  <c r="Z51" i="2"/>
  <c r="Z248" i="2" s="1"/>
  <c r="Z363" i="2" s="1"/>
  <c r="Z45" i="2"/>
  <c r="Z46" i="2" s="1"/>
  <c r="Z49" i="2"/>
  <c r="Z212" i="2" s="1"/>
  <c r="Z361" i="2" s="1"/>
  <c r="Q108" i="10"/>
  <c r="Z358" i="2" l="1"/>
  <c r="AA9" i="2"/>
  <c r="AA10" i="2" s="1"/>
  <c r="AA85" i="2" s="1"/>
  <c r="AA51" i="2"/>
  <c r="AA248" i="2" s="1"/>
  <c r="AA363" i="2" s="1"/>
  <c r="AA45" i="2"/>
  <c r="AA46" i="2" s="1"/>
  <c r="AA47" i="2"/>
  <c r="AA176" i="2" s="1"/>
  <c r="AA359" i="2" s="1"/>
  <c r="AA48" i="2"/>
  <c r="AA194" i="2" s="1"/>
  <c r="AA360" i="2" s="1"/>
  <c r="AA49" i="2"/>
  <c r="AA212" i="2" s="1"/>
  <c r="AA361" i="2" s="1"/>
  <c r="AA50" i="2"/>
  <c r="AA230" i="2" s="1"/>
  <c r="AA362" i="2" s="1"/>
  <c r="AB44" i="2"/>
  <c r="R108" i="10"/>
  <c r="AA358" i="2" l="1"/>
  <c r="AB9" i="2"/>
  <c r="AB10" i="2" s="1"/>
  <c r="AB85" i="2" s="1"/>
  <c r="AB47" i="2"/>
  <c r="AB176" i="2" s="1"/>
  <c r="AB359" i="2" s="1"/>
  <c r="AB45" i="2"/>
  <c r="AB46" i="2" s="1"/>
  <c r="AB49" i="2"/>
  <c r="AB212" i="2" s="1"/>
  <c r="AB361" i="2" s="1"/>
  <c r="AB51" i="2"/>
  <c r="AB248" i="2" s="1"/>
  <c r="AB363" i="2" s="1"/>
  <c r="AB48" i="2"/>
  <c r="AB194" i="2" s="1"/>
  <c r="AB360" i="2" s="1"/>
  <c r="AB50" i="2"/>
  <c r="AB230" i="2" s="1"/>
  <c r="AB362" i="2" s="1"/>
  <c r="AC44" i="2"/>
  <c r="S108" i="10"/>
  <c r="AB358" i="2" l="1"/>
  <c r="AC9" i="2"/>
  <c r="AC10" i="2" s="1"/>
  <c r="AC85" i="2" s="1"/>
  <c r="AC47" i="2"/>
  <c r="AC176" i="2" s="1"/>
  <c r="AC359" i="2" s="1"/>
  <c r="AC50" i="2"/>
  <c r="AC230" i="2" s="1"/>
  <c r="AC362" i="2" s="1"/>
  <c r="AD44" i="2"/>
  <c r="AC45" i="2"/>
  <c r="AC46" i="2" s="1"/>
  <c r="AC48" i="2"/>
  <c r="AC194" i="2" s="1"/>
  <c r="AC360" i="2" s="1"/>
  <c r="AC49" i="2"/>
  <c r="AC212" i="2" s="1"/>
  <c r="AC361" i="2" s="1"/>
  <c r="AC51" i="2"/>
  <c r="AC248" i="2" s="1"/>
  <c r="AC363" i="2" s="1"/>
  <c r="T108" i="10"/>
  <c r="AC358" i="2" l="1"/>
  <c r="AD9" i="2"/>
  <c r="AD10" i="2" s="1"/>
  <c r="AD85" i="2" s="1"/>
  <c r="AD48" i="2"/>
  <c r="AD194" i="2" s="1"/>
  <c r="AD360" i="2" s="1"/>
  <c r="AD45" i="2"/>
  <c r="AD46" i="2" s="1"/>
  <c r="AD49" i="2"/>
  <c r="AD212" i="2" s="1"/>
  <c r="AD361" i="2" s="1"/>
  <c r="AD50" i="2"/>
  <c r="AD230" i="2" s="1"/>
  <c r="AD362" i="2" s="1"/>
  <c r="AE44" i="2"/>
  <c r="AD51" i="2"/>
  <c r="AD248" i="2" s="1"/>
  <c r="AD363" i="2" s="1"/>
  <c r="AD47" i="2"/>
  <c r="AD176" i="2" s="1"/>
  <c r="AD359" i="2" s="1"/>
  <c r="U108" i="10"/>
  <c r="AD358" i="2" l="1"/>
  <c r="AE9" i="2"/>
  <c r="AE10" i="2" s="1"/>
  <c r="AE85" i="2" s="1"/>
  <c r="AE48" i="2"/>
  <c r="AE194" i="2" s="1"/>
  <c r="AE360" i="2" s="1"/>
  <c r="AE47" i="2"/>
  <c r="AE176" i="2" s="1"/>
  <c r="AE359" i="2" s="1"/>
  <c r="AE49" i="2"/>
  <c r="AE212" i="2" s="1"/>
  <c r="AE361" i="2" s="1"/>
  <c r="AF44" i="2"/>
  <c r="AE45" i="2"/>
  <c r="AE46" i="2" s="1"/>
  <c r="AE50" i="2"/>
  <c r="AE230" i="2" s="1"/>
  <c r="AE362" i="2" s="1"/>
  <c r="AE51" i="2"/>
  <c r="AE248" i="2" s="1"/>
  <c r="AE363" i="2" s="1"/>
  <c r="V108" i="10"/>
  <c r="AE358" i="2" l="1"/>
  <c r="AF9" i="2"/>
  <c r="AF10" i="2" s="1"/>
  <c r="AF85" i="2" s="1"/>
  <c r="AF45" i="2"/>
  <c r="AF46" i="2" s="1"/>
  <c r="AF47" i="2"/>
  <c r="AF176" i="2" s="1"/>
  <c r="AF359" i="2" s="1"/>
  <c r="AF49" i="2"/>
  <c r="AF212" i="2" s="1"/>
  <c r="AF361" i="2" s="1"/>
  <c r="AG44" i="2"/>
  <c r="AF48" i="2"/>
  <c r="AF194" i="2" s="1"/>
  <c r="AF360" i="2" s="1"/>
  <c r="AF50" i="2"/>
  <c r="AF230" i="2" s="1"/>
  <c r="AF362" i="2" s="1"/>
  <c r="AF51" i="2"/>
  <c r="AF248" i="2" s="1"/>
  <c r="AF363" i="2" s="1"/>
  <c r="W108" i="10"/>
  <c r="AF358" i="2" l="1"/>
  <c r="AG9" i="2"/>
  <c r="AG10" i="2" s="1"/>
  <c r="AG85" i="2" s="1"/>
  <c r="AH44" i="2"/>
  <c r="AG51" i="2"/>
  <c r="AG248" i="2" s="1"/>
  <c r="AG363" i="2" s="1"/>
  <c r="AG45" i="2"/>
  <c r="AG46" i="2" s="1"/>
  <c r="AG48" i="2"/>
  <c r="AG194" i="2" s="1"/>
  <c r="AG360" i="2" s="1"/>
  <c r="AG47" i="2"/>
  <c r="AG176" i="2" s="1"/>
  <c r="AG359" i="2" s="1"/>
  <c r="AG49" i="2"/>
  <c r="AG212" i="2" s="1"/>
  <c r="AG361" i="2" s="1"/>
  <c r="AG50" i="2"/>
  <c r="AG230" i="2" s="1"/>
  <c r="AG362" i="2" s="1"/>
  <c r="X108" i="10"/>
  <c r="AG358" i="2" l="1"/>
  <c r="AH9" i="2"/>
  <c r="AH10" i="2" s="1"/>
  <c r="AH85" i="2" s="1"/>
  <c r="AH50" i="2"/>
  <c r="AH230" i="2" s="1"/>
  <c r="AH362" i="2" s="1"/>
  <c r="AI44" i="2"/>
  <c r="AH51" i="2"/>
  <c r="AH248" i="2" s="1"/>
  <c r="AH363" i="2" s="1"/>
  <c r="AH45" i="2"/>
  <c r="AH46" i="2" s="1"/>
  <c r="AH47" i="2"/>
  <c r="AH176" i="2" s="1"/>
  <c r="AH359" i="2" s="1"/>
  <c r="AH48" i="2"/>
  <c r="AH194" i="2" s="1"/>
  <c r="AH360" i="2" s="1"/>
  <c r="AH49" i="2"/>
  <c r="AH212" i="2" s="1"/>
  <c r="AH361" i="2" s="1"/>
  <c r="Y108" i="10"/>
  <c r="AH358" i="2" l="1"/>
  <c r="AI9" i="2"/>
  <c r="AI10" i="2" s="1"/>
  <c r="AI85" i="2" s="1"/>
  <c r="AI51" i="2"/>
  <c r="AI248" i="2" s="1"/>
  <c r="AI363" i="2" s="1"/>
  <c r="AI45" i="2"/>
  <c r="AI46" i="2"/>
  <c r="AI47" i="2"/>
  <c r="AI176" i="2" s="1"/>
  <c r="AI359" i="2" s="1"/>
  <c r="AI48" i="2"/>
  <c r="AI194" i="2" s="1"/>
  <c r="AI360" i="2" s="1"/>
  <c r="AI49" i="2"/>
  <c r="AI212" i="2" s="1"/>
  <c r="AI361" i="2" s="1"/>
  <c r="AI50" i="2"/>
  <c r="AI230" i="2" s="1"/>
  <c r="AI362" i="2" s="1"/>
  <c r="AJ44" i="2"/>
  <c r="Z108" i="10"/>
  <c r="AI358" i="2" l="1"/>
  <c r="AJ9" i="2"/>
  <c r="AJ10" i="2" s="1"/>
  <c r="AJ85" i="2" s="1"/>
  <c r="AJ48" i="2"/>
  <c r="AJ194" i="2" s="1"/>
  <c r="AJ360" i="2" s="1"/>
  <c r="AJ50" i="2"/>
  <c r="AJ230" i="2" s="1"/>
  <c r="AJ362" i="2" s="1"/>
  <c r="AJ45" i="2"/>
  <c r="AJ46" i="2" s="1"/>
  <c r="AJ49" i="2"/>
  <c r="AJ212" i="2" s="1"/>
  <c r="AJ361" i="2" s="1"/>
  <c r="AK44" i="2"/>
  <c r="AJ51" i="2"/>
  <c r="AJ248" i="2" s="1"/>
  <c r="AJ363" i="2" s="1"/>
  <c r="AJ47" i="2"/>
  <c r="AJ176" i="2" s="1"/>
  <c r="AJ359" i="2" s="1"/>
  <c r="AA108" i="10"/>
  <c r="AJ358" i="2" l="1"/>
  <c r="AK9" i="2"/>
  <c r="AK10" i="2" s="1"/>
  <c r="AK85" i="2" s="1"/>
  <c r="AK47" i="2"/>
  <c r="AK176" i="2" s="1"/>
  <c r="AK359" i="2" s="1"/>
  <c r="AK48" i="2"/>
  <c r="AK194" i="2" s="1"/>
  <c r="AK360" i="2" s="1"/>
  <c r="AK45" i="2"/>
  <c r="AK46" i="2" s="1"/>
  <c r="AK49" i="2"/>
  <c r="AK212" i="2" s="1"/>
  <c r="AK361" i="2" s="1"/>
  <c r="AK50" i="2"/>
  <c r="AK230" i="2" s="1"/>
  <c r="AK362" i="2" s="1"/>
  <c r="AL44" i="2"/>
  <c r="AK51" i="2"/>
  <c r="AK248" i="2" s="1"/>
  <c r="AK363" i="2" s="1"/>
  <c r="AB108" i="10"/>
  <c r="AK358" i="2" l="1"/>
  <c r="AL9" i="2"/>
  <c r="AL10" i="2" s="1"/>
  <c r="AL85" i="2" s="1"/>
  <c r="AL51" i="2"/>
  <c r="AL248" i="2" s="1"/>
  <c r="AL363" i="2" s="1"/>
  <c r="AL50" i="2"/>
  <c r="AL230" i="2" s="1"/>
  <c r="AL362" i="2" s="1"/>
  <c r="AL47" i="2"/>
  <c r="AL176" i="2" s="1"/>
  <c r="AL359" i="2" s="1"/>
  <c r="AL48" i="2"/>
  <c r="AL194" i="2" s="1"/>
  <c r="AL360" i="2" s="1"/>
  <c r="AL49" i="2"/>
  <c r="AL212" i="2" s="1"/>
  <c r="AL361" i="2" s="1"/>
  <c r="AM44" i="2"/>
  <c r="AL45" i="2"/>
  <c r="AL46" i="2" s="1"/>
  <c r="AC108" i="10"/>
  <c r="AL358" i="2" l="1"/>
  <c r="AM9" i="2"/>
  <c r="AM10" i="2" s="1"/>
  <c r="AM85" i="2" s="1"/>
  <c r="AM49" i="2"/>
  <c r="AM212" i="2" s="1"/>
  <c r="AM361" i="2" s="1"/>
  <c r="AM50" i="2"/>
  <c r="AM230" i="2" s="1"/>
  <c r="AM362" i="2" s="1"/>
  <c r="AN44" i="2"/>
  <c r="AM47" i="2"/>
  <c r="AM176" i="2" s="1"/>
  <c r="AM359" i="2" s="1"/>
  <c r="AM48" i="2"/>
  <c r="AM194" i="2" s="1"/>
  <c r="AM360" i="2" s="1"/>
  <c r="AM45" i="2"/>
  <c r="AM46" i="2" s="1"/>
  <c r="AM51" i="2"/>
  <c r="AM248" i="2" s="1"/>
  <c r="AM363" i="2" s="1"/>
  <c r="AD108" i="10"/>
  <c r="AM358" i="2" l="1"/>
  <c r="AN9" i="2"/>
  <c r="AN10" i="2" s="1"/>
  <c r="AN85" i="2" s="1"/>
  <c r="AN49" i="2"/>
  <c r="AN212" i="2" s="1"/>
  <c r="AN361" i="2" s="1"/>
  <c r="AO44" i="2"/>
  <c r="AN51" i="2"/>
  <c r="AN248" i="2" s="1"/>
  <c r="AN363" i="2" s="1"/>
  <c r="AN45" i="2"/>
  <c r="AN46" i="2" s="1"/>
  <c r="AN47" i="2"/>
  <c r="AN176" i="2" s="1"/>
  <c r="AN359" i="2" s="1"/>
  <c r="AN48" i="2"/>
  <c r="AN194" i="2" s="1"/>
  <c r="AN360" i="2" s="1"/>
  <c r="AN50" i="2"/>
  <c r="AN230" i="2" s="1"/>
  <c r="AN362" i="2" s="1"/>
  <c r="AE108" i="10"/>
  <c r="AN358" i="2" l="1"/>
  <c r="AO9" i="2"/>
  <c r="AO10" i="2" s="1"/>
  <c r="AO85" i="2" s="1"/>
  <c r="AP44" i="2"/>
  <c r="AO47" i="2"/>
  <c r="AO176" i="2" s="1"/>
  <c r="AO359" i="2" s="1"/>
  <c r="AO45" i="2"/>
  <c r="AO46" i="2" s="1"/>
  <c r="AO48" i="2"/>
  <c r="AO194" i="2" s="1"/>
  <c r="AO360" i="2" s="1"/>
  <c r="AO49" i="2"/>
  <c r="AO212" i="2" s="1"/>
  <c r="AO361" i="2" s="1"/>
  <c r="AO50" i="2"/>
  <c r="AO230" i="2" s="1"/>
  <c r="AO362" i="2" s="1"/>
  <c r="AO51" i="2"/>
  <c r="AO248" i="2" s="1"/>
  <c r="AO363" i="2" s="1"/>
  <c r="AF108" i="10"/>
  <c r="AO358" i="2" l="1"/>
  <c r="AP9" i="2"/>
  <c r="AP10" i="2" s="1"/>
  <c r="AP85" i="2" s="1"/>
  <c r="AQ44" i="2"/>
  <c r="AP50" i="2"/>
  <c r="AP230" i="2" s="1"/>
  <c r="AP362" i="2" s="1"/>
  <c r="AP45" i="2"/>
  <c r="AP46" i="2" s="1"/>
  <c r="AP48" i="2"/>
  <c r="AP194" i="2" s="1"/>
  <c r="AP360" i="2" s="1"/>
  <c r="AP49" i="2"/>
  <c r="AP212" i="2" s="1"/>
  <c r="AP361" i="2" s="1"/>
  <c r="AP47" i="2"/>
  <c r="AP176" i="2" s="1"/>
  <c r="AP359" i="2" s="1"/>
  <c r="AP51" i="2"/>
  <c r="AP248" i="2" s="1"/>
  <c r="AP363" i="2" s="1"/>
  <c r="AG108" i="10"/>
  <c r="AP358" i="2" l="1"/>
  <c r="AQ9" i="2"/>
  <c r="AQ10" i="2" s="1"/>
  <c r="AQ85" i="2" s="1"/>
  <c r="AR44" i="2"/>
  <c r="AQ49" i="2"/>
  <c r="AQ212" i="2" s="1"/>
  <c r="AQ361" i="2" s="1"/>
  <c r="AQ50" i="2"/>
  <c r="AQ230" i="2" s="1"/>
  <c r="AQ362" i="2" s="1"/>
  <c r="AQ45" i="2"/>
  <c r="AQ46" i="2" s="1"/>
  <c r="AQ48" i="2"/>
  <c r="AQ194" i="2" s="1"/>
  <c r="AQ360" i="2" s="1"/>
  <c r="AQ47" i="2"/>
  <c r="AQ176" i="2" s="1"/>
  <c r="AQ359" i="2" s="1"/>
  <c r="AQ51" i="2"/>
  <c r="AQ248" i="2" s="1"/>
  <c r="AQ363" i="2" s="1"/>
  <c r="AH108" i="10"/>
  <c r="AQ358" i="2" l="1"/>
  <c r="AR9" i="2"/>
  <c r="AR10" i="2" s="1"/>
  <c r="AR85" i="2" s="1"/>
  <c r="AR48" i="2"/>
  <c r="AR194" i="2" s="1"/>
  <c r="AR360" i="2" s="1"/>
  <c r="AR49" i="2"/>
  <c r="AR212" i="2" s="1"/>
  <c r="AR361" i="2" s="1"/>
  <c r="AR51" i="2"/>
  <c r="AR248" i="2" s="1"/>
  <c r="AR363" i="2" s="1"/>
  <c r="AR50" i="2"/>
  <c r="AR230" i="2" s="1"/>
  <c r="AR362" i="2" s="1"/>
  <c r="AS44" i="2"/>
  <c r="AR47" i="2"/>
  <c r="AR176" i="2" s="1"/>
  <c r="AR359" i="2" s="1"/>
  <c r="AR45" i="2"/>
  <c r="AR46" i="2" s="1"/>
  <c r="AI108" i="10"/>
  <c r="AR358" i="2" l="1"/>
  <c r="AS9" i="2"/>
  <c r="AS10" i="2" s="1"/>
  <c r="AS85" i="2" s="1"/>
  <c r="AS47" i="2"/>
  <c r="AS176" i="2" s="1"/>
  <c r="AS359" i="2" s="1"/>
  <c r="AS49" i="2"/>
  <c r="AS212" i="2" s="1"/>
  <c r="AS361" i="2" s="1"/>
  <c r="AS50" i="2"/>
  <c r="AS230" i="2" s="1"/>
  <c r="AS362" i="2" s="1"/>
  <c r="AT44" i="2"/>
  <c r="AS51" i="2"/>
  <c r="AS248" i="2" s="1"/>
  <c r="AS363" i="2" s="1"/>
  <c r="AS48" i="2"/>
  <c r="AS194" i="2" s="1"/>
  <c r="AS360" i="2" s="1"/>
  <c r="AS45" i="2"/>
  <c r="AS46" i="2" s="1"/>
  <c r="AJ108" i="10"/>
  <c r="AS358" i="2" l="1"/>
  <c r="AT9" i="2"/>
  <c r="AT10" i="2" s="1"/>
  <c r="AT85" i="2" s="1"/>
  <c r="AT48" i="2"/>
  <c r="AT194" i="2" s="1"/>
  <c r="AT360" i="2" s="1"/>
  <c r="AT49" i="2"/>
  <c r="AT212" i="2" s="1"/>
  <c r="AT361" i="2" s="1"/>
  <c r="AT51" i="2"/>
  <c r="AT248" i="2" s="1"/>
  <c r="AT363" i="2" s="1"/>
  <c r="AT45" i="2"/>
  <c r="AT46" i="2" s="1"/>
  <c r="AT47" i="2"/>
  <c r="AT176" i="2" s="1"/>
  <c r="AT359" i="2" s="1"/>
  <c r="AU44" i="2"/>
  <c r="AT50" i="2"/>
  <c r="AT230" i="2" s="1"/>
  <c r="AT362" i="2" s="1"/>
  <c r="AK108" i="10"/>
  <c r="AT358" i="2" l="1"/>
  <c r="AU9" i="2"/>
  <c r="AU10" i="2" s="1"/>
  <c r="AU85" i="2" s="1"/>
  <c r="AU49" i="2"/>
  <c r="AU212" i="2" s="1"/>
  <c r="AU361" i="2" s="1"/>
  <c r="AU51" i="2"/>
  <c r="AU248" i="2" s="1"/>
  <c r="AU363" i="2" s="1"/>
  <c r="AU45" i="2"/>
  <c r="AU46" i="2" s="1"/>
  <c r="AU48" i="2"/>
  <c r="AU194" i="2" s="1"/>
  <c r="AU360" i="2" s="1"/>
  <c r="AU50" i="2"/>
  <c r="AU230" i="2" s="1"/>
  <c r="AU362" i="2" s="1"/>
  <c r="AV44" i="2"/>
  <c r="AU47" i="2"/>
  <c r="AU176" i="2" s="1"/>
  <c r="AU359" i="2" s="1"/>
  <c r="AL108" i="10"/>
  <c r="AU358" i="2" l="1"/>
  <c r="AV9" i="2"/>
  <c r="AV48" i="2"/>
  <c r="AV194" i="2" s="1"/>
  <c r="AV360" i="2" s="1"/>
  <c r="AX360" i="2" s="1"/>
  <c r="AV49" i="2"/>
  <c r="AV212" i="2" s="1"/>
  <c r="AV361" i="2" s="1"/>
  <c r="AX361" i="2" s="1"/>
  <c r="AV50" i="2"/>
  <c r="AV230" i="2" s="1"/>
  <c r="AV362" i="2" s="1"/>
  <c r="AX362" i="2" s="1"/>
  <c r="AV51" i="2"/>
  <c r="AV248" i="2" s="1"/>
  <c r="AV363" i="2" s="1"/>
  <c r="AX363" i="2" s="1"/>
  <c r="AV45" i="2"/>
  <c r="AV46" i="2" s="1"/>
  <c r="AV47" i="2"/>
  <c r="AV176" i="2" s="1"/>
  <c r="AV359" i="2" s="1"/>
  <c r="AM108" i="10"/>
  <c r="AV358" i="2" l="1"/>
  <c r="AX359" i="2"/>
  <c r="AV10" i="2"/>
  <c r="AX9" i="2"/>
  <c r="AN108" i="10"/>
  <c r="AX10" i="2" l="1"/>
  <c r="AV85" i="2"/>
  <c r="AO108" i="10"/>
  <c r="AP108" i="10" l="1"/>
  <c r="AQ108" i="10" l="1"/>
  <c r="AR108" i="10" l="1"/>
  <c r="AS108" i="10" l="1"/>
  <c r="AT108" i="10" l="1"/>
  <c r="AU108" i="10" l="1"/>
  <c r="AV108" i="10" l="1"/>
  <c r="E16" i="12" l="1"/>
  <c r="E15" i="12"/>
  <c r="E14" i="12"/>
  <c r="D9" i="12"/>
  <c r="H9" i="12" s="1"/>
  <c r="N8" i="12"/>
  <c r="G8" i="12"/>
  <c r="E8" i="12"/>
  <c r="I8" i="12" s="1"/>
  <c r="I7" i="12"/>
  <c r="B15" i="12" s="1"/>
  <c r="E7" i="12"/>
  <c r="E6" i="12"/>
  <c r="I6" i="12" s="1"/>
  <c r="H5" i="12"/>
  <c r="I5" i="12" s="1"/>
  <c r="D5" i="12"/>
  <c r="I15" i="12" l="1"/>
  <c r="B23" i="12" s="1"/>
  <c r="L8" i="12"/>
  <c r="B16" i="12"/>
  <c r="J8" i="12"/>
  <c r="J5" i="12"/>
  <c r="B13" i="12"/>
  <c r="J6" i="12"/>
  <c r="B14" i="12"/>
  <c r="J7" i="12"/>
  <c r="L7" i="12"/>
  <c r="G9" i="12"/>
  <c r="N9" i="12" s="1"/>
  <c r="I9" i="12"/>
  <c r="I23" i="12" l="1"/>
  <c r="J15" i="12"/>
  <c r="L15" i="12"/>
  <c r="B17" i="12"/>
  <c r="G16" i="12"/>
  <c r="N16" i="12" s="1"/>
  <c r="D13" i="12"/>
  <c r="I16" i="12"/>
  <c r="I14" i="12"/>
  <c r="L16" i="12" l="1"/>
  <c r="B24" i="12"/>
  <c r="J23" i="12"/>
  <c r="B31" i="12"/>
  <c r="L23" i="12"/>
  <c r="J14" i="12"/>
  <c r="B22" i="12"/>
  <c r="I22" i="12" s="1"/>
  <c r="G17" i="12"/>
  <c r="N17" i="12" s="1"/>
  <c r="J16" i="12"/>
  <c r="D17" i="12"/>
  <c r="H17" i="12" s="1"/>
  <c r="H13" i="12"/>
  <c r="I13" i="12" s="1"/>
  <c r="A1340" i="8"/>
  <c r="A301" i="4" s="1"/>
  <c r="G24" i="12" l="1"/>
  <c r="N24" i="12" s="1"/>
  <c r="D21" i="12"/>
  <c r="I31" i="12"/>
  <c r="B39" i="12" s="1"/>
  <c r="J13" i="12"/>
  <c r="B21" i="12"/>
  <c r="J22" i="12"/>
  <c r="B30" i="12"/>
  <c r="I17" i="12"/>
  <c r="A210" i="4"/>
  <c r="A259" i="4"/>
  <c r="A1339" i="8"/>
  <c r="A300" i="4" s="1"/>
  <c r="J31" i="12" l="1"/>
  <c r="L31" i="12"/>
  <c r="H21" i="12"/>
  <c r="I21" i="12" s="1"/>
  <c r="D25" i="12"/>
  <c r="H25" i="12" s="1"/>
  <c r="G25" i="12" s="1"/>
  <c r="N25" i="12" s="1"/>
  <c r="I24" i="12"/>
  <c r="I39" i="12"/>
  <c r="B47" i="12" s="1"/>
  <c r="I30" i="12"/>
  <c r="B38" i="12" s="1"/>
  <c r="I38" i="12" s="1"/>
  <c r="A209" i="4"/>
  <c r="A258" i="4"/>
  <c r="A94" i="7" s="1"/>
  <c r="A1093" i="8"/>
  <c r="A906" i="2" l="1"/>
  <c r="A925" i="2"/>
  <c r="A899" i="2"/>
  <c r="A918" i="2"/>
  <c r="J21" i="12"/>
  <c r="B29" i="12"/>
  <c r="L24" i="12"/>
  <c r="B32" i="12"/>
  <c r="J24" i="12"/>
  <c r="I25" i="12"/>
  <c r="B33" i="12" s="1"/>
  <c r="L39" i="12"/>
  <c r="J39" i="12"/>
  <c r="I47" i="12"/>
  <c r="B55" i="12" s="1"/>
  <c r="J38" i="12"/>
  <c r="B46" i="12"/>
  <c r="I46" i="12" s="1"/>
  <c r="J30" i="12"/>
  <c r="G288" i="4"/>
  <c r="G246" i="4"/>
  <c r="G197" i="4"/>
  <c r="A1341" i="8"/>
  <c r="A214" i="4" s="1"/>
  <c r="A1342" i="8"/>
  <c r="A1343" i="8"/>
  <c r="A216" i="4" s="1"/>
  <c r="A1344" i="8"/>
  <c r="A1345" i="8"/>
  <c r="A218" i="4" s="1"/>
  <c r="L47" i="12" l="1"/>
  <c r="G32" i="12"/>
  <c r="N32" i="12" s="1"/>
  <c r="I32" i="12"/>
  <c r="L32" i="12" s="1"/>
  <c r="D29" i="12"/>
  <c r="I55" i="12"/>
  <c r="B63" i="12" s="1"/>
  <c r="J47" i="12"/>
  <c r="J46" i="12"/>
  <c r="B54" i="12"/>
  <c r="A217" i="4"/>
  <c r="A215" i="4"/>
  <c r="A307" i="4"/>
  <c r="A308" i="4"/>
  <c r="A306" i="4"/>
  <c r="A305" i="4"/>
  <c r="A309" i="4"/>
  <c r="A264" i="4"/>
  <c r="A265" i="4"/>
  <c r="A266" i="4"/>
  <c r="A267" i="4"/>
  <c r="A263" i="4"/>
  <c r="A96" i="7" s="1"/>
  <c r="H29" i="12" l="1"/>
  <c r="I29" i="12" s="1"/>
  <c r="D33" i="12"/>
  <c r="J32" i="12"/>
  <c r="B40" i="12"/>
  <c r="L55" i="12"/>
  <c r="J55" i="12"/>
  <c r="I63" i="12"/>
  <c r="J63" i="12" s="1"/>
  <c r="I54" i="12"/>
  <c r="B62" i="12" s="1"/>
  <c r="I62" i="12" s="1"/>
  <c r="A467" i="8"/>
  <c r="A294" i="4" s="1"/>
  <c r="A466" i="8"/>
  <c r="A141" i="1" s="1"/>
  <c r="G40" i="12" l="1"/>
  <c r="N40" i="12" s="1"/>
  <c r="D37" i="12"/>
  <c r="H33" i="12"/>
  <c r="G33" i="12" s="1"/>
  <c r="N33" i="12" s="1"/>
  <c r="B37" i="12"/>
  <c r="J29" i="12"/>
  <c r="L63" i="12"/>
  <c r="B71" i="12"/>
  <c r="J54" i="12"/>
  <c r="J62" i="12"/>
  <c r="B70" i="12"/>
  <c r="I70" i="12" s="1"/>
  <c r="A203" i="4"/>
  <c r="A252" i="4"/>
  <c r="I33" i="12" l="1"/>
  <c r="D41" i="12"/>
  <c r="H41" i="12" s="1"/>
  <c r="H37" i="12"/>
  <c r="I37" i="12" s="1"/>
  <c r="B45" i="12" s="1"/>
  <c r="I40" i="12"/>
  <c r="I71" i="12"/>
  <c r="J71" i="12" s="1"/>
  <c r="J70" i="12"/>
  <c r="B78" i="12"/>
  <c r="I78" i="12" s="1"/>
  <c r="B607" i="2"/>
  <c r="B609" i="2"/>
  <c r="B48" i="12" l="1"/>
  <c r="L40" i="12"/>
  <c r="J40" i="12"/>
  <c r="J37" i="12"/>
  <c r="B41" i="12"/>
  <c r="L71" i="12"/>
  <c r="B79" i="12"/>
  <c r="J78" i="12"/>
  <c r="B86" i="12"/>
  <c r="I86" i="12" s="1"/>
  <c r="J86" i="12" s="1"/>
  <c r="A1307" i="8"/>
  <c r="A163" i="4" s="1"/>
  <c r="A1302" i="8"/>
  <c r="A156" i="4" s="1"/>
  <c r="G41" i="12" l="1"/>
  <c r="N41" i="12" s="1"/>
  <c r="I41" i="12"/>
  <c r="B49" i="12" s="1"/>
  <c r="G48" i="12"/>
  <c r="N48" i="12" s="1"/>
  <c r="D45" i="12"/>
  <c r="I79" i="12"/>
  <c r="B87" i="12" s="1"/>
  <c r="A1300" i="8"/>
  <c r="A154" i="4" s="1"/>
  <c r="A1301" i="8"/>
  <c r="A155" i="4" s="1"/>
  <c r="D49" i="12" l="1"/>
  <c r="H45" i="12"/>
  <c r="I45" i="12" s="1"/>
  <c r="I48" i="12"/>
  <c r="I87" i="12"/>
  <c r="L87" i="12" s="1"/>
  <c r="J79" i="12"/>
  <c r="L79" i="12"/>
  <c r="B507" i="2"/>
  <c r="B505" i="2"/>
  <c r="B56" i="12" l="1"/>
  <c r="J48" i="12"/>
  <c r="L48" i="12"/>
  <c r="B53" i="12"/>
  <c r="J45" i="12"/>
  <c r="H49" i="12"/>
  <c r="G49" i="12"/>
  <c r="N49" i="12" s="1"/>
  <c r="J87" i="12"/>
  <c r="G2" i="2"/>
  <c r="G962" i="2"/>
  <c r="G966" i="2"/>
  <c r="G969" i="2"/>
  <c r="D21" i="1"/>
  <c r="B16" i="1"/>
  <c r="G26" i="1" s="1"/>
  <c r="G29" i="1" s="1"/>
  <c r="G64" i="1"/>
  <c r="G484" i="2"/>
  <c r="G492" i="2"/>
  <c r="G68" i="10"/>
  <c r="H68" i="10" s="1"/>
  <c r="I68" i="10" s="1"/>
  <c r="J68" i="10" s="1"/>
  <c r="K68" i="10" s="1"/>
  <c r="L68" i="10" s="1"/>
  <c r="M68" i="10" s="1"/>
  <c r="N68" i="10" s="1"/>
  <c r="O68" i="10" s="1"/>
  <c r="P68" i="10" s="1"/>
  <c r="Q68" i="10" s="1"/>
  <c r="R68" i="10" s="1"/>
  <c r="S68" i="10" s="1"/>
  <c r="T68" i="10" s="1"/>
  <c r="U68" i="10" s="1"/>
  <c r="V68" i="10" s="1"/>
  <c r="W68" i="10" s="1"/>
  <c r="X68" i="10" s="1"/>
  <c r="Y68" i="10" s="1"/>
  <c r="Z68" i="10" s="1"/>
  <c r="AA68" i="10" s="1"/>
  <c r="AB68" i="10" s="1"/>
  <c r="AC68" i="10" s="1"/>
  <c r="AD68" i="10" s="1"/>
  <c r="AE68" i="10" s="1"/>
  <c r="AF68" i="10" s="1"/>
  <c r="AG68" i="10" s="1"/>
  <c r="AH68" i="10" s="1"/>
  <c r="AI68" i="10" s="1"/>
  <c r="AJ68" i="10" s="1"/>
  <c r="AK68" i="10" s="1"/>
  <c r="AL68" i="10" s="1"/>
  <c r="AM68" i="10" s="1"/>
  <c r="AN68" i="10" s="1"/>
  <c r="AO68" i="10" s="1"/>
  <c r="AP68" i="10" s="1"/>
  <c r="AQ68" i="10" s="1"/>
  <c r="AR68" i="10" s="1"/>
  <c r="AS68" i="10" s="1"/>
  <c r="AT68" i="10" s="1"/>
  <c r="AU68" i="10" s="1"/>
  <c r="AV68" i="10" s="1"/>
  <c r="G2" i="10"/>
  <c r="G75" i="10"/>
  <c r="G82" i="10"/>
  <c r="H82" i="10" s="1"/>
  <c r="I82" i="10" s="1"/>
  <c r="J82" i="10" s="1"/>
  <c r="K82" i="10" s="1"/>
  <c r="L82" i="10" s="1"/>
  <c r="M82" i="10" s="1"/>
  <c r="N82" i="10" s="1"/>
  <c r="O82" i="10" s="1"/>
  <c r="P82" i="10" s="1"/>
  <c r="Q82" i="10" s="1"/>
  <c r="R82" i="10" s="1"/>
  <c r="S82" i="10" s="1"/>
  <c r="T82" i="10" s="1"/>
  <c r="U82" i="10" s="1"/>
  <c r="V82" i="10" s="1"/>
  <c r="W82" i="10" s="1"/>
  <c r="X82" i="10" s="1"/>
  <c r="Y82" i="10" s="1"/>
  <c r="Z82" i="10" s="1"/>
  <c r="AA82" i="10" s="1"/>
  <c r="AB82" i="10" s="1"/>
  <c r="AC82" i="10" s="1"/>
  <c r="AD82" i="10" s="1"/>
  <c r="AE82" i="10" s="1"/>
  <c r="AF82" i="10" s="1"/>
  <c r="AG82" i="10" s="1"/>
  <c r="AH82" i="10" s="1"/>
  <c r="AI82" i="10" s="1"/>
  <c r="AJ82" i="10" s="1"/>
  <c r="AK82" i="10" s="1"/>
  <c r="AL82" i="10" s="1"/>
  <c r="AM82" i="10" s="1"/>
  <c r="AN82" i="10" s="1"/>
  <c r="AO82" i="10" s="1"/>
  <c r="AP82" i="10" s="1"/>
  <c r="AQ82" i="10" s="1"/>
  <c r="AR82" i="10" s="1"/>
  <c r="AS82" i="10" s="1"/>
  <c r="AT82" i="10" s="1"/>
  <c r="AU82" i="10" s="1"/>
  <c r="AV82" i="10" s="1"/>
  <c r="G848" i="2"/>
  <c r="G850" i="2" s="1"/>
  <c r="G856" i="2"/>
  <c r="G81" i="1"/>
  <c r="B126" i="1" s="1"/>
  <c r="B620" i="2"/>
  <c r="B626" i="2"/>
  <c r="B632" i="2"/>
  <c r="B638" i="2"/>
  <c r="B644" i="2"/>
  <c r="B650" i="2"/>
  <c r="B656" i="2"/>
  <c r="B662" i="2"/>
  <c r="B667" i="2"/>
  <c r="B581" i="2"/>
  <c r="B583" i="2"/>
  <c r="B594" i="2"/>
  <c r="B596" i="2"/>
  <c r="G828" i="2"/>
  <c r="G956" i="2"/>
  <c r="G874" i="2"/>
  <c r="G776" i="2"/>
  <c r="G790" i="2"/>
  <c r="B672" i="2"/>
  <c r="G805" i="2"/>
  <c r="H25" i="1"/>
  <c r="H2" i="2" s="1"/>
  <c r="H966" i="2"/>
  <c r="H969" i="2"/>
  <c r="H64" i="1"/>
  <c r="H27" i="4" s="1"/>
  <c r="H484" i="2"/>
  <c r="H492" i="2"/>
  <c r="H96" i="1"/>
  <c r="I96" i="1" s="1"/>
  <c r="J96" i="1" s="1"/>
  <c r="K96" i="1" s="1"/>
  <c r="L96" i="1" s="1"/>
  <c r="M96" i="1" s="1"/>
  <c r="N96" i="1" s="1"/>
  <c r="O96" i="1" s="1"/>
  <c r="P96" i="1" s="1"/>
  <c r="Q96" i="1" s="1"/>
  <c r="R96" i="1" s="1"/>
  <c r="S96" i="1" s="1"/>
  <c r="T96" i="1" s="1"/>
  <c r="U96" i="1" s="1"/>
  <c r="V96" i="1" s="1"/>
  <c r="W96" i="1" s="1"/>
  <c r="X96" i="1" s="1"/>
  <c r="Y96" i="1" s="1"/>
  <c r="Z96" i="1" s="1"/>
  <c r="AA96" i="1" s="1"/>
  <c r="AB96" i="1" s="1"/>
  <c r="AC96" i="1" s="1"/>
  <c r="AD96" i="1" s="1"/>
  <c r="AE96" i="1" s="1"/>
  <c r="AF96" i="1" s="1"/>
  <c r="AG96" i="1" s="1"/>
  <c r="AH96" i="1" s="1"/>
  <c r="AI96" i="1" s="1"/>
  <c r="AJ96" i="1" s="1"/>
  <c r="AK96" i="1" s="1"/>
  <c r="AL96" i="1" s="1"/>
  <c r="AM96" i="1" s="1"/>
  <c r="AN96" i="1" s="1"/>
  <c r="AO96" i="1" s="1"/>
  <c r="AP96" i="1" s="1"/>
  <c r="AQ96" i="1" s="1"/>
  <c r="AR96" i="1" s="1"/>
  <c r="AS96" i="1" s="1"/>
  <c r="AT96" i="1" s="1"/>
  <c r="AU96" i="1" s="1"/>
  <c r="AV96" i="1" s="1"/>
  <c r="H97" i="1"/>
  <c r="I97" i="1" s="1"/>
  <c r="J97" i="1" s="1"/>
  <c r="K97" i="1" s="1"/>
  <c r="L97" i="1" s="1"/>
  <c r="M97" i="1" s="1"/>
  <c r="N97" i="1" s="1"/>
  <c r="O97" i="1" s="1"/>
  <c r="P97" i="1" s="1"/>
  <c r="Q97" i="1" s="1"/>
  <c r="R97" i="1" s="1"/>
  <c r="S97" i="1" s="1"/>
  <c r="T97" i="1" s="1"/>
  <c r="U97" i="1" s="1"/>
  <c r="V97" i="1" s="1"/>
  <c r="W97" i="1" s="1"/>
  <c r="X97" i="1" s="1"/>
  <c r="Y97" i="1" s="1"/>
  <c r="Z97" i="1" s="1"/>
  <c r="AA97" i="1" s="1"/>
  <c r="AB97" i="1" s="1"/>
  <c r="AC97" i="1" s="1"/>
  <c r="AD97" i="1" s="1"/>
  <c r="AE97" i="1" s="1"/>
  <c r="AF97" i="1" s="1"/>
  <c r="AG97" i="1" s="1"/>
  <c r="AH97" i="1" s="1"/>
  <c r="AI97" i="1" s="1"/>
  <c r="AJ97" i="1" s="1"/>
  <c r="AK97" i="1" s="1"/>
  <c r="AL97" i="1" s="1"/>
  <c r="AM97" i="1" s="1"/>
  <c r="AN97" i="1" s="1"/>
  <c r="AO97" i="1" s="1"/>
  <c r="AP97" i="1" s="1"/>
  <c r="AQ97" i="1" s="1"/>
  <c r="AR97" i="1" s="1"/>
  <c r="AS97" i="1" s="1"/>
  <c r="AT97" i="1" s="1"/>
  <c r="AU97" i="1" s="1"/>
  <c r="AV97" i="1" s="1"/>
  <c r="H79" i="1"/>
  <c r="I79" i="1" s="1"/>
  <c r="J79" i="1" s="1"/>
  <c r="K79" i="1" s="1"/>
  <c r="L79" i="1" s="1"/>
  <c r="H80" i="1"/>
  <c r="I80" i="1" s="1"/>
  <c r="J80" i="1" s="1"/>
  <c r="K80" i="1" s="1"/>
  <c r="L80" i="1" s="1"/>
  <c r="M80" i="1" s="1"/>
  <c r="N80" i="1" s="1"/>
  <c r="O80" i="1" s="1"/>
  <c r="P80" i="1" s="1"/>
  <c r="Q80" i="1" s="1"/>
  <c r="R80" i="1" s="1"/>
  <c r="S80" i="1" s="1"/>
  <c r="T80" i="1" s="1"/>
  <c r="U80" i="1" s="1"/>
  <c r="V80" i="1" s="1"/>
  <c r="W80" i="1" s="1"/>
  <c r="X80" i="1" s="1"/>
  <c r="Y80" i="1" s="1"/>
  <c r="Z80" i="1" s="1"/>
  <c r="AA80" i="1" s="1"/>
  <c r="AB80" i="1" s="1"/>
  <c r="AC80" i="1" s="1"/>
  <c r="AD80" i="1" s="1"/>
  <c r="AE80" i="1" s="1"/>
  <c r="AF80" i="1" s="1"/>
  <c r="AG80" i="1" s="1"/>
  <c r="AH80" i="1" s="1"/>
  <c r="AI80" i="1" s="1"/>
  <c r="AJ80" i="1" s="1"/>
  <c r="AK80" i="1" s="1"/>
  <c r="AL80" i="1" s="1"/>
  <c r="AM80" i="1" s="1"/>
  <c r="AN80" i="1" s="1"/>
  <c r="AO80" i="1" s="1"/>
  <c r="AP80" i="1" s="1"/>
  <c r="AQ80" i="1" s="1"/>
  <c r="AR80" i="1" s="1"/>
  <c r="AS80" i="1" s="1"/>
  <c r="AT80" i="1" s="1"/>
  <c r="AU80" i="1" s="1"/>
  <c r="AV80" i="1" s="1"/>
  <c r="H102" i="1"/>
  <c r="I102" i="1" s="1"/>
  <c r="J102" i="1" s="1"/>
  <c r="K102" i="1" s="1"/>
  <c r="L102" i="1" s="1"/>
  <c r="M102" i="1" s="1"/>
  <c r="N102" i="1" s="1"/>
  <c r="O102" i="1" s="1"/>
  <c r="P102" i="1" s="1"/>
  <c r="Q102" i="1" s="1"/>
  <c r="R102" i="1" s="1"/>
  <c r="S102" i="1" s="1"/>
  <c r="T102" i="1" s="1"/>
  <c r="U102" i="1" s="1"/>
  <c r="V102" i="1" s="1"/>
  <c r="W102" i="1" s="1"/>
  <c r="X102" i="1" s="1"/>
  <c r="Y102" i="1" s="1"/>
  <c r="Z102" i="1" s="1"/>
  <c r="AA102" i="1" s="1"/>
  <c r="AB102" i="1" s="1"/>
  <c r="AC102" i="1" s="1"/>
  <c r="AD102" i="1" s="1"/>
  <c r="AE102" i="1" s="1"/>
  <c r="AF102" i="1" s="1"/>
  <c r="AG102" i="1" s="1"/>
  <c r="AH102" i="1" s="1"/>
  <c r="AI102" i="1" s="1"/>
  <c r="AJ102" i="1" s="1"/>
  <c r="AK102" i="1" s="1"/>
  <c r="AL102" i="1" s="1"/>
  <c r="AM102" i="1" s="1"/>
  <c r="AN102" i="1" s="1"/>
  <c r="AO102" i="1" s="1"/>
  <c r="AP102" i="1" s="1"/>
  <c r="AQ102" i="1" s="1"/>
  <c r="AR102" i="1" s="1"/>
  <c r="AS102" i="1" s="1"/>
  <c r="AT102" i="1" s="1"/>
  <c r="AU102" i="1" s="1"/>
  <c r="AV102" i="1" s="1"/>
  <c r="H828" i="2"/>
  <c r="H109" i="1"/>
  <c r="I109" i="1" s="1"/>
  <c r="J109" i="1" s="1"/>
  <c r="K109" i="1" s="1"/>
  <c r="L109" i="1" s="1"/>
  <c r="M109" i="1" s="1"/>
  <c r="N109" i="1" s="1"/>
  <c r="O109" i="1" s="1"/>
  <c r="P109" i="1" s="1"/>
  <c r="Q109" i="1" s="1"/>
  <c r="R109" i="1" s="1"/>
  <c r="S109" i="1" s="1"/>
  <c r="T109" i="1" s="1"/>
  <c r="U109" i="1" s="1"/>
  <c r="V109" i="1" s="1"/>
  <c r="W109" i="1" s="1"/>
  <c r="X109" i="1" s="1"/>
  <c r="Y109" i="1" s="1"/>
  <c r="Z109" i="1" s="1"/>
  <c r="AA109" i="1" s="1"/>
  <c r="AB109" i="1" s="1"/>
  <c r="AC109" i="1" s="1"/>
  <c r="AD109" i="1" s="1"/>
  <c r="AE109" i="1" s="1"/>
  <c r="AF109" i="1" s="1"/>
  <c r="AG109" i="1" s="1"/>
  <c r="AH109" i="1" s="1"/>
  <c r="AI109" i="1" s="1"/>
  <c r="AJ109" i="1" s="1"/>
  <c r="AK109" i="1" s="1"/>
  <c r="AL109" i="1" s="1"/>
  <c r="AM109" i="1" s="1"/>
  <c r="AN109" i="1" s="1"/>
  <c r="AO109" i="1" s="1"/>
  <c r="AP109" i="1" s="1"/>
  <c r="AQ109" i="1" s="1"/>
  <c r="AR109" i="1" s="1"/>
  <c r="AS109" i="1" s="1"/>
  <c r="AT109" i="1" s="1"/>
  <c r="AU109" i="1" s="1"/>
  <c r="AV109" i="1" s="1"/>
  <c r="H107" i="1"/>
  <c r="I107" i="1" s="1"/>
  <c r="J107" i="1" s="1"/>
  <c r="K107" i="1" s="1"/>
  <c r="L107" i="1" s="1"/>
  <c r="M107" i="1" s="1"/>
  <c r="N107" i="1" s="1"/>
  <c r="O107" i="1" s="1"/>
  <c r="P107" i="1" s="1"/>
  <c r="Q107" i="1" s="1"/>
  <c r="R107" i="1" s="1"/>
  <c r="S107" i="1" s="1"/>
  <c r="T107" i="1" s="1"/>
  <c r="U107" i="1" s="1"/>
  <c r="V107" i="1" s="1"/>
  <c r="W107" i="1" s="1"/>
  <c r="X107" i="1" s="1"/>
  <c r="Y107" i="1" s="1"/>
  <c r="Z107" i="1" s="1"/>
  <c r="AA107" i="1" s="1"/>
  <c r="AB107" i="1" s="1"/>
  <c r="AC107" i="1" s="1"/>
  <c r="AD107" i="1" s="1"/>
  <c r="AE107" i="1" s="1"/>
  <c r="AF107" i="1" s="1"/>
  <c r="AG107" i="1" s="1"/>
  <c r="AH107" i="1" s="1"/>
  <c r="AI107" i="1" s="1"/>
  <c r="AJ107" i="1" s="1"/>
  <c r="AK107" i="1" s="1"/>
  <c r="AL107" i="1" s="1"/>
  <c r="AM107" i="1" s="1"/>
  <c r="AN107" i="1" s="1"/>
  <c r="AO107" i="1" s="1"/>
  <c r="AP107" i="1" s="1"/>
  <c r="AQ107" i="1" s="1"/>
  <c r="AR107" i="1" s="1"/>
  <c r="AS107" i="1" s="1"/>
  <c r="AT107" i="1" s="1"/>
  <c r="AU107" i="1" s="1"/>
  <c r="AV107" i="1" s="1"/>
  <c r="H956" i="2"/>
  <c r="H874" i="2"/>
  <c r="H805" i="2"/>
  <c r="I966" i="2"/>
  <c r="I969" i="2"/>
  <c r="I64" i="1"/>
  <c r="I484" i="2"/>
  <c r="I492" i="2"/>
  <c r="I828" i="2"/>
  <c r="I956" i="2"/>
  <c r="I874" i="2"/>
  <c r="I805" i="2"/>
  <c r="J966" i="2"/>
  <c r="J969" i="2"/>
  <c r="J64" i="1"/>
  <c r="J484" i="2"/>
  <c r="J492" i="2"/>
  <c r="J828" i="2"/>
  <c r="J956" i="2"/>
  <c r="J874" i="2"/>
  <c r="J805" i="2"/>
  <c r="K966" i="2"/>
  <c r="K969" i="2"/>
  <c r="K64" i="1"/>
  <c r="K24" i="4" s="1"/>
  <c r="K484" i="2"/>
  <c r="K492" i="2"/>
  <c r="K828" i="2"/>
  <c r="K956" i="2"/>
  <c r="K874" i="2"/>
  <c r="K805" i="2"/>
  <c r="B273" i="4"/>
  <c r="G2" i="4"/>
  <c r="B15" i="10"/>
  <c r="B24" i="10"/>
  <c r="B35" i="10"/>
  <c r="B39" i="10"/>
  <c r="G819" i="2"/>
  <c r="A1399" i="8"/>
  <c r="A28" i="11" s="1"/>
  <c r="A1398" i="8"/>
  <c r="A2" i="11" s="1"/>
  <c r="A115" i="8"/>
  <c r="A107" i="8"/>
  <c r="A1211" i="8"/>
  <c r="A33" i="4" s="1"/>
  <c r="A28" i="7" s="1"/>
  <c r="A1210" i="8"/>
  <c r="A32" i="4" s="1"/>
  <c r="A27" i="7" s="1"/>
  <c r="A1209" i="8"/>
  <c r="A30" i="4" s="1"/>
  <c r="A25" i="7" s="1"/>
  <c r="A1208" i="8"/>
  <c r="A29" i="4" s="1"/>
  <c r="A24" i="7" s="1"/>
  <c r="A1207" i="8"/>
  <c r="A28" i="4" s="1"/>
  <c r="A23" i="7" s="1"/>
  <c r="A1206" i="8"/>
  <c r="A27" i="4" s="1"/>
  <c r="A22" i="7" s="1"/>
  <c r="A1205" i="8"/>
  <c r="A26" i="4" s="1"/>
  <c r="A21" i="7" s="1"/>
  <c r="A1204" i="8"/>
  <c r="A25" i="4" s="1"/>
  <c r="A1203" i="8"/>
  <c r="A24" i="4" s="1"/>
  <c r="A1202" i="8"/>
  <c r="A22" i="4" s="1"/>
  <c r="A19" i="7" s="1"/>
  <c r="A1201" i="8"/>
  <c r="A21" i="4" s="1"/>
  <c r="A18" i="7" s="1"/>
  <c r="A1200" i="8"/>
  <c r="A20" i="4" s="1"/>
  <c r="A17" i="7" s="1"/>
  <c r="A1199" i="8"/>
  <c r="A19" i="4" s="1"/>
  <c r="A16" i="7" s="1"/>
  <c r="A1198" i="8"/>
  <c r="A17" i="4" s="1"/>
  <c r="A14" i="7" s="1"/>
  <c r="A1197" i="8"/>
  <c r="A16" i="4" s="1"/>
  <c r="A1196" i="8"/>
  <c r="A15" i="4" s="1"/>
  <c r="A13" i="7" s="1"/>
  <c r="A1195" i="8"/>
  <c r="A14" i="4" s="1"/>
  <c r="A12" i="7" s="1"/>
  <c r="A1194" i="8"/>
  <c r="A13" i="4" s="1"/>
  <c r="A1193" i="8"/>
  <c r="A11" i="4" s="1"/>
  <c r="A10" i="7" s="1"/>
  <c r="A1191" i="8"/>
  <c r="A10" i="4" s="1"/>
  <c r="A9" i="7" s="1"/>
  <c r="A1190" i="8"/>
  <c r="A9" i="4" s="1"/>
  <c r="A8" i="7" s="1"/>
  <c r="A1189" i="8"/>
  <c r="A8" i="4" s="1"/>
  <c r="A7" i="7" s="1"/>
  <c r="A1188" i="8"/>
  <c r="A7" i="4" s="1"/>
  <c r="A6" i="7" s="1"/>
  <c r="A1187" i="8"/>
  <c r="A6" i="4" s="1"/>
  <c r="A5" i="7" s="1"/>
  <c r="A1445" i="8"/>
  <c r="AX55" i="2" s="1"/>
  <c r="A1186" i="8"/>
  <c r="A4" i="4" s="1"/>
  <c r="A3" i="7" s="1"/>
  <c r="A1181" i="8"/>
  <c r="A109" i="1" s="1"/>
  <c r="A46" i="8"/>
  <c r="A447" i="8"/>
  <c r="A108" i="1" s="1"/>
  <c r="A446" i="8"/>
  <c r="A107" i="1" s="1"/>
  <c r="A445" i="8"/>
  <c r="A105" i="1" s="1"/>
  <c r="A444" i="8"/>
  <c r="A103" i="1" s="1"/>
  <c r="A443" i="8"/>
  <c r="A102" i="1" s="1"/>
  <c r="A442" i="8"/>
  <c r="A100" i="1" s="1"/>
  <c r="A441" i="8"/>
  <c r="A98" i="1" s="1"/>
  <c r="A440" i="8"/>
  <c r="A97" i="1" s="1"/>
  <c r="A439" i="8"/>
  <c r="A96" i="1" s="1"/>
  <c r="A438" i="8"/>
  <c r="A94" i="1" s="1"/>
  <c r="A437" i="8"/>
  <c r="A92" i="1" s="1"/>
  <c r="A436" i="8"/>
  <c r="A91" i="1" s="1"/>
  <c r="A435" i="8"/>
  <c r="A90" i="1" s="1"/>
  <c r="A434" i="8"/>
  <c r="A89" i="1" s="1"/>
  <c r="A433" i="8"/>
  <c r="A88" i="1" s="1"/>
  <c r="A432" i="8"/>
  <c r="A87" i="1" s="1"/>
  <c r="A431" i="8"/>
  <c r="A86" i="1" s="1"/>
  <c r="A430" i="8"/>
  <c r="A84" i="1" s="1"/>
  <c r="A429" i="8"/>
  <c r="A82" i="1" s="1"/>
  <c r="A428" i="8"/>
  <c r="A81" i="1" s="1"/>
  <c r="A427" i="8"/>
  <c r="A80" i="1" s="1"/>
  <c r="A426" i="8"/>
  <c r="A79" i="1" s="1"/>
  <c r="A425" i="8"/>
  <c r="A77" i="1" s="1"/>
  <c r="A159" i="8"/>
  <c r="C75" i="1" s="1"/>
  <c r="A424" i="8"/>
  <c r="A75" i="1" s="1"/>
  <c r="A375" i="8"/>
  <c r="C74" i="1" s="1"/>
  <c r="A423" i="8"/>
  <c r="A74" i="1" s="1"/>
  <c r="A422" i="8"/>
  <c r="A73" i="1" s="1"/>
  <c r="A421" i="8"/>
  <c r="A72" i="1" s="1"/>
  <c r="A420" i="8"/>
  <c r="A70" i="1" s="1"/>
  <c r="A419" i="8"/>
  <c r="A68" i="1" s="1"/>
  <c r="A412" i="8"/>
  <c r="A64" i="1" s="1"/>
  <c r="A471" i="8"/>
  <c r="C419" i="2" s="1"/>
  <c r="A417" i="8"/>
  <c r="A56" i="1" s="1"/>
  <c r="A416" i="8"/>
  <c r="A415" i="8"/>
  <c r="A60" i="1" s="1"/>
  <c r="A414" i="8"/>
  <c r="A99" i="8"/>
  <c r="B58" i="1" s="1"/>
  <c r="A418" i="8"/>
  <c r="A58" i="1" s="1"/>
  <c r="A98" i="8"/>
  <c r="A413" i="8"/>
  <c r="A52" i="1" s="1"/>
  <c r="A411" i="8"/>
  <c r="A50" i="1" s="1"/>
  <c r="A408" i="8"/>
  <c r="A49" i="1" s="1"/>
  <c r="A406" i="8"/>
  <c r="A48" i="1" s="1"/>
  <c r="A405" i="8"/>
  <c r="A47" i="1" s="1"/>
  <c r="A404" i="8"/>
  <c r="A46" i="1" s="1"/>
  <c r="A403" i="8"/>
  <c r="A288" i="4" s="1"/>
  <c r="A402" i="8"/>
  <c r="A42" i="1" s="1"/>
  <c r="A470" i="8"/>
  <c r="A401" i="8"/>
  <c r="A40" i="1" s="1"/>
  <c r="A400" i="8"/>
  <c r="A38" i="1" s="1"/>
  <c r="A711" i="8"/>
  <c r="A492" i="2" s="1"/>
  <c r="A70" i="8"/>
  <c r="A703" i="8"/>
  <c r="A576" i="8"/>
  <c r="A592" i="8"/>
  <c r="A591" i="8"/>
  <c r="A590" i="8"/>
  <c r="A1449" i="8"/>
  <c r="A589" i="8"/>
  <c r="A588" i="8"/>
  <c r="A587" i="8"/>
  <c r="A586" i="8"/>
  <c r="A585" i="8"/>
  <c r="A1446" i="8"/>
  <c r="A584" i="8"/>
  <c r="A583" i="8"/>
  <c r="A582" i="8"/>
  <c r="A581" i="8"/>
  <c r="A580" i="8"/>
  <c r="A579" i="8"/>
  <c r="A578" i="8"/>
  <c r="A577" i="8"/>
  <c r="A742" i="8"/>
  <c r="A1457" i="8"/>
  <c r="A644" i="8"/>
  <c r="A257" i="8"/>
  <c r="A596" i="8"/>
  <c r="G2" i="1"/>
  <c r="H43" i="1"/>
  <c r="A1106" i="8"/>
  <c r="A1105" i="8"/>
  <c r="A48" i="8"/>
  <c r="A1104" i="8"/>
  <c r="A1452" i="8"/>
  <c r="A1103" i="8"/>
  <c r="A1102" i="8"/>
  <c r="A1101" i="8"/>
  <c r="A1448" i="8"/>
  <c r="A1100" i="8"/>
  <c r="A1099" i="8"/>
  <c r="A1098" i="8"/>
  <c r="A1097" i="8"/>
  <c r="A1096" i="8"/>
  <c r="A1095" i="8"/>
  <c r="A1094" i="8"/>
  <c r="A1447" i="8"/>
  <c r="A1092" i="8"/>
  <c r="A1456" i="8"/>
  <c r="A1091" i="8"/>
  <c r="A1090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408" i="2" s="1"/>
  <c r="A624" i="8"/>
  <c r="A623" i="8"/>
  <c r="A622" i="8"/>
  <c r="A1455" i="8"/>
  <c r="C469" i="2" s="1"/>
  <c r="A1454" i="8"/>
  <c r="C747" i="2" s="1"/>
  <c r="A1453" i="8"/>
  <c r="A1458" i="8"/>
  <c r="A1451" i="8"/>
  <c r="A45" i="8"/>
  <c r="C167" i="4" s="1"/>
  <c r="A1450" i="8"/>
  <c r="C169" i="4" s="1"/>
  <c r="A1087" i="8"/>
  <c r="A885" i="2" s="1"/>
  <c r="A1127" i="8"/>
  <c r="A1126" i="8"/>
  <c r="A1081" i="8"/>
  <c r="A876" i="2" s="1"/>
  <c r="A1080" i="8"/>
  <c r="A875" i="2" s="1"/>
  <c r="A1079" i="8"/>
  <c r="A874" i="2" s="1"/>
  <c r="A1078" i="8"/>
  <c r="A873" i="2" s="1"/>
  <c r="A1077" i="8"/>
  <c r="A872" i="2" s="1"/>
  <c r="A1076" i="8"/>
  <c r="A871" i="2" s="1"/>
  <c r="A1072" i="8"/>
  <c r="A1075" i="8"/>
  <c r="A1074" i="8"/>
  <c r="A864" i="2" s="1"/>
  <c r="A1073" i="8"/>
  <c r="A1064" i="8"/>
  <c r="A858" i="2" s="1"/>
  <c r="A1071" i="8"/>
  <c r="A1070" i="8"/>
  <c r="A1069" i="8"/>
  <c r="A1068" i="8"/>
  <c r="A1067" i="8"/>
  <c r="A1066" i="8"/>
  <c r="A1065" i="8"/>
  <c r="A862" i="2" s="1"/>
  <c r="A451" i="8"/>
  <c r="A450" i="8"/>
  <c r="A1153" i="8"/>
  <c r="A1444" i="8"/>
  <c r="A1165" i="8"/>
  <c r="A327" i="4" s="1"/>
  <c r="A1136" i="8"/>
  <c r="A322" i="4" s="1"/>
  <c r="A1135" i="8"/>
  <c r="A321" i="4" s="1"/>
  <c r="A1134" i="8"/>
  <c r="A320" i="4" s="1"/>
  <c r="A1169" i="8"/>
  <c r="A995" i="2" s="1"/>
  <c r="A1168" i="8"/>
  <c r="A994" i="2" s="1"/>
  <c r="A1167" i="8"/>
  <c r="A993" i="2" s="1"/>
  <c r="A1166" i="8"/>
  <c r="A992" i="2" s="1"/>
  <c r="A1333" i="8"/>
  <c r="A1334" i="8"/>
  <c r="A1423" i="8"/>
  <c r="G256" i="11" s="1"/>
  <c r="A1424" i="8"/>
  <c r="G257" i="11" s="1"/>
  <c r="A1425" i="8"/>
  <c r="G258" i="11" s="1"/>
  <c r="A1426" i="8"/>
  <c r="G259" i="11" s="1"/>
  <c r="A1422" i="8"/>
  <c r="G255" i="11" s="1"/>
  <c r="A1421" i="8"/>
  <c r="G254" i="11" s="1"/>
  <c r="A1433" i="8"/>
  <c r="G269" i="11" s="1"/>
  <c r="A1434" i="8"/>
  <c r="G270" i="11" s="1"/>
  <c r="A1435" i="8"/>
  <c r="G271" i="11" s="1"/>
  <c r="A1436" i="8"/>
  <c r="G272" i="11" s="1"/>
  <c r="A1437" i="8"/>
  <c r="G273" i="11" s="1"/>
  <c r="A1438" i="8"/>
  <c r="G274" i="11" s="1"/>
  <c r="A1432" i="8"/>
  <c r="G268" i="11" s="1"/>
  <c r="A1379" i="8"/>
  <c r="A348" i="4" s="1"/>
  <c r="A1325" i="8"/>
  <c r="A184" i="4" s="1"/>
  <c r="A1324" i="8"/>
  <c r="A1323" i="8"/>
  <c r="A1397" i="8"/>
  <c r="A342" i="4" s="1"/>
  <c r="A1396" i="8"/>
  <c r="A341" i="4" s="1"/>
  <c r="A1395" i="8"/>
  <c r="A340" i="4" s="1"/>
  <c r="A1394" i="8"/>
  <c r="A339" i="4" s="1"/>
  <c r="A1393" i="8"/>
  <c r="A337" i="4" s="1"/>
  <c r="A1392" i="8"/>
  <c r="A335" i="4" s="1"/>
  <c r="A1391" i="8"/>
  <c r="A333" i="4" s="1"/>
  <c r="A1390" i="8"/>
  <c r="A331" i="4" s="1"/>
  <c r="A1389" i="8"/>
  <c r="A329" i="4" s="1"/>
  <c r="A1388" i="8"/>
  <c r="A325" i="4" s="1"/>
  <c r="A1387" i="8"/>
  <c r="A323" i="4" s="1"/>
  <c r="A1386" i="8"/>
  <c r="A319" i="4" s="1"/>
  <c r="A1371" i="8"/>
  <c r="A317" i="4" s="1"/>
  <c r="A1370" i="8"/>
  <c r="A316" i="4" s="1"/>
  <c r="A1369" i="8"/>
  <c r="A1405" i="8"/>
  <c r="A184" i="11" s="1"/>
  <c r="A1404" i="8"/>
  <c r="A158" i="11" s="1"/>
  <c r="A1403" i="8"/>
  <c r="A132" i="11" s="1"/>
  <c r="A1402" i="8"/>
  <c r="A106" i="11" s="1"/>
  <c r="A1401" i="8"/>
  <c r="A80" i="11" s="1"/>
  <c r="A1400" i="8"/>
  <c r="A54" i="11" s="1"/>
  <c r="B138" i="1"/>
  <c r="A410" i="8"/>
  <c r="A409" i="8"/>
  <c r="A496" i="8"/>
  <c r="A31" i="10" s="1"/>
  <c r="B315" i="4"/>
  <c r="A1420" i="8"/>
  <c r="G253" i="11" s="1"/>
  <c r="H212" i="11" s="1"/>
  <c r="AX342" i="4"/>
  <c r="AX341" i="4"/>
  <c r="AX340" i="4"/>
  <c r="A454" i="8"/>
  <c r="A478" i="8"/>
  <c r="A10" i="10" s="1"/>
  <c r="A468" i="8"/>
  <c r="A453" i="8"/>
  <c r="A139" i="1" s="1"/>
  <c r="A477" i="8"/>
  <c r="A9" i="10" s="1"/>
  <c r="A476" i="8"/>
  <c r="A1233" i="8"/>
  <c r="A281" i="4" s="1"/>
  <c r="A1377" i="8"/>
  <c r="A282" i="4" s="1"/>
  <c r="B224" i="4"/>
  <c r="A1359" i="8"/>
  <c r="A237" i="4" s="1"/>
  <c r="A81" i="7" s="1"/>
  <c r="A1360" i="8"/>
  <c r="A1358" i="8"/>
  <c r="A1366" i="8"/>
  <c r="A1365" i="8"/>
  <c r="A254" i="4" s="1"/>
  <c r="A92" i="7" s="1"/>
  <c r="A1364" i="8"/>
  <c r="A1336" i="8"/>
  <c r="A205" i="4" s="1"/>
  <c r="A1335" i="8"/>
  <c r="A201" i="4" s="1"/>
  <c r="A1361" i="8"/>
  <c r="A1322" i="8"/>
  <c r="A1321" i="8"/>
  <c r="A1320" i="8"/>
  <c r="A182" i="4" s="1"/>
  <c r="A1319" i="8"/>
  <c r="A181" i="4" s="1"/>
  <c r="A1357" i="8"/>
  <c r="A1297" i="8"/>
  <c r="A148" i="4" s="1"/>
  <c r="A842" i="8"/>
  <c r="A678" i="2" s="1"/>
  <c r="A812" i="8"/>
  <c r="A642" i="2" s="1"/>
  <c r="A841" i="8"/>
  <c r="A677" i="2" s="1"/>
  <c r="A840" i="8"/>
  <c r="A676" i="2" s="1"/>
  <c r="A839" i="8"/>
  <c r="A675" i="2" s="1"/>
  <c r="A835" i="8"/>
  <c r="A670" i="2" s="1"/>
  <c r="B44" i="10"/>
  <c r="G818" i="2"/>
  <c r="G968" i="2" s="1"/>
  <c r="B971" i="2"/>
  <c r="G97" i="10"/>
  <c r="G967" i="2"/>
  <c r="H967" i="2"/>
  <c r="I967" i="2"/>
  <c r="J967" i="2"/>
  <c r="K967" i="2"/>
  <c r="G57" i="10"/>
  <c r="G62" i="10" s="1"/>
  <c r="H57" i="10" s="1"/>
  <c r="H62" i="10" s="1"/>
  <c r="I62" i="10" s="1"/>
  <c r="J57" i="10" s="1"/>
  <c r="G49" i="1"/>
  <c r="G50" i="1"/>
  <c r="G48" i="1"/>
  <c r="G47" i="1"/>
  <c r="H60" i="1"/>
  <c r="I60" i="1" s="1"/>
  <c r="H54" i="1"/>
  <c r="A1125" i="8"/>
  <c r="AX941" i="2"/>
  <c r="A1128" i="8"/>
  <c r="A680" i="8"/>
  <c r="A679" i="8"/>
  <c r="A663" i="8"/>
  <c r="A446" i="2" s="1"/>
  <c r="A662" i="8"/>
  <c r="A445" i="2" s="1"/>
  <c r="A661" i="8"/>
  <c r="A444" i="2" s="1"/>
  <c r="A660" i="8"/>
  <c r="A443" i="2" s="1"/>
  <c r="A659" i="8"/>
  <c r="A442" i="2" s="1"/>
  <c r="A658" i="8"/>
  <c r="A441" i="2" s="1"/>
  <c r="A657" i="8"/>
  <c r="A440" i="2" s="1"/>
  <c r="A656" i="8"/>
  <c r="A439" i="2" s="1"/>
  <c r="A655" i="8"/>
  <c r="A438" i="2" s="1"/>
  <c r="A654" i="8"/>
  <c r="A437" i="2" s="1"/>
  <c r="A653" i="8"/>
  <c r="A436" i="2" s="1"/>
  <c r="A652" i="8"/>
  <c r="A435" i="2" s="1"/>
  <c r="A651" i="8"/>
  <c r="A434" i="2" s="1"/>
  <c r="A650" i="8"/>
  <c r="A433" i="2" s="1"/>
  <c r="A649" i="8"/>
  <c r="A432" i="2" s="1"/>
  <c r="A648" i="8"/>
  <c r="A431" i="2" s="1"/>
  <c r="A647" i="8"/>
  <c r="A430" i="2" s="1"/>
  <c r="A646" i="8"/>
  <c r="A429" i="2" s="1"/>
  <c r="A645" i="8"/>
  <c r="A428" i="2" s="1"/>
  <c r="A643" i="8"/>
  <c r="A426" i="2" s="1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5" i="8"/>
  <c r="A594" i="8"/>
  <c r="A741" i="8"/>
  <c r="A44" i="8"/>
  <c r="A732" i="8"/>
  <c r="A733" i="8"/>
  <c r="A139" i="8"/>
  <c r="A38" i="9" s="1"/>
  <c r="A1329" i="8"/>
  <c r="A464" i="8"/>
  <c r="A346" i="8"/>
  <c r="A4" i="8"/>
  <c r="A5" i="8"/>
  <c r="A377" i="8"/>
  <c r="A47" i="8"/>
  <c r="A1385" i="8"/>
  <c r="A313" i="4" s="1"/>
  <c r="A1384" i="8"/>
  <c r="A298" i="4" s="1"/>
  <c r="A1383" i="8"/>
  <c r="A1382" i="8"/>
  <c r="A296" i="4" s="1"/>
  <c r="A1381" i="8"/>
  <c r="A292" i="4" s="1"/>
  <c r="A1380" i="8"/>
  <c r="A287" i="4" s="1"/>
  <c r="A1378" i="8"/>
  <c r="A283" i="4" s="1"/>
  <c r="A1376" i="8"/>
  <c r="A280" i="4" s="1"/>
  <c r="A1375" i="8"/>
  <c r="A279" i="4" s="1"/>
  <c r="A1374" i="8"/>
  <c r="A278" i="4" s="1"/>
  <c r="A1373" i="8"/>
  <c r="A277" i="4" s="1"/>
  <c r="A1372" i="8"/>
  <c r="A276" i="4" s="1"/>
  <c r="A1368" i="8"/>
  <c r="A271" i="4" s="1"/>
  <c r="A1367" i="8"/>
  <c r="A256" i="4" s="1"/>
  <c r="A1363" i="8"/>
  <c r="A245" i="4" s="1"/>
  <c r="A88" i="7" s="1"/>
  <c r="A1362" i="8"/>
  <c r="A243" i="4" s="1"/>
  <c r="A86" i="7" s="1"/>
  <c r="A1356" i="8"/>
  <c r="A233" i="4" s="1"/>
  <c r="A77" i="7" s="1"/>
  <c r="A1355" i="8"/>
  <c r="A232" i="4" s="1"/>
  <c r="A76" i="7" s="1"/>
  <c r="A1354" i="8"/>
  <c r="A231" i="4" s="1"/>
  <c r="A75" i="7" s="1"/>
  <c r="A1353" i="8"/>
  <c r="A230" i="4" s="1"/>
  <c r="A74" i="7" s="1"/>
  <c r="A1352" i="8"/>
  <c r="A229" i="4" s="1"/>
  <c r="A73" i="7" s="1"/>
  <c r="A1351" i="8"/>
  <c r="A228" i="4" s="1"/>
  <c r="A72" i="7" s="1"/>
  <c r="A1350" i="8"/>
  <c r="A227" i="4" s="1"/>
  <c r="A71" i="7" s="1"/>
  <c r="A1349" i="8"/>
  <c r="A226" i="4" s="1"/>
  <c r="A1348" i="8"/>
  <c r="A225" i="4" s="1"/>
  <c r="A1347" i="8"/>
  <c r="A224" i="4" s="1"/>
  <c r="A70" i="7" s="1"/>
  <c r="A1346" i="8"/>
  <c r="A222" i="4" s="1"/>
  <c r="A68" i="7" s="1"/>
  <c r="A1338" i="8"/>
  <c r="A1337" i="8"/>
  <c r="A1332" i="8"/>
  <c r="A196" i="4" s="1"/>
  <c r="A1331" i="8"/>
  <c r="A194" i="4" s="1"/>
  <c r="A1330" i="8"/>
  <c r="A1328" i="8"/>
  <c r="A1327" i="8"/>
  <c r="A1326" i="8"/>
  <c r="A1318" i="8"/>
  <c r="A180" i="4" s="1"/>
  <c r="A1317" i="8"/>
  <c r="A179" i="4" s="1"/>
  <c r="A1316" i="8"/>
  <c r="A178" i="4" s="1"/>
  <c r="A1315" i="8"/>
  <c r="A177" i="4" s="1"/>
  <c r="A1314" i="8"/>
  <c r="A176" i="4" s="1"/>
  <c r="A1313" i="8"/>
  <c r="A174" i="4" s="1"/>
  <c r="A1312" i="8"/>
  <c r="A170" i="4" s="1"/>
  <c r="A1311" i="8"/>
  <c r="A169" i="4" s="1"/>
  <c r="A1310" i="8"/>
  <c r="A167" i="4" s="1"/>
  <c r="A1309" i="8"/>
  <c r="A166" i="4" s="1"/>
  <c r="A1308" i="8"/>
  <c r="A165" i="4" s="1"/>
  <c r="A1306" i="8"/>
  <c r="A1305" i="8"/>
  <c r="A160" i="4" s="1"/>
  <c r="A1304" i="8"/>
  <c r="A159" i="4" s="1"/>
  <c r="A1303" i="8"/>
  <c r="A158" i="4" s="1"/>
  <c r="A1299" i="8"/>
  <c r="A152" i="4" s="1"/>
  <c r="A1298" i="8"/>
  <c r="A151" i="4" s="1"/>
  <c r="A1296" i="8"/>
  <c r="A147" i="4" s="1"/>
  <c r="A1295" i="8"/>
  <c r="A146" i="4" s="1"/>
  <c r="A1294" i="8"/>
  <c r="A145" i="4" s="1"/>
  <c r="A1293" i="8"/>
  <c r="A144" i="4" s="1"/>
  <c r="A1292" i="8"/>
  <c r="A143" i="4" s="1"/>
  <c r="A1291" i="8"/>
  <c r="A142" i="4" s="1"/>
  <c r="A1290" i="8"/>
  <c r="A141" i="4" s="1"/>
  <c r="A1289" i="8"/>
  <c r="A140" i="4" s="1"/>
  <c r="A1288" i="8"/>
  <c r="A138" i="4" s="1"/>
  <c r="A1287" i="8"/>
  <c r="A134" i="4" s="1"/>
  <c r="A1286" i="8"/>
  <c r="A133" i="4" s="1"/>
  <c r="A1285" i="8"/>
  <c r="A132" i="4" s="1"/>
  <c r="A1284" i="8"/>
  <c r="A130" i="4" s="1"/>
  <c r="A1283" i="8"/>
  <c r="A128" i="4" s="1"/>
  <c r="A1282" i="8"/>
  <c r="A127" i="4" s="1"/>
  <c r="A1281" i="8"/>
  <c r="A126" i="4" s="1"/>
  <c r="A1280" i="8"/>
  <c r="A125" i="4" s="1"/>
  <c r="A1279" i="8"/>
  <c r="A123" i="4" s="1"/>
  <c r="A1278" i="8"/>
  <c r="A122" i="4" s="1"/>
  <c r="A1277" i="8"/>
  <c r="A121" i="4" s="1"/>
  <c r="A1276" i="8"/>
  <c r="A119" i="4" s="1"/>
  <c r="A1275" i="8"/>
  <c r="A117" i="4" s="1"/>
  <c r="A1213" i="8"/>
  <c r="A39" i="4" s="1"/>
  <c r="A34" i="7" s="1"/>
  <c r="A1214" i="8"/>
  <c r="A40" i="4" s="1"/>
  <c r="A35" i="7" s="1"/>
  <c r="A1215" i="8"/>
  <c r="A41" i="4" s="1"/>
  <c r="A36" i="7" s="1"/>
  <c r="A1216" i="8"/>
  <c r="A42" i="4" s="1"/>
  <c r="A37" i="7" s="1"/>
  <c r="A1217" i="8"/>
  <c r="A43" i="4" s="1"/>
  <c r="A38" i="7" s="1"/>
  <c r="A1218" i="8"/>
  <c r="A44" i="4" s="1"/>
  <c r="A39" i="7" s="1"/>
  <c r="A1219" i="8"/>
  <c r="A45" i="4" s="1"/>
  <c r="A40" i="7" s="1"/>
  <c r="A1220" i="8"/>
  <c r="A46" i="4" s="1"/>
  <c r="A41" i="7" s="1"/>
  <c r="A1221" i="8"/>
  <c r="A47" i="4" s="1"/>
  <c r="A42" i="7" s="1"/>
  <c r="A1222" i="8"/>
  <c r="A49" i="4" s="1"/>
  <c r="A44" i="7" s="1"/>
  <c r="A1223" i="8"/>
  <c r="A51" i="4" s="1"/>
  <c r="A46" i="7" s="1"/>
  <c r="A1224" i="8"/>
  <c r="A52" i="4" s="1"/>
  <c r="A47" i="7" s="1"/>
  <c r="A1225" i="8"/>
  <c r="A53" i="4" s="1"/>
  <c r="A48" i="7" s="1"/>
  <c r="A1226" i="8"/>
  <c r="A54" i="4" s="1"/>
  <c r="A49" i="7" s="1"/>
  <c r="A1227" i="8"/>
  <c r="A55" i="4" s="1"/>
  <c r="A50" i="7" s="1"/>
  <c r="A1228" i="8"/>
  <c r="A56" i="4" s="1"/>
  <c r="A51" i="7" s="1"/>
  <c r="A1229" i="8"/>
  <c r="A58" i="4" s="1"/>
  <c r="A53" i="7" s="1"/>
  <c r="A1230" i="8"/>
  <c r="A60" i="4" s="1"/>
  <c r="A55" i="7" s="1"/>
  <c r="A1231" i="8"/>
  <c r="A61" i="4" s="1"/>
  <c r="A56" i="7" s="1"/>
  <c r="A1232" i="8"/>
  <c r="A62" i="4" s="1"/>
  <c r="A57" i="7" s="1"/>
  <c r="A1234" i="8"/>
  <c r="A65" i="4" s="1"/>
  <c r="A60" i="7" s="1"/>
  <c r="A1235" i="8"/>
  <c r="A67" i="4" s="1"/>
  <c r="A62" i="7" s="1"/>
  <c r="A1236" i="8"/>
  <c r="A68" i="4" s="1"/>
  <c r="A63" i="7" s="1"/>
  <c r="A1237" i="8"/>
  <c r="A69" i="4" s="1"/>
  <c r="A64" i="7" s="1"/>
  <c r="N221" i="11"/>
  <c r="N222" i="11" s="1"/>
  <c r="N223" i="11" s="1"/>
  <c r="N224" i="11" s="1"/>
  <c r="M221" i="11"/>
  <c r="M222" i="11" s="1"/>
  <c r="M223" i="11" s="1"/>
  <c r="M224" i="11" s="1"/>
  <c r="L221" i="11"/>
  <c r="L222" i="11" s="1"/>
  <c r="L223" i="11" s="1"/>
  <c r="L224" i="11" s="1"/>
  <c r="K221" i="11"/>
  <c r="K222" i="11" s="1"/>
  <c r="K223" i="11" s="1"/>
  <c r="K224" i="11" s="1"/>
  <c r="J221" i="11"/>
  <c r="J222" i="11" s="1"/>
  <c r="J223" i="11" s="1"/>
  <c r="J224" i="11" s="1"/>
  <c r="I221" i="11"/>
  <c r="I222" i="11" s="1"/>
  <c r="I223" i="11" s="1"/>
  <c r="I224" i="11" s="1"/>
  <c r="H221" i="11"/>
  <c r="H222" i="11" s="1"/>
  <c r="H223" i="11" s="1"/>
  <c r="H224" i="11" s="1"/>
  <c r="A574" i="8"/>
  <c r="A125" i="10" s="1"/>
  <c r="A573" i="8"/>
  <c r="A124" i="10" s="1"/>
  <c r="A572" i="8"/>
  <c r="A122" i="10" s="1"/>
  <c r="A571" i="8"/>
  <c r="A121" i="10" s="1"/>
  <c r="A570" i="8"/>
  <c r="A120" i="10" s="1"/>
  <c r="A569" i="8"/>
  <c r="A119" i="10" s="1"/>
  <c r="A568" i="8"/>
  <c r="A118" i="10" s="1"/>
  <c r="A567" i="8"/>
  <c r="A117" i="10" s="1"/>
  <c r="A566" i="8"/>
  <c r="A116" i="10" s="1"/>
  <c r="A565" i="8"/>
  <c r="A115" i="10" s="1"/>
  <c r="A564" i="8"/>
  <c r="A114" i="10" s="1"/>
  <c r="A563" i="8"/>
  <c r="A562" i="8"/>
  <c r="A104" i="10" s="1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102" i="10" s="1"/>
  <c r="A546" i="8"/>
  <c r="A98" i="10" s="1"/>
  <c r="A545" i="8"/>
  <c r="A97" i="10" s="1"/>
  <c r="A544" i="8"/>
  <c r="A96" i="10" s="1"/>
  <c r="A543" i="8"/>
  <c r="A94" i="10" s="1"/>
  <c r="A542" i="8"/>
  <c r="A93" i="10" s="1"/>
  <c r="A541" i="8"/>
  <c r="A92" i="10" s="1"/>
  <c r="A540" i="8"/>
  <c r="A90" i="10" s="1"/>
  <c r="A539" i="8"/>
  <c r="A86" i="10" s="1"/>
  <c r="A538" i="8"/>
  <c r="A85" i="10" s="1"/>
  <c r="A537" i="8"/>
  <c r="A84" i="10" s="1"/>
  <c r="A536" i="8"/>
  <c r="A83" i="10" s="1"/>
  <c r="A535" i="8"/>
  <c r="A82" i="10" s="1"/>
  <c r="A534" i="8"/>
  <c r="A81" i="10" s="1"/>
  <c r="A533" i="8"/>
  <c r="A79" i="10" s="1"/>
  <c r="A532" i="8"/>
  <c r="A78" i="10" s="1"/>
  <c r="A531" i="8"/>
  <c r="A77" i="10" s="1"/>
  <c r="A530" i="8"/>
  <c r="A76" i="10" s="1"/>
  <c r="A529" i="8"/>
  <c r="A75" i="10" s="1"/>
  <c r="A528" i="8"/>
  <c r="A74" i="10" s="1"/>
  <c r="A527" i="8"/>
  <c r="A72" i="10" s="1"/>
  <c r="A526" i="8"/>
  <c r="A71" i="10" s="1"/>
  <c r="A525" i="8"/>
  <c r="A70" i="10" s="1"/>
  <c r="A524" i="8"/>
  <c r="A69" i="10" s="1"/>
  <c r="A523" i="8"/>
  <c r="A68" i="10" s="1"/>
  <c r="A522" i="8"/>
  <c r="A67" i="10" s="1"/>
  <c r="A521" i="8"/>
  <c r="A65" i="10" s="1"/>
  <c r="A520" i="8"/>
  <c r="A64" i="10" s="1"/>
  <c r="A519" i="8"/>
  <c r="A62" i="10" s="1"/>
  <c r="A518" i="8"/>
  <c r="A61" i="10" s="1"/>
  <c r="A517" i="8"/>
  <c r="A60" i="10" s="1"/>
  <c r="A516" i="8"/>
  <c r="A59" i="10" s="1"/>
  <c r="A515" i="8"/>
  <c r="A58" i="10" s="1"/>
  <c r="A514" i="8"/>
  <c r="A57" i="10" s="1"/>
  <c r="A513" i="8"/>
  <c r="A55" i="10" s="1"/>
  <c r="A512" i="8"/>
  <c r="A51" i="10" s="1"/>
  <c r="A511" i="8"/>
  <c r="A50" i="10" s="1"/>
  <c r="A510" i="8"/>
  <c r="A49" i="10" s="1"/>
  <c r="A509" i="8"/>
  <c r="A47" i="10" s="1"/>
  <c r="A508" i="8"/>
  <c r="A46" i="10" s="1"/>
  <c r="A507" i="8"/>
  <c r="A44" i="10" s="1"/>
  <c r="A506" i="8"/>
  <c r="A43" i="10" s="1"/>
  <c r="A505" i="8"/>
  <c r="A42" i="10" s="1"/>
  <c r="A504" i="8"/>
  <c r="A41" i="10" s="1"/>
  <c r="A503" i="8"/>
  <c r="A39" i="10" s="1"/>
  <c r="A502" i="8"/>
  <c r="A38" i="10" s="1"/>
  <c r="A501" i="8"/>
  <c r="A500" i="8"/>
  <c r="A35" i="10" s="1"/>
  <c r="A499" i="8"/>
  <c r="A34" i="10" s="1"/>
  <c r="A498" i="8"/>
  <c r="A33" i="10" s="1"/>
  <c r="A497" i="8"/>
  <c r="A32" i="10" s="1"/>
  <c r="A495" i="8"/>
  <c r="A30" i="10" s="1"/>
  <c r="A494" i="8"/>
  <c r="A493" i="8"/>
  <c r="A28" i="10" s="1"/>
  <c r="A492" i="8"/>
  <c r="A26" i="10" s="1"/>
  <c r="A491" i="8"/>
  <c r="A24" i="10" s="1"/>
  <c r="A490" i="8"/>
  <c r="A23" i="10" s="1"/>
  <c r="A489" i="8"/>
  <c r="A22" i="10" s="1"/>
  <c r="A488" i="8"/>
  <c r="A21" i="10" s="1"/>
  <c r="A487" i="8"/>
  <c r="A20" i="10" s="1"/>
  <c r="A486" i="8"/>
  <c r="A19" i="10" s="1"/>
  <c r="A485" i="8"/>
  <c r="A18" i="10" s="1"/>
  <c r="A484" i="8"/>
  <c r="A17" i="10" s="1"/>
  <c r="A483" i="8"/>
  <c r="A15" i="10" s="1"/>
  <c r="A482" i="8"/>
  <c r="A14" i="10" s="1"/>
  <c r="A481" i="8"/>
  <c r="A13" i="10" s="1"/>
  <c r="A480" i="8"/>
  <c r="A12" i="10" s="1"/>
  <c r="A479" i="8"/>
  <c r="A11" i="10" s="1"/>
  <c r="A475" i="8"/>
  <c r="A474" i="8"/>
  <c r="A6" i="10" s="1"/>
  <c r="A473" i="8"/>
  <c r="A4" i="10" s="1"/>
  <c r="A472" i="8"/>
  <c r="A1184" i="8"/>
  <c r="A1013" i="2" s="1"/>
  <c r="A1183" i="8"/>
  <c r="A1012" i="2" s="1"/>
  <c r="A1182" i="8"/>
  <c r="A1011" i="2" s="1"/>
  <c r="A1180" i="8"/>
  <c r="A1008" i="2" s="1"/>
  <c r="A1179" i="8"/>
  <c r="A1007" i="2" s="1"/>
  <c r="A1178" i="8"/>
  <c r="A1006" i="2" s="1"/>
  <c r="A1177" i="8"/>
  <c r="A1005" i="2" s="1"/>
  <c r="A1176" i="8"/>
  <c r="A1004" i="2" s="1"/>
  <c r="A1175" i="8"/>
  <c r="A1003" i="2" s="1"/>
  <c r="A1174" i="8"/>
  <c r="A1002" i="2" s="1"/>
  <c r="A1173" i="8"/>
  <c r="A1000" i="2" s="1"/>
  <c r="A1172" i="8"/>
  <c r="A999" i="2" s="1"/>
  <c r="A1171" i="8"/>
  <c r="A998" i="2" s="1"/>
  <c r="A1170" i="8"/>
  <c r="A997" i="2" s="1"/>
  <c r="A1164" i="8"/>
  <c r="A990" i="2" s="1"/>
  <c r="A1163" i="8"/>
  <c r="A989" i="2" s="1"/>
  <c r="A1162" i="8"/>
  <c r="A988" i="2" s="1"/>
  <c r="A1161" i="8"/>
  <c r="A986" i="2" s="1"/>
  <c r="A1160" i="8"/>
  <c r="A985" i="2" s="1"/>
  <c r="A1159" i="8"/>
  <c r="A984" i="2" s="1"/>
  <c r="A1158" i="8"/>
  <c r="A982" i="2" s="1"/>
  <c r="A1157" i="8"/>
  <c r="A981" i="2" s="1"/>
  <c r="A1156" i="8"/>
  <c r="A980" i="2" s="1"/>
  <c r="A1155" i="8"/>
  <c r="A979" i="2" s="1"/>
  <c r="A1154" i="8"/>
  <c r="A978" i="2" s="1"/>
  <c r="A1152" i="8"/>
  <c r="A976" i="2" s="1"/>
  <c r="A1151" i="8"/>
  <c r="A974" i="2" s="1"/>
  <c r="A1150" i="8"/>
  <c r="A973" i="2" s="1"/>
  <c r="A1149" i="8"/>
  <c r="A972" i="2" s="1"/>
  <c r="A1148" i="8"/>
  <c r="A971" i="2" s="1"/>
  <c r="A1147" i="8"/>
  <c r="A970" i="2" s="1"/>
  <c r="A1146" i="8"/>
  <c r="A969" i="2" s="1"/>
  <c r="A1145" i="8"/>
  <c r="A968" i="2" s="1"/>
  <c r="A1144" i="8"/>
  <c r="A967" i="2" s="1"/>
  <c r="A1143" i="8"/>
  <c r="A965" i="2" s="1"/>
  <c r="A1142" i="8"/>
  <c r="A964" i="2" s="1"/>
  <c r="A1141" i="8"/>
  <c r="A962" i="2" s="1"/>
  <c r="A1140" i="8"/>
  <c r="A961" i="2" s="1"/>
  <c r="A1139" i="8"/>
  <c r="A960" i="2" s="1"/>
  <c r="A1138" i="8"/>
  <c r="A959" i="2" s="1"/>
  <c r="A1137" i="8"/>
  <c r="A958" i="2" s="1"/>
  <c r="A1133" i="8"/>
  <c r="A952" i="2" s="1"/>
  <c r="A1132" i="8"/>
  <c r="A1131" i="8"/>
  <c r="A1130" i="8"/>
  <c r="A1129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089" i="8"/>
  <c r="A1088" i="8"/>
  <c r="A1086" i="8"/>
  <c r="A883" i="2" s="1"/>
  <c r="A1085" i="8"/>
  <c r="A882" i="2" s="1"/>
  <c r="A1084" i="8"/>
  <c r="A1083" i="8"/>
  <c r="A1082" i="8"/>
  <c r="A880" i="2" s="1"/>
  <c r="A1063" i="8"/>
  <c r="A857" i="2" s="1"/>
  <c r="A1062" i="8"/>
  <c r="A856" i="2" s="1"/>
  <c r="A1061" i="8"/>
  <c r="A855" i="2" s="1"/>
  <c r="A1060" i="8"/>
  <c r="A854" i="2" s="1"/>
  <c r="A1059" i="8"/>
  <c r="A853" i="2" s="1"/>
  <c r="A1058" i="8"/>
  <c r="A852" i="2" s="1"/>
  <c r="A1057" i="8"/>
  <c r="A851" i="2" s="1"/>
  <c r="A1056" i="8"/>
  <c r="A850" i="2" s="1"/>
  <c r="A1055" i="8"/>
  <c r="A849" i="2" s="1"/>
  <c r="A1054" i="8"/>
  <c r="A848" i="2" s="1"/>
  <c r="A1053" i="8"/>
  <c r="A847" i="2" s="1"/>
  <c r="A1052" i="8"/>
  <c r="A846" i="2" s="1"/>
  <c r="A1051" i="8"/>
  <c r="A845" i="2" s="1"/>
  <c r="A1050" i="8"/>
  <c r="A844" i="2" s="1"/>
  <c r="A1049" i="8"/>
  <c r="A843" i="2" s="1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841" i="2" s="1"/>
  <c r="A1033" i="8"/>
  <c r="A837" i="2" s="1"/>
  <c r="A1032" i="8"/>
  <c r="A836" i="2" s="1"/>
  <c r="A1031" i="8"/>
  <c r="A835" i="2" s="1"/>
  <c r="A1030" i="8"/>
  <c r="A834" i="2" s="1"/>
  <c r="A1029" i="8"/>
  <c r="A833" i="2" s="1"/>
  <c r="A1028" i="8"/>
  <c r="A832" i="2" s="1"/>
  <c r="A1027" i="8"/>
  <c r="A831" i="2" s="1"/>
  <c r="A1026" i="8"/>
  <c r="A830" i="2" s="1"/>
  <c r="A1025" i="8"/>
  <c r="A829" i="2" s="1"/>
  <c r="A1024" i="8"/>
  <c r="A828" i="2" s="1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826" i="2" s="1"/>
  <c r="A984" i="8"/>
  <c r="A822" i="2" s="1"/>
  <c r="A983" i="8"/>
  <c r="A821" i="2" s="1"/>
  <c r="A982" i="8"/>
  <c r="A820" i="2" s="1"/>
  <c r="A981" i="8"/>
  <c r="A819" i="2" s="1"/>
  <c r="A980" i="8"/>
  <c r="A818" i="2" s="1"/>
  <c r="A979" i="8"/>
  <c r="A817" i="2" s="1"/>
  <c r="A978" i="8"/>
  <c r="A815" i="2" s="1"/>
  <c r="A977" i="8"/>
  <c r="A814" i="2" s="1"/>
  <c r="A976" i="8"/>
  <c r="A813" i="2" s="1"/>
  <c r="A975" i="8"/>
  <c r="A812" i="2" s="1"/>
  <c r="A974" i="8"/>
  <c r="A811" i="2" s="1"/>
  <c r="A973" i="8"/>
  <c r="A810" i="2" s="1"/>
  <c r="A972" i="8"/>
  <c r="A809" i="2" s="1"/>
  <c r="A971" i="8"/>
  <c r="A808" i="2" s="1"/>
  <c r="A970" i="8"/>
  <c r="A807" i="2" s="1"/>
  <c r="A969" i="8"/>
  <c r="A806" i="2" s="1"/>
  <c r="A968" i="8"/>
  <c r="A805" i="2" s="1"/>
  <c r="A967" i="8"/>
  <c r="A804" i="2" s="1"/>
  <c r="A966" i="8"/>
  <c r="A803" i="2" s="1"/>
  <c r="A965" i="8"/>
  <c r="A802" i="2" s="1"/>
  <c r="A964" i="8"/>
  <c r="A801" i="2" s="1"/>
  <c r="A963" i="8"/>
  <c r="A800" i="2" s="1"/>
  <c r="A962" i="8"/>
  <c r="A799" i="2" s="1"/>
  <c r="A961" i="8"/>
  <c r="A798" i="2" s="1"/>
  <c r="A960" i="8"/>
  <c r="A797" i="2" s="1"/>
  <c r="A959" i="8"/>
  <c r="A796" i="2" s="1"/>
  <c r="A958" i="8"/>
  <c r="A795" i="2" s="1"/>
  <c r="A957" i="8"/>
  <c r="A794" i="2" s="1"/>
  <c r="A956" i="8"/>
  <c r="A793" i="2" s="1"/>
  <c r="A955" i="8"/>
  <c r="A792" i="2" s="1"/>
  <c r="A954" i="8"/>
  <c r="A791" i="2" s="1"/>
  <c r="A953" i="8"/>
  <c r="A790" i="2" s="1"/>
  <c r="A952" i="8"/>
  <c r="A789" i="2" s="1"/>
  <c r="A951" i="8"/>
  <c r="A788" i="2" s="1"/>
  <c r="A950" i="8"/>
  <c r="A787" i="2" s="1"/>
  <c r="A949" i="8"/>
  <c r="A786" i="2" s="1"/>
  <c r="A948" i="8"/>
  <c r="A785" i="2" s="1"/>
  <c r="A947" i="8"/>
  <c r="A784" i="2" s="1"/>
  <c r="A946" i="8"/>
  <c r="A783" i="2" s="1"/>
  <c r="A945" i="8"/>
  <c r="A782" i="2" s="1"/>
  <c r="A944" i="8"/>
  <c r="A781" i="2" s="1"/>
  <c r="A943" i="8"/>
  <c r="A780" i="2" s="1"/>
  <c r="A942" i="8"/>
  <c r="A779" i="2" s="1"/>
  <c r="A941" i="8"/>
  <c r="A778" i="2" s="1"/>
  <c r="A940" i="8"/>
  <c r="A777" i="2" s="1"/>
  <c r="A939" i="8"/>
  <c r="A776" i="2" s="1"/>
  <c r="A938" i="8"/>
  <c r="A775" i="2" s="1"/>
  <c r="A937" i="8"/>
  <c r="A774" i="2" s="1"/>
  <c r="A936" i="8"/>
  <c r="A773" i="2" s="1"/>
  <c r="A935" i="8"/>
  <c r="A772" i="2" s="1"/>
  <c r="A934" i="8"/>
  <c r="A771" i="2" s="1"/>
  <c r="A933" i="8"/>
  <c r="A770" i="2" s="1"/>
  <c r="A932" i="8"/>
  <c r="A931" i="8"/>
  <c r="A711" i="2" s="1"/>
  <c r="A930" i="8"/>
  <c r="A684" i="2" s="1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768" i="2" s="1"/>
  <c r="A907" i="8"/>
  <c r="A767" i="2" s="1"/>
  <c r="A906" i="8"/>
  <c r="A766" i="2" s="1"/>
  <c r="A905" i="8"/>
  <c r="A765" i="2" s="1"/>
  <c r="A904" i="8"/>
  <c r="A764" i="2" s="1"/>
  <c r="A903" i="8"/>
  <c r="A763" i="2" s="1"/>
  <c r="A902" i="8"/>
  <c r="A762" i="2" s="1"/>
  <c r="A901" i="8"/>
  <c r="A761" i="2" s="1"/>
  <c r="A900" i="8"/>
  <c r="A760" i="2" s="1"/>
  <c r="A899" i="8"/>
  <c r="A759" i="2" s="1"/>
  <c r="A898" i="8"/>
  <c r="A758" i="2" s="1"/>
  <c r="A897" i="8"/>
  <c r="A757" i="2" s="1"/>
  <c r="A896" i="8"/>
  <c r="A756" i="2" s="1"/>
  <c r="A895" i="8"/>
  <c r="A755" i="2" s="1"/>
  <c r="A894" i="8"/>
  <c r="A754" i="2" s="1"/>
  <c r="A893" i="8"/>
  <c r="A753" i="2" s="1"/>
  <c r="A892" i="8"/>
  <c r="A752" i="2" s="1"/>
  <c r="A891" i="8"/>
  <c r="A751" i="2" s="1"/>
  <c r="A890" i="8"/>
  <c r="A750" i="2" s="1"/>
  <c r="A889" i="8"/>
  <c r="A749" i="2" s="1"/>
  <c r="A888" i="8"/>
  <c r="A748" i="2" s="1"/>
  <c r="A887" i="8"/>
  <c r="A747" i="2" s="1"/>
  <c r="A886" i="8"/>
  <c r="A746" i="2" s="1"/>
  <c r="A885" i="8"/>
  <c r="A745" i="2" s="1"/>
  <c r="A884" i="8"/>
  <c r="A744" i="2" s="1"/>
  <c r="A883" i="8"/>
  <c r="A743" i="2" s="1"/>
  <c r="A882" i="8"/>
  <c r="A742" i="2" s="1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682" i="2" s="1"/>
  <c r="A838" i="8"/>
  <c r="A673" i="2" s="1"/>
  <c r="A837" i="8"/>
  <c r="A672" i="2" s="1"/>
  <c r="A836" i="8"/>
  <c r="A671" i="2" s="1"/>
  <c r="A834" i="8"/>
  <c r="A668" i="2" s="1"/>
  <c r="A833" i="8"/>
  <c r="A667" i="2" s="1"/>
  <c r="A832" i="8"/>
  <c r="A666" i="2" s="1"/>
  <c r="A831" i="8"/>
  <c r="A665" i="2" s="1"/>
  <c r="A830" i="8"/>
  <c r="A663" i="2" s="1"/>
  <c r="A829" i="8"/>
  <c r="A662" i="2" s="1"/>
  <c r="A828" i="8"/>
  <c r="A661" i="2" s="1"/>
  <c r="A827" i="8"/>
  <c r="A660" i="2" s="1"/>
  <c r="A826" i="8"/>
  <c r="A659" i="2" s="1"/>
  <c r="A825" i="8"/>
  <c r="A657" i="2" s="1"/>
  <c r="A824" i="8"/>
  <c r="A656" i="2" s="1"/>
  <c r="A823" i="8"/>
  <c r="A655" i="2" s="1"/>
  <c r="A822" i="8"/>
  <c r="A654" i="2" s="1"/>
  <c r="A821" i="8"/>
  <c r="A653" i="2" s="1"/>
  <c r="A820" i="8"/>
  <c r="A651" i="2" s="1"/>
  <c r="A819" i="8"/>
  <c r="A650" i="2" s="1"/>
  <c r="A818" i="8"/>
  <c r="A649" i="2" s="1"/>
  <c r="A817" i="8"/>
  <c r="A648" i="2" s="1"/>
  <c r="A816" i="8"/>
  <c r="A647" i="2" s="1"/>
  <c r="A815" i="8"/>
  <c r="A645" i="2" s="1"/>
  <c r="A814" i="8"/>
  <c r="A644" i="2" s="1"/>
  <c r="A813" i="8"/>
  <c r="A643" i="2" s="1"/>
  <c r="A811" i="8"/>
  <c r="A641" i="2" s="1"/>
  <c r="A810" i="8"/>
  <c r="A639" i="2" s="1"/>
  <c r="A809" i="8"/>
  <c r="A638" i="2" s="1"/>
  <c r="A808" i="8"/>
  <c r="A637" i="2" s="1"/>
  <c r="A807" i="8"/>
  <c r="A636" i="2" s="1"/>
  <c r="A806" i="8"/>
  <c r="A635" i="2" s="1"/>
  <c r="A805" i="8"/>
  <c r="A633" i="2" s="1"/>
  <c r="A804" i="8"/>
  <c r="A632" i="2" s="1"/>
  <c r="A803" i="8"/>
  <c r="A631" i="2" s="1"/>
  <c r="A802" i="8"/>
  <c r="A630" i="2" s="1"/>
  <c r="A801" i="8"/>
  <c r="A629" i="2" s="1"/>
  <c r="A800" i="8"/>
  <c r="A627" i="2" s="1"/>
  <c r="A799" i="8"/>
  <c r="A626" i="2" s="1"/>
  <c r="A798" i="8"/>
  <c r="A625" i="2" s="1"/>
  <c r="A797" i="8"/>
  <c r="A624" i="2" s="1"/>
  <c r="A796" i="8"/>
  <c r="A623" i="2" s="1"/>
  <c r="A795" i="8"/>
  <c r="A621" i="2" s="1"/>
  <c r="A794" i="8"/>
  <c r="A620" i="2" s="1"/>
  <c r="A793" i="8"/>
  <c r="A619" i="2" s="1"/>
  <c r="A792" i="8"/>
  <c r="A618" i="2" s="1"/>
  <c r="A791" i="8"/>
  <c r="A617" i="2" s="1"/>
  <c r="A790" i="8"/>
  <c r="A615" i="2" s="1"/>
  <c r="A789" i="8"/>
  <c r="A611" i="2" s="1"/>
  <c r="A775" i="8"/>
  <c r="A597" i="2" s="1"/>
  <c r="A774" i="8"/>
  <c r="A596" i="2" s="1"/>
  <c r="A773" i="8"/>
  <c r="A595" i="2" s="1"/>
  <c r="A772" i="8"/>
  <c r="A594" i="2" s="1"/>
  <c r="A771" i="8"/>
  <c r="A593" i="2" s="1"/>
  <c r="A770" i="8"/>
  <c r="A592" i="2" s="1"/>
  <c r="A769" i="8"/>
  <c r="A591" i="2" s="1"/>
  <c r="A768" i="8"/>
  <c r="A590" i="2" s="1"/>
  <c r="A767" i="8"/>
  <c r="A589" i="2" s="1"/>
  <c r="A766" i="8"/>
  <c r="A588" i="2" s="1"/>
  <c r="A765" i="8"/>
  <c r="A587" i="2" s="1"/>
  <c r="A764" i="8"/>
  <c r="A586" i="2" s="1"/>
  <c r="A763" i="8"/>
  <c r="A585" i="2" s="1"/>
  <c r="A788" i="8"/>
  <c r="A610" i="2" s="1"/>
  <c r="A787" i="8"/>
  <c r="A609" i="2" s="1"/>
  <c r="A786" i="8"/>
  <c r="A608" i="2" s="1"/>
  <c r="A785" i="8"/>
  <c r="A607" i="2" s="1"/>
  <c r="A784" i="8"/>
  <c r="A606" i="2" s="1"/>
  <c r="A783" i="8"/>
  <c r="A605" i="2" s="1"/>
  <c r="A782" i="8"/>
  <c r="A604" i="2" s="1"/>
  <c r="A781" i="8"/>
  <c r="A603" i="2" s="1"/>
  <c r="A780" i="8"/>
  <c r="A602" i="2" s="1"/>
  <c r="A779" i="8"/>
  <c r="A601" i="2" s="1"/>
  <c r="A778" i="8"/>
  <c r="A600" i="2" s="1"/>
  <c r="A777" i="8"/>
  <c r="A599" i="2" s="1"/>
  <c r="A776" i="8"/>
  <c r="A598" i="2" s="1"/>
  <c r="A762" i="8"/>
  <c r="A584" i="2" s="1"/>
  <c r="A761" i="8"/>
  <c r="A583" i="2" s="1"/>
  <c r="A760" i="8"/>
  <c r="A582" i="2" s="1"/>
  <c r="A759" i="8"/>
  <c r="A581" i="2" s="1"/>
  <c r="A758" i="8"/>
  <c r="A580" i="2" s="1"/>
  <c r="A757" i="8"/>
  <c r="A579" i="2" s="1"/>
  <c r="A756" i="8"/>
  <c r="A578" i="2" s="1"/>
  <c r="A755" i="8"/>
  <c r="A577" i="2" s="1"/>
  <c r="A754" i="8"/>
  <c r="A576" i="2" s="1"/>
  <c r="A753" i="8"/>
  <c r="A575" i="2" s="1"/>
  <c r="A752" i="8"/>
  <c r="A574" i="2" s="1"/>
  <c r="A751" i="8"/>
  <c r="A573" i="2" s="1"/>
  <c r="A750" i="8"/>
  <c r="A572" i="2" s="1"/>
  <c r="A748" i="8"/>
  <c r="A749" i="8"/>
  <c r="A561" i="2" s="1"/>
  <c r="A747" i="8"/>
  <c r="A515" i="2" s="1"/>
  <c r="A746" i="8"/>
  <c r="A745" i="8"/>
  <c r="A744" i="8"/>
  <c r="A743" i="8"/>
  <c r="A740" i="8"/>
  <c r="A739" i="8"/>
  <c r="A738" i="8"/>
  <c r="A570" i="2" s="1"/>
  <c r="A737" i="8"/>
  <c r="A569" i="2" s="1"/>
  <c r="A736" i="8"/>
  <c r="A568" i="2" s="1"/>
  <c r="A735" i="8"/>
  <c r="A567" i="2" s="1"/>
  <c r="A734" i="8"/>
  <c r="A566" i="2" s="1"/>
  <c r="A731" i="8"/>
  <c r="A564" i="2" s="1"/>
  <c r="A730" i="8"/>
  <c r="A729" i="8"/>
  <c r="A513" i="2" s="1"/>
  <c r="A728" i="8"/>
  <c r="A509" i="2" s="1"/>
  <c r="A727" i="8"/>
  <c r="A508" i="2" s="1"/>
  <c r="A726" i="8"/>
  <c r="A506" i="2" s="1"/>
  <c r="A725" i="8"/>
  <c r="A507" i="2" s="1"/>
  <c r="A724" i="8"/>
  <c r="A504" i="2" s="1"/>
  <c r="A723" i="8"/>
  <c r="A505" i="2" s="1"/>
  <c r="A722" i="8"/>
  <c r="A503" i="2" s="1"/>
  <c r="A721" i="8"/>
  <c r="A502" i="2" s="1"/>
  <c r="A720" i="8"/>
  <c r="A501" i="2" s="1"/>
  <c r="A719" i="8"/>
  <c r="A500" i="2" s="1"/>
  <c r="A718" i="8"/>
  <c r="A499" i="2" s="1"/>
  <c r="A717" i="8"/>
  <c r="A497" i="2" s="1"/>
  <c r="A716" i="8"/>
  <c r="A498" i="2" s="1"/>
  <c r="A715" i="8"/>
  <c r="A495" i="2" s="1"/>
  <c r="A714" i="8"/>
  <c r="A496" i="2" s="1"/>
  <c r="A713" i="8"/>
  <c r="A494" i="2" s="1"/>
  <c r="A712" i="8"/>
  <c r="A493" i="2" s="1"/>
  <c r="A710" i="8"/>
  <c r="A491" i="2" s="1"/>
  <c r="A709" i="8"/>
  <c r="A489" i="2" s="1"/>
  <c r="A708" i="8"/>
  <c r="A490" i="2" s="1"/>
  <c r="A707" i="8"/>
  <c r="A487" i="2" s="1"/>
  <c r="A706" i="8"/>
  <c r="A488" i="2" s="1"/>
  <c r="A705" i="8"/>
  <c r="A486" i="2" s="1"/>
  <c r="A704" i="8"/>
  <c r="A485" i="2" s="1"/>
  <c r="A702" i="8"/>
  <c r="A483" i="2" s="1"/>
  <c r="A701" i="8"/>
  <c r="A481" i="2" s="1"/>
  <c r="A700" i="8"/>
  <c r="A482" i="2" s="1"/>
  <c r="A699" i="8"/>
  <c r="A479" i="2" s="1"/>
  <c r="A698" i="8"/>
  <c r="A480" i="2" s="1"/>
  <c r="A697" i="8"/>
  <c r="A478" i="2" s="1"/>
  <c r="A696" i="8"/>
  <c r="A477" i="2" s="1"/>
  <c r="A695" i="8"/>
  <c r="A476" i="2" s="1"/>
  <c r="A693" i="8"/>
  <c r="A694" i="8"/>
  <c r="A692" i="8"/>
  <c r="A466" i="2" s="1"/>
  <c r="A691" i="8"/>
  <c r="A690" i="8"/>
  <c r="A689" i="8"/>
  <c r="A688" i="8"/>
  <c r="A687" i="8"/>
  <c r="A686" i="8"/>
  <c r="A685" i="8"/>
  <c r="A684" i="8"/>
  <c r="A683" i="8"/>
  <c r="A682" i="8"/>
  <c r="A681" i="8"/>
  <c r="A678" i="8"/>
  <c r="A677" i="8"/>
  <c r="A464" i="2" s="1"/>
  <c r="A676" i="8"/>
  <c r="A460" i="2" s="1"/>
  <c r="A675" i="8"/>
  <c r="A459" i="2" s="1"/>
  <c r="A674" i="8"/>
  <c r="A458" i="2" s="1"/>
  <c r="A673" i="8"/>
  <c r="A457" i="2" s="1"/>
  <c r="A672" i="8"/>
  <c r="A456" i="2" s="1"/>
  <c r="A671" i="8"/>
  <c r="A455" i="2" s="1"/>
  <c r="A670" i="8"/>
  <c r="A454" i="2" s="1"/>
  <c r="A669" i="8"/>
  <c r="A453" i="2" s="1"/>
  <c r="A668" i="8"/>
  <c r="A452" i="2" s="1"/>
  <c r="A667" i="8"/>
  <c r="A451" i="2" s="1"/>
  <c r="A666" i="8"/>
  <c r="A450" i="2" s="1"/>
  <c r="A665" i="8"/>
  <c r="A449" i="2" s="1"/>
  <c r="A664" i="8"/>
  <c r="A448" i="2" s="1"/>
  <c r="A642" i="8"/>
  <c r="A621" i="8"/>
  <c r="A620" i="8"/>
  <c r="A332" i="2" s="1"/>
  <c r="A619" i="8"/>
  <c r="A618" i="8"/>
  <c r="A617" i="8"/>
  <c r="A616" i="8"/>
  <c r="A615" i="8"/>
  <c r="A614" i="8"/>
  <c r="A613" i="8"/>
  <c r="A612" i="8"/>
  <c r="A611" i="8"/>
  <c r="A593" i="8"/>
  <c r="A575" i="8"/>
  <c r="AX885" i="2"/>
  <c r="H72" i="1"/>
  <c r="AX876" i="2"/>
  <c r="AX875" i="2"/>
  <c r="A1441" i="8"/>
  <c r="A6" i="5" s="1"/>
  <c r="A1442" i="8"/>
  <c r="A7" i="5" s="1"/>
  <c r="A1443" i="8"/>
  <c r="A11" i="5" s="1"/>
  <c r="A1440" i="8"/>
  <c r="A4" i="5" s="1"/>
  <c r="A1439" i="8"/>
  <c r="A1409" i="8"/>
  <c r="K213" i="11" s="1"/>
  <c r="A1418" i="8"/>
  <c r="L264" i="11" s="1"/>
  <c r="A1416" i="8"/>
  <c r="G252" i="11" s="1"/>
  <c r="A1417" i="8"/>
  <c r="K252" i="11" s="1"/>
  <c r="A1431" i="8"/>
  <c r="G267" i="11" s="1"/>
  <c r="A1430" i="8"/>
  <c r="G266" i="11" s="1"/>
  <c r="H216" i="11" s="1"/>
  <c r="A1429" i="8"/>
  <c r="G265" i="11" s="1"/>
  <c r="A1410" i="8"/>
  <c r="A1428" i="8"/>
  <c r="G261" i="11" s="1"/>
  <c r="L212" i="11" s="1"/>
  <c r="A1427" i="8"/>
  <c r="G260" i="11" s="1"/>
  <c r="A1419" i="8"/>
  <c r="A137" i="8"/>
  <c r="A36" i="9" s="1"/>
  <c r="A1415" i="8"/>
  <c r="G263" i="11" s="1"/>
  <c r="A1414" i="8"/>
  <c r="G251" i="11" s="1"/>
  <c r="A1413" i="8"/>
  <c r="G249" i="11" s="1"/>
  <c r="A1412" i="8"/>
  <c r="G218" i="11" s="1"/>
  <c r="A1411" i="8"/>
  <c r="G216" i="11" s="1"/>
  <c r="A1408" i="8"/>
  <c r="K212" i="11" s="1"/>
  <c r="A1407" i="8"/>
  <c r="G212" i="11" s="1"/>
  <c r="A1406" i="8"/>
  <c r="A210" i="11" s="1"/>
  <c r="A1192" i="8"/>
  <c r="A1212" i="8"/>
  <c r="A37" i="4" s="1"/>
  <c r="A32" i="7" s="1"/>
  <c r="A1238" i="8"/>
  <c r="A73" i="4" s="1"/>
  <c r="A1239" i="8"/>
  <c r="A75" i="4" s="1"/>
  <c r="A1240" i="8"/>
  <c r="A76" i="4" s="1"/>
  <c r="A1241" i="8"/>
  <c r="A77" i="4" s="1"/>
  <c r="A1242" i="8"/>
  <c r="A78" i="4" s="1"/>
  <c r="A1243" i="8"/>
  <c r="A79" i="4" s="1"/>
  <c r="A1244" i="8"/>
  <c r="A80" i="4" s="1"/>
  <c r="A1245" i="8"/>
  <c r="A81" i="4" s="1"/>
  <c r="A1246" i="8"/>
  <c r="A82" i="4" s="1"/>
  <c r="A1247" i="8"/>
  <c r="A83" i="4" s="1"/>
  <c r="A1248" i="8"/>
  <c r="A84" i="4" s="1"/>
  <c r="A1249" i="8"/>
  <c r="A86" i="4" s="1"/>
  <c r="A1250" i="8"/>
  <c r="A87" i="4" s="1"/>
  <c r="A1251" i="8"/>
  <c r="A88" i="4" s="1"/>
  <c r="A1252" i="8"/>
  <c r="A89" i="4" s="1"/>
  <c r="A1253" i="8"/>
  <c r="A90" i="4" s="1"/>
  <c r="A1254" i="8"/>
  <c r="A91" i="4" s="1"/>
  <c r="A1255" i="8"/>
  <c r="A92" i="4" s="1"/>
  <c r="A1256" i="8"/>
  <c r="A93" i="4" s="1"/>
  <c r="A1257" i="8"/>
  <c r="A95" i="4" s="1"/>
  <c r="A1258" i="8"/>
  <c r="A97" i="4" s="1"/>
  <c r="A1259" i="8"/>
  <c r="A98" i="4" s="1"/>
  <c r="A1260" i="8"/>
  <c r="A99" i="4" s="1"/>
  <c r="A1261" i="8"/>
  <c r="A100" i="4" s="1"/>
  <c r="A1262" i="8"/>
  <c r="A101" i="4" s="1"/>
  <c r="A1263" i="8"/>
  <c r="A102" i="4" s="1"/>
  <c r="A1264" i="8"/>
  <c r="A103" i="4" s="1"/>
  <c r="A1265" i="8"/>
  <c r="A104" i="4" s="1"/>
  <c r="A1266" i="8"/>
  <c r="A106" i="4" s="1"/>
  <c r="A1267" i="8"/>
  <c r="A107" i="4" s="1"/>
  <c r="A1268" i="8"/>
  <c r="A108" i="4" s="1"/>
  <c r="A1269" i="8"/>
  <c r="A109" i="4" s="1"/>
  <c r="A1270" i="8"/>
  <c r="A111" i="4" s="1"/>
  <c r="A1271" i="8"/>
  <c r="A112" i="4" s="1"/>
  <c r="A1272" i="8"/>
  <c r="A113" i="4" s="1"/>
  <c r="A1273" i="8"/>
  <c r="A114" i="4" s="1"/>
  <c r="A1274" i="8"/>
  <c r="A116" i="4" s="1"/>
  <c r="A1185" i="8"/>
  <c r="A378" i="8"/>
  <c r="A6" i="1" s="1"/>
  <c r="A462" i="8"/>
  <c r="A135" i="1" s="1"/>
  <c r="A463" i="8"/>
  <c r="A136" i="1" s="1"/>
  <c r="A461" i="8"/>
  <c r="A134" i="1" s="1"/>
  <c r="A374" i="8"/>
  <c r="A469" i="8"/>
  <c r="A399" i="8"/>
  <c r="A34" i="1" s="1"/>
  <c r="A398" i="8"/>
  <c r="A33" i="1" s="1"/>
  <c r="A397" i="8"/>
  <c r="A32" i="1" s="1"/>
  <c r="A396" i="8"/>
  <c r="A31" i="1" s="1"/>
  <c r="A395" i="8"/>
  <c r="A30" i="1" s="1"/>
  <c r="A394" i="8"/>
  <c r="A29" i="1" s="1"/>
  <c r="A393" i="8"/>
  <c r="A28" i="1" s="1"/>
  <c r="A392" i="8"/>
  <c r="A27" i="1" s="1"/>
  <c r="A391" i="8"/>
  <c r="A26" i="1" s="1"/>
  <c r="A390" i="8"/>
  <c r="A25" i="1" s="1"/>
  <c r="A389" i="8"/>
  <c r="A23" i="1" s="1"/>
  <c r="A388" i="8"/>
  <c r="A22" i="1" s="1"/>
  <c r="A387" i="8"/>
  <c r="A21" i="1" s="1"/>
  <c r="A43" i="8"/>
  <c r="A386" i="8"/>
  <c r="A19" i="1" s="1"/>
  <c r="A385" i="8"/>
  <c r="A18" i="1" s="1"/>
  <c r="A384" i="8"/>
  <c r="A17" i="1" s="1"/>
  <c r="A383" i="8"/>
  <c r="A16" i="1" s="1"/>
  <c r="A382" i="8"/>
  <c r="A14" i="1" s="1"/>
  <c r="A135" i="8"/>
  <c r="A138" i="8"/>
  <c r="A37" i="9" s="1"/>
  <c r="A131" i="8"/>
  <c r="A30" i="9" s="1"/>
  <c r="A381" i="8"/>
  <c r="A10" i="1" s="1"/>
  <c r="A371" i="8"/>
  <c r="A372" i="8"/>
  <c r="A373" i="8"/>
  <c r="A380" i="8"/>
  <c r="A9" i="1" s="1"/>
  <c r="A6" i="8"/>
  <c r="A7" i="8"/>
  <c r="A379" i="8"/>
  <c r="A8" i="1" s="1"/>
  <c r="A314" i="8"/>
  <c r="A73" i="9" s="1"/>
  <c r="A315" i="8"/>
  <c r="A74" i="9" s="1"/>
  <c r="A316" i="8"/>
  <c r="A75" i="9" s="1"/>
  <c r="A304" i="8"/>
  <c r="A63" i="9" s="1"/>
  <c r="A305" i="8"/>
  <c r="A64" i="9" s="1"/>
  <c r="A306" i="8"/>
  <c r="A65" i="9" s="1"/>
  <c r="A307" i="8"/>
  <c r="A66" i="9" s="1"/>
  <c r="A308" i="8"/>
  <c r="A67" i="9" s="1"/>
  <c r="A309" i="8"/>
  <c r="A68" i="9" s="1"/>
  <c r="A310" i="8"/>
  <c r="A69" i="9" s="1"/>
  <c r="A311" i="8"/>
  <c r="A70" i="9" s="1"/>
  <c r="A312" i="8"/>
  <c r="A71" i="9" s="1"/>
  <c r="A313" i="8"/>
  <c r="A72" i="9" s="1"/>
  <c r="AX971" i="2"/>
  <c r="H819" i="2"/>
  <c r="I819" i="2"/>
  <c r="J819" i="2"/>
  <c r="K819" i="2"/>
  <c r="AX820" i="2"/>
  <c r="AX821" i="2"/>
  <c r="AX115" i="10"/>
  <c r="H56" i="1"/>
  <c r="I56" i="1" s="1"/>
  <c r="J56" i="1" s="1"/>
  <c r="K56" i="1" s="1"/>
  <c r="L56" i="1" s="1"/>
  <c r="M56" i="1" s="1"/>
  <c r="N56" i="1" s="1"/>
  <c r="O56" i="1" s="1"/>
  <c r="P56" i="1" s="1"/>
  <c r="Q56" i="1" s="1"/>
  <c r="R56" i="1" s="1"/>
  <c r="S56" i="1" s="1"/>
  <c r="T56" i="1" s="1"/>
  <c r="U56" i="1" s="1"/>
  <c r="V56" i="1" s="1"/>
  <c r="W56" i="1" s="1"/>
  <c r="X56" i="1" s="1"/>
  <c r="Y56" i="1" s="1"/>
  <c r="Z56" i="1" s="1"/>
  <c r="AA56" i="1" s="1"/>
  <c r="AB56" i="1" s="1"/>
  <c r="AC56" i="1" s="1"/>
  <c r="AD56" i="1" s="1"/>
  <c r="AE56" i="1" s="1"/>
  <c r="AF56" i="1" s="1"/>
  <c r="AG56" i="1" s="1"/>
  <c r="AH56" i="1" s="1"/>
  <c r="AI56" i="1" s="1"/>
  <c r="AJ56" i="1" s="1"/>
  <c r="AK56" i="1" s="1"/>
  <c r="AL56" i="1" s="1"/>
  <c r="AM56" i="1" s="1"/>
  <c r="AN56" i="1" s="1"/>
  <c r="AO56" i="1" s="1"/>
  <c r="AP56" i="1" s="1"/>
  <c r="AQ56" i="1" s="1"/>
  <c r="AR56" i="1" s="1"/>
  <c r="AS56" i="1" s="1"/>
  <c r="AT56" i="1" s="1"/>
  <c r="AU56" i="1" s="1"/>
  <c r="AV56" i="1" s="1"/>
  <c r="H62" i="1"/>
  <c r="I62" i="1" s="1"/>
  <c r="J62" i="1" s="1"/>
  <c r="K62" i="1" s="1"/>
  <c r="L62" i="1" s="1"/>
  <c r="M62" i="1" s="1"/>
  <c r="N62" i="1" s="1"/>
  <c r="O62" i="1" s="1"/>
  <c r="P62" i="1" s="1"/>
  <c r="Q62" i="1" s="1"/>
  <c r="R62" i="1" s="1"/>
  <c r="S62" i="1" s="1"/>
  <c r="T62" i="1" s="1"/>
  <c r="U62" i="1" s="1"/>
  <c r="V62" i="1" s="1"/>
  <c r="W62" i="1" s="1"/>
  <c r="X62" i="1" s="1"/>
  <c r="Y62" i="1" s="1"/>
  <c r="Z62" i="1" s="1"/>
  <c r="AA62" i="1" s="1"/>
  <c r="AB62" i="1" s="1"/>
  <c r="AC62" i="1" s="1"/>
  <c r="AD62" i="1" s="1"/>
  <c r="AE62" i="1" s="1"/>
  <c r="AF62" i="1" s="1"/>
  <c r="AG62" i="1" s="1"/>
  <c r="AH62" i="1" s="1"/>
  <c r="AI62" i="1" s="1"/>
  <c r="AJ62" i="1" s="1"/>
  <c r="AK62" i="1" s="1"/>
  <c r="AL62" i="1" s="1"/>
  <c r="AM62" i="1" s="1"/>
  <c r="AN62" i="1" s="1"/>
  <c r="AO62" i="1" s="1"/>
  <c r="AP62" i="1" s="1"/>
  <c r="AQ62" i="1" s="1"/>
  <c r="AR62" i="1" s="1"/>
  <c r="AS62" i="1" s="1"/>
  <c r="AT62" i="1" s="1"/>
  <c r="AU62" i="1" s="1"/>
  <c r="AV62" i="1" s="1"/>
  <c r="AX992" i="2"/>
  <c r="AX837" i="2"/>
  <c r="AX836" i="2"/>
  <c r="AX833" i="2"/>
  <c r="AX829" i="2"/>
  <c r="AX830" i="2"/>
  <c r="AX831" i="2"/>
  <c r="AX832" i="2"/>
  <c r="AX834" i="2"/>
  <c r="AX835" i="2"/>
  <c r="AX936" i="2"/>
  <c r="K851" i="2"/>
  <c r="J851" i="2"/>
  <c r="I851" i="2"/>
  <c r="H851" i="2"/>
  <c r="G851" i="2"/>
  <c r="H843" i="2"/>
  <c r="I843" i="2"/>
  <c r="J843" i="2"/>
  <c r="K843" i="2"/>
  <c r="G843" i="2"/>
  <c r="AX59" i="10"/>
  <c r="AX60" i="10"/>
  <c r="AX61" i="10"/>
  <c r="A359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B4" i="9"/>
  <c r="A241" i="8"/>
  <c r="H219" i="11"/>
  <c r="I219" i="11" s="1"/>
  <c r="J219" i="11" s="1"/>
  <c r="K219" i="11" s="1"/>
  <c r="L219" i="11" s="1"/>
  <c r="M219" i="11" s="1"/>
  <c r="N219" i="11" s="1"/>
  <c r="G220" i="11"/>
  <c r="G221" i="11" s="1"/>
  <c r="G222" i="11" s="1"/>
  <c r="G223" i="11" s="1"/>
  <c r="G224" i="11" s="1"/>
  <c r="AX494" i="2"/>
  <c r="AX485" i="2"/>
  <c r="AX486" i="2"/>
  <c r="AX493" i="2"/>
  <c r="AX806" i="2"/>
  <c r="AX814" i="2"/>
  <c r="AX801" i="2"/>
  <c r="AX786" i="2"/>
  <c r="AX791" i="2"/>
  <c r="AX777" i="2"/>
  <c r="AX802" i="2"/>
  <c r="AX811" i="2"/>
  <c r="AX815" i="2"/>
  <c r="AX803" i="2"/>
  <c r="AX787" i="2"/>
  <c r="AX792" i="2"/>
  <c r="AX813" i="2"/>
  <c r="AX788" i="2"/>
  <c r="AX774" i="2"/>
  <c r="AX770" i="2"/>
  <c r="G2" i="5"/>
  <c r="H90" i="1"/>
  <c r="I90" i="1" s="1"/>
  <c r="J90" i="1" s="1"/>
  <c r="K90" i="1" s="1"/>
  <c r="L90" i="1" s="1"/>
  <c r="M90" i="1" s="1"/>
  <c r="N90" i="1" s="1"/>
  <c r="O90" i="1" s="1"/>
  <c r="P90" i="1" s="1"/>
  <c r="Q90" i="1" s="1"/>
  <c r="R90" i="1" s="1"/>
  <c r="S90" i="1" s="1"/>
  <c r="T90" i="1" s="1"/>
  <c r="U90" i="1" s="1"/>
  <c r="V90" i="1" s="1"/>
  <c r="W90" i="1" s="1"/>
  <c r="X90" i="1" s="1"/>
  <c r="Y90" i="1" s="1"/>
  <c r="Z90" i="1" s="1"/>
  <c r="AA90" i="1" s="1"/>
  <c r="AB90" i="1" s="1"/>
  <c r="AC90" i="1" s="1"/>
  <c r="AD90" i="1" s="1"/>
  <c r="AE90" i="1" s="1"/>
  <c r="AF90" i="1" s="1"/>
  <c r="AG90" i="1" s="1"/>
  <c r="AH90" i="1" s="1"/>
  <c r="AI90" i="1" s="1"/>
  <c r="AJ90" i="1" s="1"/>
  <c r="AK90" i="1" s="1"/>
  <c r="AL90" i="1" s="1"/>
  <c r="AM90" i="1" s="1"/>
  <c r="AN90" i="1" s="1"/>
  <c r="AO90" i="1" s="1"/>
  <c r="AP90" i="1" s="1"/>
  <c r="AQ90" i="1" s="1"/>
  <c r="AR90" i="1" s="1"/>
  <c r="AS90" i="1" s="1"/>
  <c r="AT90" i="1" s="1"/>
  <c r="AU90" i="1" s="1"/>
  <c r="AV90" i="1" s="1"/>
  <c r="H89" i="1"/>
  <c r="I89" i="1" s="1"/>
  <c r="J89" i="1" s="1"/>
  <c r="K89" i="1" s="1"/>
  <c r="L89" i="1" s="1"/>
  <c r="M89" i="1" s="1"/>
  <c r="N89" i="1" s="1"/>
  <c r="O89" i="1" s="1"/>
  <c r="P89" i="1" s="1"/>
  <c r="Q89" i="1" s="1"/>
  <c r="R89" i="1" s="1"/>
  <c r="S89" i="1" s="1"/>
  <c r="T89" i="1" s="1"/>
  <c r="U89" i="1" s="1"/>
  <c r="V89" i="1" s="1"/>
  <c r="W89" i="1" s="1"/>
  <c r="X89" i="1" s="1"/>
  <c r="Y89" i="1" s="1"/>
  <c r="Z89" i="1" s="1"/>
  <c r="AA89" i="1" s="1"/>
  <c r="AB89" i="1" s="1"/>
  <c r="AC89" i="1" s="1"/>
  <c r="AD89" i="1" s="1"/>
  <c r="AE89" i="1" s="1"/>
  <c r="AF89" i="1" s="1"/>
  <c r="AG89" i="1" s="1"/>
  <c r="AH89" i="1" s="1"/>
  <c r="AI89" i="1" s="1"/>
  <c r="AJ89" i="1" s="1"/>
  <c r="AK89" i="1" s="1"/>
  <c r="AL89" i="1" s="1"/>
  <c r="AM89" i="1" s="1"/>
  <c r="AN89" i="1" s="1"/>
  <c r="AO89" i="1" s="1"/>
  <c r="AP89" i="1" s="1"/>
  <c r="AQ89" i="1" s="1"/>
  <c r="AR89" i="1" s="1"/>
  <c r="AS89" i="1" s="1"/>
  <c r="AT89" i="1" s="1"/>
  <c r="AU89" i="1" s="1"/>
  <c r="AV89" i="1" s="1"/>
  <c r="H88" i="1"/>
  <c r="I88" i="1" s="1"/>
  <c r="J88" i="1" s="1"/>
  <c r="K88" i="1" s="1"/>
  <c r="L88" i="1" s="1"/>
  <c r="M88" i="1" s="1"/>
  <c r="N88" i="1" s="1"/>
  <c r="O88" i="1" s="1"/>
  <c r="P88" i="1" s="1"/>
  <c r="Q88" i="1" s="1"/>
  <c r="R88" i="1" s="1"/>
  <c r="S88" i="1" s="1"/>
  <c r="T88" i="1" s="1"/>
  <c r="U88" i="1" s="1"/>
  <c r="V88" i="1" s="1"/>
  <c r="W88" i="1" s="1"/>
  <c r="X88" i="1" s="1"/>
  <c r="Y88" i="1" s="1"/>
  <c r="Z88" i="1" s="1"/>
  <c r="AA88" i="1" s="1"/>
  <c r="AB88" i="1" s="1"/>
  <c r="AC88" i="1" s="1"/>
  <c r="AD88" i="1" s="1"/>
  <c r="AE88" i="1" s="1"/>
  <c r="AF88" i="1" s="1"/>
  <c r="AG88" i="1" s="1"/>
  <c r="AH88" i="1" s="1"/>
  <c r="AI88" i="1" s="1"/>
  <c r="AJ88" i="1" s="1"/>
  <c r="AK88" i="1" s="1"/>
  <c r="AL88" i="1" s="1"/>
  <c r="AM88" i="1" s="1"/>
  <c r="AN88" i="1" s="1"/>
  <c r="AO88" i="1" s="1"/>
  <c r="AP88" i="1" s="1"/>
  <c r="AQ88" i="1" s="1"/>
  <c r="AR88" i="1" s="1"/>
  <c r="AS88" i="1" s="1"/>
  <c r="AT88" i="1" s="1"/>
  <c r="AU88" i="1" s="1"/>
  <c r="AV88" i="1" s="1"/>
  <c r="H87" i="1"/>
  <c r="I87" i="1" s="1"/>
  <c r="J87" i="1" s="1"/>
  <c r="AX812" i="2"/>
  <c r="AX775" i="2"/>
  <c r="AX935" i="2"/>
  <c r="AX809" i="2"/>
  <c r="H86" i="1"/>
  <c r="I86" i="1" s="1"/>
  <c r="J86" i="1" s="1"/>
  <c r="K86" i="1" s="1"/>
  <c r="L86" i="1" s="1"/>
  <c r="G91" i="1"/>
  <c r="AX882" i="2"/>
  <c r="AX854" i="2"/>
  <c r="AX846" i="2"/>
  <c r="AX853" i="2"/>
  <c r="AX845" i="2"/>
  <c r="AX844" i="2"/>
  <c r="AX852" i="2"/>
  <c r="A117" i="8"/>
  <c r="A369" i="8"/>
  <c r="A272" i="8"/>
  <c r="A278" i="8"/>
  <c r="A273" i="8"/>
  <c r="A356" i="8"/>
  <c r="A319" i="8"/>
  <c r="A303" i="8"/>
  <c r="A62" i="9" s="1"/>
  <c r="A297" i="8"/>
  <c r="A56" i="9" s="1"/>
  <c r="A288" i="8"/>
  <c r="A47" i="9" s="1"/>
  <c r="A280" i="8"/>
  <c r="A285" i="8"/>
  <c r="A44" i="9" s="1"/>
  <c r="A185" i="8"/>
  <c r="A228" i="8"/>
  <c r="A291" i="8"/>
  <c r="A50" i="9" s="1"/>
  <c r="A248" i="8"/>
  <c r="A258" i="8"/>
  <c r="A317" i="8"/>
  <c r="A301" i="8"/>
  <c r="A60" i="9" s="1"/>
  <c r="A295" i="8"/>
  <c r="A54" i="9" s="1"/>
  <c r="A268" i="8"/>
  <c r="A262" i="8"/>
  <c r="A198" i="8"/>
  <c r="A284" i="8"/>
  <c r="A43" i="9" s="1"/>
  <c r="A300" i="8"/>
  <c r="A59" i="9" s="1"/>
  <c r="A294" i="8"/>
  <c r="A53" i="9" s="1"/>
  <c r="A267" i="8"/>
  <c r="A261" i="8"/>
  <c r="A197" i="8"/>
  <c r="A183" i="8"/>
  <c r="A460" i="8"/>
  <c r="A129" i="1" s="1"/>
  <c r="A233" i="8"/>
  <c r="A179" i="8"/>
  <c r="A194" i="8"/>
  <c r="A236" i="8"/>
  <c r="A167" i="8"/>
  <c r="A35" i="8"/>
  <c r="A232" i="8"/>
  <c r="A110" i="8"/>
  <c r="A9" i="8"/>
  <c r="A33" i="8"/>
  <c r="A202" i="8"/>
  <c r="A251" i="8"/>
  <c r="A92" i="8"/>
  <c r="A204" i="8"/>
  <c r="A53" i="8"/>
  <c r="A32" i="8"/>
  <c r="A62" i="8"/>
  <c r="A30" i="8"/>
  <c r="A162" i="8"/>
  <c r="A14" i="8"/>
  <c r="A141" i="8"/>
  <c r="A465" i="8"/>
  <c r="A138" i="1" s="1"/>
  <c r="A154" i="8"/>
  <c r="A279" i="8"/>
  <c r="A274" i="8"/>
  <c r="A358" i="8"/>
  <c r="A367" i="8"/>
  <c r="A264" i="8"/>
  <c r="A49" i="8"/>
  <c r="A224" i="8"/>
  <c r="A242" i="8"/>
  <c r="A299" i="8"/>
  <c r="A58" i="9" s="1"/>
  <c r="A188" i="8"/>
  <c r="A247" i="8"/>
  <c r="A265" i="8"/>
  <c r="A256" i="8"/>
  <c r="A120" i="8"/>
  <c r="A226" i="8"/>
  <c r="A246" i="8"/>
  <c r="A286" i="8"/>
  <c r="A45" i="9" s="1"/>
  <c r="A252" i="8"/>
  <c r="A182" i="8"/>
  <c r="A112" i="8"/>
  <c r="A18" i="8"/>
  <c r="A164" i="8"/>
  <c r="A122" i="8"/>
  <c r="A160" i="8"/>
  <c r="A163" i="8"/>
  <c r="A145" i="8"/>
  <c r="A207" i="8"/>
  <c r="A209" i="8"/>
  <c r="A140" i="8"/>
  <c r="A254" i="8"/>
  <c r="A192" i="8"/>
  <c r="A361" i="8"/>
  <c r="A121" i="8"/>
  <c r="A134" i="8"/>
  <c r="A33" i="9" s="1"/>
  <c r="A68" i="8"/>
  <c r="A155" i="8"/>
  <c r="A143" i="8"/>
  <c r="A106" i="8"/>
  <c r="A208" i="8"/>
  <c r="A173" i="8"/>
  <c r="A89" i="8"/>
  <c r="A368" i="8"/>
  <c r="A275" i="8"/>
  <c r="A270" i="8"/>
  <c r="A354" i="8"/>
  <c r="A355" i="8"/>
  <c r="A229" i="8"/>
  <c r="A293" i="8"/>
  <c r="A52" i="9" s="1"/>
  <c r="A240" i="8"/>
  <c r="A259" i="8"/>
  <c r="A196" i="8"/>
  <c r="A318" i="8"/>
  <c r="A302" i="8"/>
  <c r="A61" i="9" s="1"/>
  <c r="A296" i="8"/>
  <c r="A55" i="9" s="1"/>
  <c r="A287" i="8"/>
  <c r="A46" i="9" s="1"/>
  <c r="A283" i="8"/>
  <c r="A249" i="8"/>
  <c r="A227" i="8"/>
  <c r="A290" i="8"/>
  <c r="A49" i="9" s="1"/>
  <c r="A244" i="8"/>
  <c r="A292" i="8"/>
  <c r="A51" i="9" s="1"/>
  <c r="A187" i="8"/>
  <c r="A118" i="8"/>
  <c r="A298" i="8"/>
  <c r="A57" i="9" s="1"/>
  <c r="A289" i="8"/>
  <c r="A48" i="9" s="1"/>
  <c r="A281" i="8"/>
  <c r="A186" i="8"/>
  <c r="A184" i="8"/>
  <c r="A25" i="8"/>
  <c r="A347" i="8"/>
  <c r="A459" i="8"/>
  <c r="A128" i="1" s="1"/>
  <c r="A457" i="8"/>
  <c r="A126" i="1" s="1"/>
  <c r="A26" i="8"/>
  <c r="A216" i="8"/>
  <c r="A376" i="8"/>
  <c r="A3" i="1" s="1"/>
  <c r="A20" i="8"/>
  <c r="A67" i="8"/>
  <c r="A132" i="8"/>
  <c r="A31" i="9" s="1"/>
  <c r="A150" i="8"/>
  <c r="A151" i="8"/>
  <c r="A170" i="8"/>
  <c r="A128" i="8"/>
  <c r="A203" i="8"/>
  <c r="A15" i="8"/>
  <c r="A178" i="8"/>
  <c r="A166" i="8"/>
  <c r="A276" i="8"/>
  <c r="A271" i="8"/>
  <c r="A277" i="8"/>
  <c r="A357" i="8"/>
  <c r="A353" i="8"/>
  <c r="A225" i="8"/>
  <c r="A245" i="8"/>
  <c r="A189" i="8"/>
  <c r="A263" i="8"/>
  <c r="A199" i="8"/>
  <c r="A119" i="8"/>
  <c r="A223" i="8"/>
  <c r="A282" i="8"/>
  <c r="A269" i="8"/>
  <c r="A266" i="8"/>
  <c r="A50" i="8"/>
  <c r="A127" i="8"/>
  <c r="A340" i="8"/>
  <c r="A28" i="8"/>
  <c r="A63" i="8"/>
  <c r="A22" i="8"/>
  <c r="A13" i="8"/>
  <c r="A60" i="8"/>
  <c r="A219" i="8"/>
  <c r="A213" i="8"/>
  <c r="A250" i="8"/>
  <c r="A253" i="8"/>
  <c r="A59" i="8"/>
  <c r="A12" i="8"/>
  <c r="A149" i="8"/>
  <c r="A352" i="8"/>
  <c r="A156" i="8"/>
  <c r="A11" i="8"/>
  <c r="A365" i="8"/>
  <c r="A201" i="8"/>
  <c r="A80" i="8"/>
  <c r="A366" i="8"/>
  <c r="A54" i="8"/>
  <c r="A36" i="8"/>
  <c r="A175" i="8"/>
  <c r="A148" i="8"/>
  <c r="A455" i="8"/>
  <c r="A456" i="8"/>
  <c r="A125" i="1" s="1"/>
  <c r="A82" i="8"/>
  <c r="A38" i="8"/>
  <c r="A206" i="8"/>
  <c r="A24" i="8"/>
  <c r="A217" i="8"/>
  <c r="A364" i="8"/>
  <c r="A90" i="8"/>
  <c r="A37" i="8"/>
  <c r="A161" i="8"/>
  <c r="A222" i="8"/>
  <c r="A260" i="8"/>
  <c r="A76" i="8"/>
  <c r="A56" i="8"/>
  <c r="A136" i="8"/>
  <c r="A35" i="9" s="1"/>
  <c r="A458" i="8"/>
  <c r="A127" i="1" s="1"/>
  <c r="A153" i="8"/>
  <c r="A174" i="8"/>
  <c r="A235" i="8"/>
  <c r="A157" i="8"/>
  <c r="A75" i="8"/>
  <c r="A42" i="8"/>
  <c r="A231" i="8"/>
  <c r="A58" i="8"/>
  <c r="A191" i="8"/>
  <c r="A104" i="8"/>
  <c r="A72" i="8"/>
  <c r="A74" i="8"/>
  <c r="A345" i="8"/>
  <c r="A71" i="8"/>
  <c r="A177" i="8"/>
  <c r="A348" i="8"/>
  <c r="A69" i="8"/>
  <c r="A51" i="8"/>
  <c r="A129" i="8"/>
  <c r="A133" i="8"/>
  <c r="A32" i="9" s="1"/>
  <c r="A100" i="8"/>
  <c r="A21" i="8"/>
  <c r="A39" i="8"/>
  <c r="A111" i="8"/>
  <c r="A449" i="8"/>
  <c r="A115" i="1" s="1"/>
  <c r="A88" i="8"/>
  <c r="A95" i="8"/>
  <c r="A31" i="8"/>
  <c r="A16" i="8"/>
  <c r="A237" i="8"/>
  <c r="A214" i="8"/>
  <c r="A342" i="8"/>
  <c r="A19" i="8"/>
  <c r="A200" i="8"/>
  <c r="A142" i="8"/>
  <c r="A169" i="8"/>
  <c r="A41" i="8"/>
  <c r="A109" i="8"/>
  <c r="A146" i="8"/>
  <c r="A210" i="8"/>
  <c r="A211" i="8"/>
  <c r="A152" i="8"/>
  <c r="A452" i="8"/>
  <c r="A118" i="1" s="1"/>
  <c r="A255" i="8"/>
  <c r="A190" i="8"/>
  <c r="A234" i="8"/>
  <c r="A126" i="8"/>
  <c r="A55" i="8"/>
  <c r="A448" i="8"/>
  <c r="A113" i="1" s="1"/>
  <c r="A212" i="8"/>
  <c r="A87" i="8"/>
  <c r="A40" i="8"/>
  <c r="A123" i="8"/>
  <c r="A130" i="8"/>
  <c r="A91" i="8"/>
  <c r="A66" i="8"/>
  <c r="A363" i="8"/>
  <c r="A17" i="8"/>
  <c r="A102" i="8"/>
  <c r="A193" i="8"/>
  <c r="A34" i="8"/>
  <c r="A23" i="8"/>
  <c r="A73" i="8"/>
  <c r="A218" i="8"/>
  <c r="A64" i="8"/>
  <c r="A97" i="8"/>
  <c r="A114" i="8"/>
  <c r="A362" i="8"/>
  <c r="A147" i="8"/>
  <c r="A61" i="8"/>
  <c r="A341" i="8"/>
  <c r="A243" i="8"/>
  <c r="A195" i="8"/>
  <c r="A230" i="8"/>
  <c r="A125" i="8"/>
  <c r="A105" i="8"/>
  <c r="A407" i="8"/>
  <c r="A171" i="8"/>
  <c r="A78" i="8"/>
  <c r="A168" i="8"/>
  <c r="A10" i="8"/>
  <c r="A8" i="8"/>
  <c r="A101" i="8"/>
  <c r="A57" i="8"/>
  <c r="A113" i="8"/>
  <c r="A238" i="8"/>
  <c r="A205" i="8"/>
  <c r="A165" i="8"/>
  <c r="A124" i="8"/>
  <c r="A360" i="8"/>
  <c r="A94" i="8"/>
  <c r="A344" i="8"/>
  <c r="A93" i="8"/>
  <c r="A176" i="8"/>
  <c r="A96" i="8"/>
  <c r="A215" i="8"/>
  <c r="A221" i="8"/>
  <c r="A144" i="8"/>
  <c r="A108" i="8"/>
  <c r="A85" i="8"/>
  <c r="A181" i="8"/>
  <c r="A103" i="8"/>
  <c r="A220" i="8"/>
  <c r="A86" i="8"/>
  <c r="A116" i="8"/>
  <c r="A350" i="8"/>
  <c r="A79" i="8"/>
  <c r="A65" i="8"/>
  <c r="A343" i="8"/>
  <c r="A27" i="8"/>
  <c r="A172" i="8"/>
  <c r="A84" i="8"/>
  <c r="A180" i="8"/>
  <c r="A52" i="8"/>
  <c r="A81" i="8"/>
  <c r="A351" i="8"/>
  <c r="A158" i="8"/>
  <c r="A349" i="8"/>
  <c r="A77" i="8"/>
  <c r="A29" i="8"/>
  <c r="A83" i="8"/>
  <c r="A239" i="8"/>
  <c r="A394" i="2" l="1"/>
  <c r="A415" i="2"/>
  <c r="A395" i="2"/>
  <c r="A416" i="2"/>
  <c r="A385" i="2"/>
  <c r="A406" i="2"/>
  <c r="A393" i="2"/>
  <c r="A414" i="2"/>
  <c r="A401" i="2"/>
  <c r="A422" i="2"/>
  <c r="A386" i="2"/>
  <c r="A407" i="2"/>
  <c r="A403" i="2"/>
  <c r="A424" i="2"/>
  <c r="A388" i="2"/>
  <c r="A409" i="2"/>
  <c r="A397" i="2"/>
  <c r="A418" i="2"/>
  <c r="A390" i="2"/>
  <c r="A411" i="2"/>
  <c r="A398" i="2"/>
  <c r="A419" i="2"/>
  <c r="C568" i="2"/>
  <c r="C422" i="2"/>
  <c r="A402" i="2"/>
  <c r="A423" i="2"/>
  <c r="A396" i="2"/>
  <c r="A417" i="2"/>
  <c r="A389" i="2"/>
  <c r="A410" i="2"/>
  <c r="A391" i="2"/>
  <c r="A412" i="2"/>
  <c r="A399" i="2"/>
  <c r="A420" i="2"/>
  <c r="A384" i="2"/>
  <c r="A405" i="2"/>
  <c r="A392" i="2"/>
  <c r="A413" i="2"/>
  <c r="A400" i="2"/>
  <c r="A421" i="2"/>
  <c r="C408" i="2"/>
  <c r="C412" i="2"/>
  <c r="C417" i="2"/>
  <c r="C410" i="2"/>
  <c r="C415" i="2"/>
  <c r="H405" i="2"/>
  <c r="G422" i="2"/>
  <c r="H352" i="2"/>
  <c r="H257" i="2"/>
  <c r="H185" i="2"/>
  <c r="H312" i="2"/>
  <c r="H239" i="2"/>
  <c r="H148" i="2"/>
  <c r="H221" i="2"/>
  <c r="H203" i="2"/>
  <c r="H112" i="2"/>
  <c r="H276" i="2"/>
  <c r="H94" i="2"/>
  <c r="H130" i="2"/>
  <c r="H294" i="2"/>
  <c r="H166" i="2"/>
  <c r="H529" i="2"/>
  <c r="H722" i="2"/>
  <c r="H442" i="2"/>
  <c r="H750" i="2"/>
  <c r="H399" i="2"/>
  <c r="H378" i="2"/>
  <c r="H567" i="2"/>
  <c r="H556" i="2"/>
  <c r="H537" i="2"/>
  <c r="H521" i="2"/>
  <c r="H548" i="2"/>
  <c r="H692" i="2"/>
  <c r="A916" i="2"/>
  <c r="A897" i="2"/>
  <c r="A930" i="2"/>
  <c r="A911" i="2"/>
  <c r="C916" i="2"/>
  <c r="C897" i="2"/>
  <c r="A924" i="2"/>
  <c r="A905" i="2"/>
  <c r="C745" i="2"/>
  <c r="C899" i="2"/>
  <c r="C930" i="2"/>
  <c r="C918" i="2"/>
  <c r="C911" i="2"/>
  <c r="A917" i="2"/>
  <c r="A898" i="2"/>
  <c r="A907" i="2"/>
  <c r="A926" i="2"/>
  <c r="A931" i="2"/>
  <c r="A912" i="2"/>
  <c r="A913" i="2"/>
  <c r="A932" i="2"/>
  <c r="A920" i="2"/>
  <c r="A901" i="2"/>
  <c r="A909" i="2"/>
  <c r="A928" i="2"/>
  <c r="A923" i="2"/>
  <c r="A904" i="2"/>
  <c r="C917" i="2"/>
  <c r="C898" i="2"/>
  <c r="A927" i="2"/>
  <c r="A908" i="2"/>
  <c r="A902" i="2"/>
  <c r="A921" i="2"/>
  <c r="A929" i="2"/>
  <c r="A910" i="2"/>
  <c r="C566" i="2"/>
  <c r="C896" i="2"/>
  <c r="C915" i="2"/>
  <c r="C926" i="2"/>
  <c r="C907" i="2"/>
  <c r="A900" i="2"/>
  <c r="A919" i="2"/>
  <c r="A915" i="2"/>
  <c r="A896" i="2"/>
  <c r="A922" i="2"/>
  <c r="A903" i="2"/>
  <c r="C564" i="2"/>
  <c r="C929" i="2"/>
  <c r="C910" i="2"/>
  <c r="C905" i="2"/>
  <c r="C924" i="2"/>
  <c r="C303" i="4"/>
  <c r="C925" i="2"/>
  <c r="C906" i="2"/>
  <c r="G924" i="2"/>
  <c r="G925" i="2" s="1"/>
  <c r="G905" i="2"/>
  <c r="G906" i="2" s="1"/>
  <c r="G568" i="2"/>
  <c r="G569" i="2" s="1"/>
  <c r="A553" i="2"/>
  <c r="A545" i="2"/>
  <c r="A555" i="2"/>
  <c r="A547" i="2"/>
  <c r="C557" i="2"/>
  <c r="C549" i="2"/>
  <c r="A556" i="2"/>
  <c r="A548" i="2"/>
  <c r="A557" i="2"/>
  <c r="A549" i="2"/>
  <c r="A551" i="2"/>
  <c r="A559" i="2"/>
  <c r="C547" i="2"/>
  <c r="C555" i="2"/>
  <c r="A558" i="2"/>
  <c r="A550" i="2"/>
  <c r="C545" i="2"/>
  <c r="C553" i="2"/>
  <c r="G557" i="2"/>
  <c r="G558" i="2" s="1"/>
  <c r="G549" i="2"/>
  <c r="G550" i="2" s="1"/>
  <c r="A540" i="2"/>
  <c r="A532" i="2"/>
  <c r="A524" i="2"/>
  <c r="C441" i="2"/>
  <c r="C520" i="2"/>
  <c r="C528" i="2"/>
  <c r="C536" i="2"/>
  <c r="C534" i="2"/>
  <c r="C526" i="2"/>
  <c r="C518" i="2"/>
  <c r="A520" i="2"/>
  <c r="A528" i="2"/>
  <c r="A536" i="2"/>
  <c r="A521" i="2"/>
  <c r="A529" i="2"/>
  <c r="A537" i="2"/>
  <c r="A522" i="2"/>
  <c r="A530" i="2"/>
  <c r="A538" i="2"/>
  <c r="A518" i="2"/>
  <c r="A526" i="2"/>
  <c r="A534" i="2"/>
  <c r="C444" i="2"/>
  <c r="C530" i="2"/>
  <c r="C522" i="2"/>
  <c r="C538" i="2"/>
  <c r="A539" i="2"/>
  <c r="A523" i="2"/>
  <c r="A531" i="2"/>
  <c r="G522" i="2"/>
  <c r="G523" i="2" s="1"/>
  <c r="G538" i="2"/>
  <c r="G539" i="2" s="1"/>
  <c r="G530" i="2"/>
  <c r="G531" i="2" s="1"/>
  <c r="A427" i="2"/>
  <c r="C432" i="2"/>
  <c r="C437" i="2"/>
  <c r="C434" i="2"/>
  <c r="C439" i="2"/>
  <c r="C430" i="2"/>
  <c r="H426" i="2"/>
  <c r="G426" i="2"/>
  <c r="G444" i="2"/>
  <c r="G427" i="2" s="1"/>
  <c r="C351" i="2"/>
  <c r="C398" i="2"/>
  <c r="C354" i="2"/>
  <c r="C401" i="2"/>
  <c r="A366" i="2"/>
  <c r="A387" i="2"/>
  <c r="C387" i="2"/>
  <c r="C389" i="2"/>
  <c r="C396" i="2"/>
  <c r="C394" i="2"/>
  <c r="C391" i="2"/>
  <c r="G401" i="2"/>
  <c r="A337" i="2"/>
  <c r="A342" i="2"/>
  <c r="A343" i="2"/>
  <c r="A351" i="2"/>
  <c r="A344" i="2"/>
  <c r="A352" i="2"/>
  <c r="A353" i="2"/>
  <c r="A338" i="2"/>
  <c r="A346" i="2"/>
  <c r="A339" i="2"/>
  <c r="A347" i="2"/>
  <c r="A355" i="2"/>
  <c r="A336" i="2"/>
  <c r="C349" i="2"/>
  <c r="C340" i="2"/>
  <c r="C342" i="2"/>
  <c r="C344" i="2"/>
  <c r="C347" i="2"/>
  <c r="A340" i="2"/>
  <c r="A348" i="2"/>
  <c r="A356" i="2"/>
  <c r="A350" i="2"/>
  <c r="A345" i="2"/>
  <c r="A354" i="2"/>
  <c r="A341" i="2"/>
  <c r="A349" i="2"/>
  <c r="G354" i="2"/>
  <c r="G337" i="2" s="1"/>
  <c r="A358" i="2"/>
  <c r="C366" i="2"/>
  <c r="C368" i="2"/>
  <c r="C375" i="2"/>
  <c r="C370" i="2"/>
  <c r="C373" i="2"/>
  <c r="A364" i="2"/>
  <c r="A372" i="2"/>
  <c r="A380" i="2"/>
  <c r="A365" i="2"/>
  <c r="A373" i="2"/>
  <c r="A381" i="2"/>
  <c r="A379" i="2"/>
  <c r="A382" i="2"/>
  <c r="A375" i="2"/>
  <c r="A368" i="2"/>
  <c r="A376" i="2"/>
  <c r="A371" i="2"/>
  <c r="A374" i="2"/>
  <c r="C473" i="2"/>
  <c r="C377" i="2"/>
  <c r="A369" i="2"/>
  <c r="A377" i="2"/>
  <c r="C474" i="2"/>
  <c r="C380" i="2"/>
  <c r="A367" i="2"/>
  <c r="A370" i="2"/>
  <c r="A378" i="2"/>
  <c r="G380" i="2"/>
  <c r="A471" i="2"/>
  <c r="A472" i="2"/>
  <c r="A473" i="2"/>
  <c r="B471" i="2"/>
  <c r="A474" i="2"/>
  <c r="A469" i="2"/>
  <c r="A470" i="2"/>
  <c r="H501" i="2"/>
  <c r="G474" i="2"/>
  <c r="G470" i="2" s="1"/>
  <c r="G501" i="2"/>
  <c r="A869" i="2"/>
  <c r="A868" i="2"/>
  <c r="A867" i="2"/>
  <c r="C720" i="2"/>
  <c r="C748" i="2"/>
  <c r="A732" i="2"/>
  <c r="A740" i="2"/>
  <c r="A719" i="2"/>
  <c r="A727" i="2"/>
  <c r="A735" i="2"/>
  <c r="A716" i="2"/>
  <c r="A725" i="2"/>
  <c r="A734" i="2"/>
  <c r="A720" i="2"/>
  <c r="A736" i="2"/>
  <c r="A721" i="2"/>
  <c r="A729" i="2"/>
  <c r="A737" i="2"/>
  <c r="A733" i="2"/>
  <c r="A726" i="2"/>
  <c r="A714" i="2"/>
  <c r="A722" i="2"/>
  <c r="A730" i="2"/>
  <c r="A738" i="2"/>
  <c r="A724" i="2"/>
  <c r="A717" i="2"/>
  <c r="A718" i="2"/>
  <c r="A728" i="2"/>
  <c r="A715" i="2"/>
  <c r="A723" i="2"/>
  <c r="A731" i="2"/>
  <c r="A739" i="2"/>
  <c r="C719" i="2"/>
  <c r="C690" i="2"/>
  <c r="C717" i="2"/>
  <c r="A699" i="2"/>
  <c r="A692" i="2"/>
  <c r="A700" i="2"/>
  <c r="A708" i="2"/>
  <c r="A693" i="2"/>
  <c r="A701" i="2"/>
  <c r="A709" i="2"/>
  <c r="A707" i="2"/>
  <c r="A695" i="2"/>
  <c r="A688" i="2"/>
  <c r="A696" i="2"/>
  <c r="A704" i="2"/>
  <c r="A691" i="2"/>
  <c r="A702" i="2"/>
  <c r="A687" i="2"/>
  <c r="A703" i="2"/>
  <c r="A689" i="2"/>
  <c r="A697" i="2"/>
  <c r="A705" i="2"/>
  <c r="A694" i="2"/>
  <c r="A690" i="2"/>
  <c r="A698" i="2"/>
  <c r="A706" i="2"/>
  <c r="A311" i="2"/>
  <c r="A275" i="2"/>
  <c r="A293" i="2"/>
  <c r="A270" i="2"/>
  <c r="A288" i="2"/>
  <c r="A306" i="2"/>
  <c r="A296" i="2"/>
  <c r="A314" i="2"/>
  <c r="A278" i="2"/>
  <c r="C307" i="2"/>
  <c r="C291" i="2"/>
  <c r="C309" i="2"/>
  <c r="C273" i="2"/>
  <c r="C289" i="2"/>
  <c r="C271" i="2"/>
  <c r="A303" i="2"/>
  <c r="A285" i="2"/>
  <c r="A267" i="2"/>
  <c r="C297" i="2"/>
  <c r="C315" i="2"/>
  <c r="C279" i="2"/>
  <c r="A287" i="2"/>
  <c r="A269" i="2"/>
  <c r="A305" i="2"/>
  <c r="A313" i="2"/>
  <c r="A277" i="2"/>
  <c r="A295" i="2"/>
  <c r="A289" i="2"/>
  <c r="A307" i="2"/>
  <c r="A271" i="2"/>
  <c r="A297" i="2"/>
  <c r="A279" i="2"/>
  <c r="A315" i="2"/>
  <c r="A302" i="2"/>
  <c r="A284" i="2"/>
  <c r="A266" i="2"/>
  <c r="A294" i="2"/>
  <c r="A312" i="2"/>
  <c r="A276" i="2"/>
  <c r="A272" i="2"/>
  <c r="A308" i="2"/>
  <c r="A290" i="2"/>
  <c r="A280" i="2"/>
  <c r="A298" i="2"/>
  <c r="A316" i="2"/>
  <c r="A292" i="2"/>
  <c r="A310" i="2"/>
  <c r="A274" i="2"/>
  <c r="A300" i="2"/>
  <c r="A282" i="2"/>
  <c r="A318" i="2"/>
  <c r="A291" i="2"/>
  <c r="A309" i="2"/>
  <c r="A273" i="2"/>
  <c r="A281" i="2"/>
  <c r="A317" i="2"/>
  <c r="A299" i="2"/>
  <c r="A304" i="2"/>
  <c r="A286" i="2"/>
  <c r="A268" i="2"/>
  <c r="C275" i="2"/>
  <c r="C311" i="2"/>
  <c r="C293" i="2"/>
  <c r="H284" i="2"/>
  <c r="H266" i="2"/>
  <c r="H302" i="2"/>
  <c r="G302" i="2"/>
  <c r="G297" i="2"/>
  <c r="G286" i="2" s="1"/>
  <c r="G315" i="2"/>
  <c r="G304" i="2" s="1"/>
  <c r="G279" i="2"/>
  <c r="G268" i="2" s="1"/>
  <c r="G284" i="2"/>
  <c r="G266" i="2"/>
  <c r="A237" i="2"/>
  <c r="A183" i="2"/>
  <c r="A255" i="2"/>
  <c r="A201" i="2"/>
  <c r="A219" i="2"/>
  <c r="A245" i="2"/>
  <c r="A209" i="2"/>
  <c r="A227" i="2"/>
  <c r="A263" i="2"/>
  <c r="A191" i="2"/>
  <c r="A211" i="2"/>
  <c r="A229" i="2"/>
  <c r="A247" i="2"/>
  <c r="A193" i="2"/>
  <c r="A175" i="2"/>
  <c r="A220" i="2"/>
  <c r="A202" i="2"/>
  <c r="A256" i="2"/>
  <c r="A184" i="2"/>
  <c r="A238" i="2"/>
  <c r="A230" i="2"/>
  <c r="A176" i="2"/>
  <c r="A194" i="2"/>
  <c r="A248" i="2"/>
  <c r="A212" i="2"/>
  <c r="A257" i="2"/>
  <c r="A239" i="2"/>
  <c r="A185" i="2"/>
  <c r="A203" i="2"/>
  <c r="A221" i="2"/>
  <c r="C206" i="2"/>
  <c r="C224" i="2"/>
  <c r="C260" i="2"/>
  <c r="C188" i="2"/>
  <c r="C242" i="2"/>
  <c r="A215" i="2"/>
  <c r="A233" i="2"/>
  <c r="A179" i="2"/>
  <c r="A251" i="2"/>
  <c r="A197" i="2"/>
  <c r="A234" i="2"/>
  <c r="A180" i="2"/>
  <c r="A252" i="2"/>
  <c r="A198" i="2"/>
  <c r="A216" i="2"/>
  <c r="A206" i="2"/>
  <c r="A242" i="2"/>
  <c r="A260" i="2"/>
  <c r="A224" i="2"/>
  <c r="A188" i="2"/>
  <c r="A250" i="2"/>
  <c r="A196" i="2"/>
  <c r="A214" i="2"/>
  <c r="A232" i="2"/>
  <c r="A178" i="2"/>
  <c r="A253" i="2"/>
  <c r="A199" i="2"/>
  <c r="A217" i="2"/>
  <c r="A235" i="2"/>
  <c r="A181" i="2"/>
  <c r="A225" i="2"/>
  <c r="A243" i="2"/>
  <c r="A207" i="2"/>
  <c r="A261" i="2"/>
  <c r="A189" i="2"/>
  <c r="A258" i="2"/>
  <c r="A204" i="2"/>
  <c r="A222" i="2"/>
  <c r="A240" i="2"/>
  <c r="A186" i="2"/>
  <c r="A187" i="2"/>
  <c r="A259" i="2"/>
  <c r="A241" i="2"/>
  <c r="A205" i="2"/>
  <c r="A223" i="2"/>
  <c r="C254" i="2"/>
  <c r="C252" i="2"/>
  <c r="C236" i="2"/>
  <c r="C198" i="2"/>
  <c r="C182" i="2"/>
  <c r="C180" i="2"/>
  <c r="C218" i="2"/>
  <c r="C234" i="2"/>
  <c r="C216" i="2"/>
  <c r="C200" i="2"/>
  <c r="A218" i="2"/>
  <c r="A236" i="2"/>
  <c r="A254" i="2"/>
  <c r="A200" i="2"/>
  <c r="A182" i="2"/>
  <c r="A226" i="2"/>
  <c r="A262" i="2"/>
  <c r="A244" i="2"/>
  <c r="A190" i="2"/>
  <c r="A208" i="2"/>
  <c r="A231" i="2"/>
  <c r="A177" i="2"/>
  <c r="A249" i="2"/>
  <c r="A213" i="2"/>
  <c r="A195" i="2"/>
  <c r="C220" i="2"/>
  <c r="C238" i="2"/>
  <c r="C184" i="2"/>
  <c r="C256" i="2"/>
  <c r="C202" i="2"/>
  <c r="H247" i="2"/>
  <c r="H229" i="2"/>
  <c r="H211" i="2"/>
  <c r="H193" i="2"/>
  <c r="H175" i="2"/>
  <c r="G247" i="2"/>
  <c r="G242" i="2"/>
  <c r="G231" i="2" s="1"/>
  <c r="G229" i="2"/>
  <c r="G224" i="2"/>
  <c r="G213" i="2" s="1"/>
  <c r="G260" i="2"/>
  <c r="G249" i="2" s="1"/>
  <c r="G211" i="2"/>
  <c r="G206" i="2"/>
  <c r="G195" i="2" s="1"/>
  <c r="G193" i="2"/>
  <c r="G175" i="2"/>
  <c r="G188" i="2"/>
  <c r="G177" i="2" s="1"/>
  <c r="A92" i="2"/>
  <c r="A164" i="2"/>
  <c r="A146" i="2"/>
  <c r="A110" i="2"/>
  <c r="A128" i="2"/>
  <c r="A84" i="2"/>
  <c r="A156" i="2"/>
  <c r="A120" i="2"/>
  <c r="A138" i="2"/>
  <c r="A102" i="2"/>
  <c r="A93" i="2"/>
  <c r="A111" i="2"/>
  <c r="A147" i="2"/>
  <c r="A165" i="2"/>
  <c r="A129" i="2"/>
  <c r="A85" i="2"/>
  <c r="A157" i="2"/>
  <c r="A139" i="2"/>
  <c r="A103" i="2"/>
  <c r="A121" i="2"/>
  <c r="A94" i="2"/>
  <c r="A130" i="2"/>
  <c r="A166" i="2"/>
  <c r="A148" i="2"/>
  <c r="A112" i="2"/>
  <c r="C97" i="2"/>
  <c r="C151" i="2"/>
  <c r="C169" i="2"/>
  <c r="C115" i="2"/>
  <c r="C133" i="2"/>
  <c r="A87" i="2"/>
  <c r="A141" i="2"/>
  <c r="A105" i="2"/>
  <c r="A159" i="2"/>
  <c r="A123" i="2"/>
  <c r="A88" i="2"/>
  <c r="A160" i="2"/>
  <c r="A124" i="2"/>
  <c r="A142" i="2"/>
  <c r="A106" i="2"/>
  <c r="A96" i="2"/>
  <c r="A168" i="2"/>
  <c r="A132" i="2"/>
  <c r="A114" i="2"/>
  <c r="A150" i="2"/>
  <c r="C127" i="2"/>
  <c r="C163" i="2"/>
  <c r="C143" i="2"/>
  <c r="C107" i="2"/>
  <c r="C125" i="2"/>
  <c r="C161" i="2"/>
  <c r="C109" i="2"/>
  <c r="C145" i="2"/>
  <c r="A89" i="2"/>
  <c r="A161" i="2"/>
  <c r="A143" i="2"/>
  <c r="A125" i="2"/>
  <c r="A107" i="2"/>
  <c r="A97" i="2"/>
  <c r="A151" i="2"/>
  <c r="A169" i="2"/>
  <c r="A133" i="2"/>
  <c r="A115" i="2"/>
  <c r="A100" i="2"/>
  <c r="A118" i="2"/>
  <c r="A136" i="2"/>
  <c r="A172" i="2"/>
  <c r="A154" i="2"/>
  <c r="A95" i="2"/>
  <c r="A113" i="2"/>
  <c r="A149" i="2"/>
  <c r="A131" i="2"/>
  <c r="A167" i="2"/>
  <c r="A90" i="2"/>
  <c r="A144" i="2"/>
  <c r="A108" i="2"/>
  <c r="A126" i="2"/>
  <c r="A162" i="2"/>
  <c r="A98" i="2"/>
  <c r="A152" i="2"/>
  <c r="A170" i="2"/>
  <c r="A134" i="2"/>
  <c r="A116" i="2"/>
  <c r="A91" i="2"/>
  <c r="A163" i="2"/>
  <c r="A127" i="2"/>
  <c r="A109" i="2"/>
  <c r="A145" i="2"/>
  <c r="A99" i="2"/>
  <c r="A171" i="2"/>
  <c r="A135" i="2"/>
  <c r="A153" i="2"/>
  <c r="A117" i="2"/>
  <c r="A140" i="2"/>
  <c r="A122" i="2"/>
  <c r="A104" i="2"/>
  <c r="A158" i="2"/>
  <c r="C93" i="2"/>
  <c r="C147" i="2"/>
  <c r="C165" i="2"/>
  <c r="C129" i="2"/>
  <c r="C111" i="2"/>
  <c r="H138" i="2"/>
  <c r="H156" i="2"/>
  <c r="H102" i="2"/>
  <c r="H120" i="2"/>
  <c r="G156" i="2"/>
  <c r="G151" i="2"/>
  <c r="G140" i="2" s="1"/>
  <c r="G169" i="2"/>
  <c r="G158" i="2" s="1"/>
  <c r="G138" i="2"/>
  <c r="G120" i="2"/>
  <c r="G133" i="2"/>
  <c r="G122" i="2" s="1"/>
  <c r="G115" i="2"/>
  <c r="G104" i="2" s="1"/>
  <c r="G102" i="2"/>
  <c r="A86" i="2"/>
  <c r="C91" i="2"/>
  <c r="C89" i="2"/>
  <c r="H84" i="2"/>
  <c r="G84" i="2"/>
  <c r="G97" i="2"/>
  <c r="G86" i="2" s="1"/>
  <c r="M86" i="1"/>
  <c r="M79" i="1"/>
  <c r="L81" i="1"/>
  <c r="AX4" i="2"/>
  <c r="AX42" i="2"/>
  <c r="A324" i="2"/>
  <c r="A80" i="2"/>
  <c r="A325" i="2"/>
  <c r="A326" i="2"/>
  <c r="A320" i="2"/>
  <c r="A328" i="2"/>
  <c r="A323" i="2"/>
  <c r="A321" i="2"/>
  <c r="A327" i="2"/>
  <c r="A44" i="1"/>
  <c r="A322" i="2"/>
  <c r="G1006" i="2"/>
  <c r="B52" i="1"/>
  <c r="C288" i="4"/>
  <c r="C108" i="10"/>
  <c r="A107" i="10"/>
  <c r="A108" i="10"/>
  <c r="A109" i="10"/>
  <c r="A110" i="10"/>
  <c r="A112" i="10"/>
  <c r="A111" i="10"/>
  <c r="G122" i="10"/>
  <c r="G107" i="10"/>
  <c r="G118" i="10" s="1"/>
  <c r="G124" i="10" s="1"/>
  <c r="J322" i="4"/>
  <c r="J31" i="1"/>
  <c r="AV31" i="1"/>
  <c r="AU31" i="1"/>
  <c r="AT31" i="1"/>
  <c r="AS31" i="1"/>
  <c r="AP31" i="1"/>
  <c r="AI31" i="1"/>
  <c r="AB31" i="1"/>
  <c r="AA31" i="1"/>
  <c r="Z31" i="1"/>
  <c r="X31" i="1"/>
  <c r="AH31" i="1"/>
  <c r="AL31" i="1"/>
  <c r="AM31" i="1"/>
  <c r="AE31" i="1"/>
  <c r="AD31" i="1"/>
  <c r="U31" i="1"/>
  <c r="S31" i="1"/>
  <c r="R31" i="1"/>
  <c r="L31" i="1"/>
  <c r="AO31" i="1"/>
  <c r="AG31" i="1"/>
  <c r="AF31" i="1"/>
  <c r="AC31" i="1"/>
  <c r="Q31" i="1"/>
  <c r="M31" i="1"/>
  <c r="AJ31" i="1"/>
  <c r="AR31" i="1"/>
  <c r="AN31" i="1"/>
  <c r="AQ31" i="1"/>
  <c r="AK31" i="1"/>
  <c r="Y31" i="1"/>
  <c r="W31" i="1"/>
  <c r="V31" i="1"/>
  <c r="T31" i="1"/>
  <c r="P31" i="1"/>
  <c r="O31" i="1"/>
  <c r="N31" i="1"/>
  <c r="I49" i="12"/>
  <c r="G56" i="12"/>
  <c r="N56" i="12" s="1"/>
  <c r="D53" i="12"/>
  <c r="B9" i="1"/>
  <c r="G125" i="10"/>
  <c r="G102" i="4" s="1"/>
  <c r="G993" i="2"/>
  <c r="G672" i="2"/>
  <c r="H672" i="2" s="1"/>
  <c r="H2" i="5"/>
  <c r="G883" i="2"/>
  <c r="G111" i="4" s="1"/>
  <c r="G65" i="10"/>
  <c r="G86" i="4" s="1"/>
  <c r="G302" i="4"/>
  <c r="A297" i="4"/>
  <c r="A255" i="4"/>
  <c r="B21" i="1"/>
  <c r="A116" i="1"/>
  <c r="C40" i="1"/>
  <c r="B8" i="1"/>
  <c r="G460" i="2"/>
  <c r="G328" i="2"/>
  <c r="B46" i="10"/>
  <c r="A261" i="4"/>
  <c r="A303" i="4"/>
  <c r="A260" i="4"/>
  <c r="A302" i="4"/>
  <c r="C300" i="4"/>
  <c r="G211" i="4"/>
  <c r="G260" i="4"/>
  <c r="C212" i="4"/>
  <c r="C261" i="4"/>
  <c r="C258" i="4"/>
  <c r="C94" i="7" s="1"/>
  <c r="A206" i="4"/>
  <c r="A211" i="4"/>
  <c r="A207" i="4"/>
  <c r="A212" i="4"/>
  <c r="C209" i="4"/>
  <c r="C73" i="1"/>
  <c r="C207" i="4"/>
  <c r="C205" i="4"/>
  <c r="G45" i="1"/>
  <c r="G44" i="1"/>
  <c r="C44" i="1"/>
  <c r="C45" i="1"/>
  <c r="A45" i="1"/>
  <c r="I43" i="1"/>
  <c r="I47" i="1" s="1"/>
  <c r="H197" i="4"/>
  <c r="H246" i="4"/>
  <c r="H288" i="4"/>
  <c r="I57" i="10"/>
  <c r="G247" i="4"/>
  <c r="G198" i="4"/>
  <c r="G289" i="4"/>
  <c r="G644" i="2"/>
  <c r="H644" i="2" s="1"/>
  <c r="G667" i="2"/>
  <c r="H667" i="2" s="1"/>
  <c r="G656" i="2"/>
  <c r="H656" i="2" s="1"/>
  <c r="G626" i="2"/>
  <c r="H626" i="2" s="1"/>
  <c r="G650" i="2"/>
  <c r="H650" i="2" s="1"/>
  <c r="G638" i="2"/>
  <c r="H638" i="2" s="1"/>
  <c r="G662" i="2"/>
  <c r="H662" i="2" s="1"/>
  <c r="H663" i="2" s="1"/>
  <c r="G632" i="2"/>
  <c r="H632" i="2" s="1"/>
  <c r="C108" i="1"/>
  <c r="G945" i="2"/>
  <c r="G250" i="4"/>
  <c r="D90" i="7" s="1"/>
  <c r="G201" i="4"/>
  <c r="G287" i="4"/>
  <c r="G292" i="4"/>
  <c r="C247" i="4"/>
  <c r="C289" i="4"/>
  <c r="A248" i="4"/>
  <c r="A290" i="4"/>
  <c r="A247" i="4"/>
  <c r="A289" i="4"/>
  <c r="C197" i="4"/>
  <c r="C246" i="4"/>
  <c r="A197" i="4"/>
  <c r="A246" i="4"/>
  <c r="A190" i="4"/>
  <c r="A199" i="4"/>
  <c r="G196" i="4"/>
  <c r="G245" i="4"/>
  <c r="D88" i="7" s="1"/>
  <c r="A43" i="1"/>
  <c r="C305" i="4"/>
  <c r="C198" i="4"/>
  <c r="A198" i="4"/>
  <c r="C214" i="4"/>
  <c r="C263" i="4"/>
  <c r="C96" i="7" s="1"/>
  <c r="H49" i="1"/>
  <c r="A484" i="2"/>
  <c r="H48" i="1"/>
  <c r="G131" i="1"/>
  <c r="G178" i="4" s="1"/>
  <c r="G140" i="1"/>
  <c r="H47" i="1"/>
  <c r="B26" i="10"/>
  <c r="B49" i="10" s="1"/>
  <c r="B51" i="10" s="1"/>
  <c r="G236" i="4" s="1"/>
  <c r="A939" i="2"/>
  <c r="A937" i="2"/>
  <c r="A945" i="2"/>
  <c r="AX682" i="2"/>
  <c r="A934" i="2"/>
  <c r="A938" i="2"/>
  <c r="A887" i="2"/>
  <c r="A943" i="2"/>
  <c r="A935" i="2"/>
  <c r="A948" i="2"/>
  <c r="A941" i="2"/>
  <c r="A891" i="2"/>
  <c r="A893" i="2"/>
  <c r="A936" i="2"/>
  <c r="A944" i="2"/>
  <c r="A940" i="2"/>
  <c r="A942" i="2"/>
  <c r="C60" i="1"/>
  <c r="A251" i="4"/>
  <c r="A293" i="4"/>
  <c r="A185" i="4"/>
  <c r="A29" i="10"/>
  <c r="A37" i="10"/>
  <c r="A250" i="4"/>
  <c r="A90" i="7" s="1"/>
  <c r="J139" i="1"/>
  <c r="A121" i="1"/>
  <c r="C140" i="1"/>
  <c r="C141" i="1"/>
  <c r="A146" i="1"/>
  <c r="A140" i="1"/>
  <c r="A8" i="10"/>
  <c r="I107" i="4"/>
  <c r="A202" i="4"/>
  <c r="H322" i="4"/>
  <c r="H2" i="1"/>
  <c r="I72" i="1"/>
  <c r="H2" i="4"/>
  <c r="G59" i="1"/>
  <c r="G93" i="10"/>
  <c r="G90" i="4" s="1"/>
  <c r="I25" i="1"/>
  <c r="I2" i="10" s="1"/>
  <c r="H2" i="10"/>
  <c r="A145" i="1"/>
  <c r="A7" i="10"/>
  <c r="A137" i="1"/>
  <c r="A144" i="1"/>
  <c r="G28" i="1"/>
  <c r="I61" i="4"/>
  <c r="C602" i="2"/>
  <c r="C607" i="2"/>
  <c r="C604" i="2"/>
  <c r="C609" i="2"/>
  <c r="AX967" i="2"/>
  <c r="C630" i="2"/>
  <c r="AX492" i="2"/>
  <c r="H849" i="2"/>
  <c r="H848" i="2" s="1"/>
  <c r="H850" i="2" s="1"/>
  <c r="AX805" i="2"/>
  <c r="AX969" i="2"/>
  <c r="AX966" i="2"/>
  <c r="AX484" i="2"/>
  <c r="G817" i="2"/>
  <c r="AX819" i="2"/>
  <c r="AX828" i="2"/>
  <c r="A542" i="2"/>
  <c r="I27" i="4"/>
  <c r="J119" i="1"/>
  <c r="J225" i="4" s="1"/>
  <c r="J122" i="1"/>
  <c r="J274" i="4" s="1"/>
  <c r="J145" i="1"/>
  <c r="J316" i="4" s="1"/>
  <c r="J30" i="1"/>
  <c r="I60" i="4"/>
  <c r="I32" i="4"/>
  <c r="H62" i="4"/>
  <c r="H231" i="4" s="1"/>
  <c r="I24" i="4"/>
  <c r="H32" i="4"/>
  <c r="I63" i="4"/>
  <c r="I322" i="4"/>
  <c r="I55" i="4"/>
  <c r="I45" i="4"/>
  <c r="H63" i="4"/>
  <c r="H281" i="4" s="1"/>
  <c r="H24" i="4"/>
  <c r="G31" i="1"/>
  <c r="G912" i="2" s="1"/>
  <c r="C17" i="1"/>
  <c r="I62" i="4"/>
  <c r="K31" i="1"/>
  <c r="B19" i="1"/>
  <c r="A519" i="2" s="1"/>
  <c r="I19" i="4"/>
  <c r="AX956" i="2"/>
  <c r="G146" i="1"/>
  <c r="G317" i="4" s="1"/>
  <c r="G120" i="1"/>
  <c r="G226" i="4" s="1"/>
  <c r="J60" i="4"/>
  <c r="J280" i="4" s="1"/>
  <c r="J45" i="4"/>
  <c r="J81" i="1"/>
  <c r="J19" i="4"/>
  <c r="I81" i="1"/>
  <c r="I2" i="2"/>
  <c r="K81" i="1"/>
  <c r="G53" i="1"/>
  <c r="G123" i="1"/>
  <c r="G275" i="4" s="1"/>
  <c r="H50" i="1"/>
  <c r="J107" i="4"/>
  <c r="J63" i="4"/>
  <c r="J281" i="4" s="1"/>
  <c r="I54" i="4"/>
  <c r="I51" i="4"/>
  <c r="A161" i="4"/>
  <c r="C163" i="4"/>
  <c r="H55" i="4"/>
  <c r="H51" i="4"/>
  <c r="H45" i="4"/>
  <c r="H107" i="4"/>
  <c r="K322" i="4"/>
  <c r="K32" i="4"/>
  <c r="H61" i="4"/>
  <c r="H54" i="4"/>
  <c r="H19" i="4"/>
  <c r="G63" i="4"/>
  <c r="K61" i="4"/>
  <c r="K230" i="4" s="1"/>
  <c r="G54" i="4"/>
  <c r="G107" i="4"/>
  <c r="G62" i="4"/>
  <c r="K60" i="4"/>
  <c r="K280" i="4" s="1"/>
  <c r="K45" i="4"/>
  <c r="K63" i="4"/>
  <c r="K281" i="4" s="1"/>
  <c r="K19" i="4"/>
  <c r="G45" i="4"/>
  <c r="G32" i="4"/>
  <c r="G61" i="4"/>
  <c r="G51" i="4"/>
  <c r="K107" i="4"/>
  <c r="G322" i="4"/>
  <c r="J32" i="4"/>
  <c r="J62" i="4"/>
  <c r="J231" i="4" s="1"/>
  <c r="G103" i="4"/>
  <c r="K55" i="4"/>
  <c r="J55" i="4"/>
  <c r="J24" i="4"/>
  <c r="G60" i="4"/>
  <c r="G56" i="4"/>
  <c r="G27" i="4"/>
  <c r="D22" i="7" s="1"/>
  <c r="G82" i="4"/>
  <c r="K62" i="4"/>
  <c r="K231" i="4" s="1"/>
  <c r="J61" i="4"/>
  <c r="J230" i="4" s="1"/>
  <c r="K54" i="4"/>
  <c r="K51" i="4"/>
  <c r="J54" i="4"/>
  <c r="J51" i="4"/>
  <c r="H60" i="4"/>
  <c r="G55" i="4"/>
  <c r="G52" i="4"/>
  <c r="G19" i="4"/>
  <c r="G108" i="4"/>
  <c r="G92" i="4"/>
  <c r="G68" i="4"/>
  <c r="D63" i="7" s="1"/>
  <c r="G113" i="4"/>
  <c r="G83" i="4"/>
  <c r="A188" i="4"/>
  <c r="C256" i="4"/>
  <c r="A63" i="4"/>
  <c r="A58" i="7" s="1"/>
  <c r="C624" i="2"/>
  <c r="C161" i="4"/>
  <c r="C134" i="1"/>
  <c r="B187" i="4" s="1"/>
  <c r="G264" i="11"/>
  <c r="K87" i="1"/>
  <c r="J91" i="1"/>
  <c r="H91" i="1"/>
  <c r="I91" i="1"/>
  <c r="J62" i="10"/>
  <c r="I54" i="1"/>
  <c r="J60" i="1"/>
  <c r="G297" i="4"/>
  <c r="G206" i="4"/>
  <c r="G255" i="4"/>
  <c r="H75" i="10"/>
  <c r="I48" i="1"/>
  <c r="G858" i="2"/>
  <c r="H857" i="2"/>
  <c r="H856" i="2" s="1"/>
  <c r="H31" i="1"/>
  <c r="H139" i="1" s="1"/>
  <c r="I31" i="1"/>
  <c r="I139" i="1" s="1"/>
  <c r="K27" i="4"/>
  <c r="J27" i="4"/>
  <c r="H81" i="1"/>
  <c r="G24" i="4"/>
  <c r="C98" i="1"/>
  <c r="C103" i="1"/>
  <c r="A123" i="1"/>
  <c r="A956" i="2"/>
  <c r="A991" i="2"/>
  <c r="C505" i="2"/>
  <c r="A947" i="2"/>
  <c r="A1" i="5"/>
  <c r="A955" i="2"/>
  <c r="C480" i="2"/>
  <c r="A285" i="4"/>
  <c r="A954" i="2"/>
  <c r="C496" i="2"/>
  <c r="C591" i="2"/>
  <c r="AX862" i="2"/>
  <c r="C581" i="2"/>
  <c r="C648" i="2"/>
  <c r="C159" i="4"/>
  <c r="C49" i="1"/>
  <c r="G213" i="11"/>
  <c r="A275" i="4"/>
  <c r="AX271" i="4"/>
  <c r="C498" i="2"/>
  <c r="C618" i="2"/>
  <c r="C654" i="2"/>
  <c r="C170" i="4"/>
  <c r="A119" i="1"/>
  <c r="AX80" i="2"/>
  <c r="C482" i="2"/>
  <c r="C578" i="2"/>
  <c r="C589" i="2"/>
  <c r="C160" i="4"/>
  <c r="C47" i="1"/>
  <c r="C56" i="1"/>
  <c r="A1009" i="2"/>
  <c r="AX90" i="10"/>
  <c r="AX37" i="4"/>
  <c r="O32" i="7" s="1"/>
  <c r="A54" i="1"/>
  <c r="A130" i="1"/>
  <c r="A120" i="1"/>
  <c r="A131" i="1"/>
  <c r="A122" i="1"/>
  <c r="B10" i="1"/>
  <c r="A34" i="9"/>
  <c r="C83" i="10"/>
  <c r="C296" i="4"/>
  <c r="C226" i="4"/>
  <c r="C123" i="4"/>
  <c r="C178" i="4"/>
  <c r="C948" i="2"/>
  <c r="C128" i="4"/>
  <c r="C317" i="4"/>
  <c r="C130" i="4"/>
  <c r="C166" i="4"/>
  <c r="C165" i="4"/>
  <c r="C21" i="1"/>
  <c r="AX4" i="4"/>
  <c r="O3" i="7" s="1"/>
  <c r="AX222" i="4"/>
  <c r="O68" i="7" s="1"/>
  <c r="AX952" i="2"/>
  <c r="AX841" i="2"/>
  <c r="AX513" i="2"/>
  <c r="AX1" i="2"/>
  <c r="AX55" i="10"/>
  <c r="AX174" i="4"/>
  <c r="AX891" i="2"/>
  <c r="AX826" i="2"/>
  <c r="AX464" i="2"/>
  <c r="AX102" i="10"/>
  <c r="AX1" i="4"/>
  <c r="AX615" i="2"/>
  <c r="AX1" i="10"/>
  <c r="AX313" i="4"/>
  <c r="AX880" i="2"/>
  <c r="AX332" i="2"/>
  <c r="A336" i="4"/>
  <c r="A324" i="4"/>
  <c r="A326" i="4"/>
  <c r="A315" i="4"/>
  <c r="A273" i="4"/>
  <c r="C275" i="4"/>
  <c r="G214" i="11"/>
  <c r="K214" i="11"/>
  <c r="C92" i="1"/>
  <c r="C82" i="1"/>
  <c r="C298" i="4"/>
  <c r="A1" i="1"/>
  <c r="B42" i="1"/>
  <c r="A240" i="4"/>
  <c r="A83" i="7" s="1"/>
  <c r="A191" i="4"/>
  <c r="A183" i="4"/>
  <c r="L252" i="11"/>
  <c r="A1" i="10"/>
  <c r="A192" i="4"/>
  <c r="A346" i="4"/>
  <c r="C501" i="2"/>
  <c r="C69" i="10"/>
  <c r="C254" i="4"/>
  <c r="C92" i="7" s="1"/>
  <c r="C18" i="1"/>
  <c r="A1" i="4"/>
  <c r="A274" i="4"/>
  <c r="A234" i="4"/>
  <c r="A78" i="7" s="1"/>
  <c r="K264" i="11"/>
  <c r="C76" i="10"/>
  <c r="A241" i="4"/>
  <c r="A84" i="7" s="1"/>
  <c r="A345" i="4"/>
  <c r="A332" i="4"/>
  <c r="A330" i="4"/>
  <c r="A334" i="4"/>
  <c r="A328" i="4"/>
  <c r="A977" i="2"/>
  <c r="A1" i="2"/>
  <c r="C660" i="2"/>
  <c r="C642" i="2"/>
  <c r="C594" i="2"/>
  <c r="C576" i="2"/>
  <c r="C488" i="2"/>
  <c r="A344" i="4"/>
  <c r="A239" i="4"/>
  <c r="A82" i="7" s="1"/>
  <c r="A238" i="4"/>
  <c r="A189" i="4"/>
  <c r="A61" i="1"/>
  <c r="A55" i="1"/>
  <c r="A236" i="4"/>
  <c r="A80" i="7" s="1"/>
  <c r="A187" i="4"/>
  <c r="C135" i="1"/>
  <c r="C62" i="1"/>
  <c r="C48" i="1"/>
  <c r="C43" i="1"/>
  <c r="C490" i="2"/>
  <c r="C507" i="2"/>
  <c r="C583" i="2"/>
  <c r="C596" i="2"/>
  <c r="C636" i="2"/>
  <c r="C158" i="4"/>
  <c r="C54" i="1"/>
  <c r="A62" i="1"/>
  <c r="C50" i="1"/>
  <c r="G903" i="2" l="1"/>
  <c r="G904" i="2" s="1"/>
  <c r="G931" i="2"/>
  <c r="G932" i="2" s="1"/>
  <c r="H931" i="2" s="1"/>
  <c r="G922" i="2"/>
  <c r="E55" i="7"/>
  <c r="E40" i="7"/>
  <c r="D50" i="7"/>
  <c r="D27" i="7"/>
  <c r="E27" i="7"/>
  <c r="C414" i="2"/>
  <c r="C406" i="2"/>
  <c r="C411" i="2"/>
  <c r="C413" i="2"/>
  <c r="C416" i="2"/>
  <c r="C423" i="2"/>
  <c r="C405" i="2"/>
  <c r="C424" i="2"/>
  <c r="C407" i="2"/>
  <c r="C418" i="2"/>
  <c r="C409" i="2"/>
  <c r="I405" i="2"/>
  <c r="G406" i="2"/>
  <c r="H708" i="2"/>
  <c r="H702" i="2"/>
  <c r="H767" i="2"/>
  <c r="H761" i="2"/>
  <c r="J72" i="1"/>
  <c r="I312" i="2"/>
  <c r="I276" i="2"/>
  <c r="I203" i="2"/>
  <c r="I130" i="2"/>
  <c r="I148" i="2"/>
  <c r="I221" i="2"/>
  <c r="I185" i="2"/>
  <c r="I257" i="2"/>
  <c r="I112" i="2"/>
  <c r="I352" i="2"/>
  <c r="I294" i="2"/>
  <c r="I94" i="2"/>
  <c r="I166" i="2"/>
  <c r="I239" i="2"/>
  <c r="I442" i="2"/>
  <c r="I750" i="2"/>
  <c r="I548" i="2"/>
  <c r="I722" i="2"/>
  <c r="I567" i="2"/>
  <c r="I556" i="2"/>
  <c r="I537" i="2"/>
  <c r="I521" i="2"/>
  <c r="I692" i="2"/>
  <c r="I529" i="2"/>
  <c r="I399" i="2"/>
  <c r="I378" i="2"/>
  <c r="H739" i="2"/>
  <c r="H733" i="2"/>
  <c r="G280" i="4"/>
  <c r="D55" i="7"/>
  <c r="D16" i="7"/>
  <c r="I230" i="4"/>
  <c r="E74" i="7" s="1"/>
  <c r="E56" i="7"/>
  <c r="D46" i="7"/>
  <c r="I281" i="4"/>
  <c r="E58" i="7"/>
  <c r="G132" i="4"/>
  <c r="D56" i="7"/>
  <c r="D49" i="7"/>
  <c r="E50" i="7"/>
  <c r="E46" i="7"/>
  <c r="G231" i="4"/>
  <c r="D75" i="7" s="1"/>
  <c r="D57" i="7"/>
  <c r="E16" i="7"/>
  <c r="I231" i="4"/>
  <c r="E75" i="7" s="1"/>
  <c r="E57" i="7"/>
  <c r="D40" i="7"/>
  <c r="G281" i="4"/>
  <c r="D58" i="7"/>
  <c r="E49" i="7"/>
  <c r="E22" i="7"/>
  <c r="C908" i="2"/>
  <c r="C920" i="2"/>
  <c r="C914" i="2"/>
  <c r="C902" i="2"/>
  <c r="C932" i="2"/>
  <c r="C913" i="2"/>
  <c r="C928" i="2"/>
  <c r="C909" i="2"/>
  <c r="C904" i="2"/>
  <c r="C895" i="2"/>
  <c r="C912" i="2"/>
  <c r="C927" i="2"/>
  <c r="C903" i="2"/>
  <c r="C931" i="2"/>
  <c r="C922" i="2"/>
  <c r="C923" i="2"/>
  <c r="C901" i="2"/>
  <c r="C919" i="2"/>
  <c r="C900" i="2"/>
  <c r="C921" i="2"/>
  <c r="G937" i="2"/>
  <c r="G913" i="2"/>
  <c r="H905" i="2"/>
  <c r="I905" i="2" s="1"/>
  <c r="G902" i="2"/>
  <c r="H924" i="2"/>
  <c r="G923" i="2"/>
  <c r="G938" i="2" s="1"/>
  <c r="H903" i="2"/>
  <c r="H932" i="2"/>
  <c r="I931" i="2" s="1"/>
  <c r="C569" i="2"/>
  <c r="C570" i="2"/>
  <c r="C565" i="2"/>
  <c r="A565" i="2"/>
  <c r="C550" i="2"/>
  <c r="C546" i="2"/>
  <c r="C551" i="2"/>
  <c r="C559" i="2"/>
  <c r="C558" i="2"/>
  <c r="C554" i="2"/>
  <c r="A546" i="2"/>
  <c r="A554" i="2"/>
  <c r="A535" i="2"/>
  <c r="C527" i="2"/>
  <c r="C531" i="2"/>
  <c r="C539" i="2"/>
  <c r="C523" i="2"/>
  <c r="C535" i="2"/>
  <c r="C519" i="2"/>
  <c r="C540" i="2"/>
  <c r="C532" i="2"/>
  <c r="C524" i="2"/>
  <c r="A527" i="2"/>
  <c r="C446" i="2"/>
  <c r="C438" i="2"/>
  <c r="C427" i="2"/>
  <c r="C445" i="2"/>
  <c r="C429" i="2"/>
  <c r="C428" i="2"/>
  <c r="C435" i="2"/>
  <c r="C433" i="2"/>
  <c r="C436" i="2"/>
  <c r="C431" i="2"/>
  <c r="C440" i="2"/>
  <c r="G428" i="2"/>
  <c r="I426" i="2"/>
  <c r="C384" i="2"/>
  <c r="C395" i="2"/>
  <c r="C392" i="2"/>
  <c r="C386" i="2"/>
  <c r="C385" i="2"/>
  <c r="C402" i="2"/>
  <c r="C397" i="2"/>
  <c r="C388" i="2"/>
  <c r="C403" i="2"/>
  <c r="C390" i="2"/>
  <c r="C393" i="2"/>
  <c r="I17" i="2"/>
  <c r="I20" i="2"/>
  <c r="I21" i="2"/>
  <c r="I18" i="2"/>
  <c r="I19" i="2"/>
  <c r="G385" i="2"/>
  <c r="G338" i="2"/>
  <c r="C337" i="2"/>
  <c r="C346" i="2"/>
  <c r="C356" i="2"/>
  <c r="C355" i="2"/>
  <c r="C338" i="2"/>
  <c r="C350" i="2"/>
  <c r="C339" i="2"/>
  <c r="C348" i="2"/>
  <c r="C343" i="2"/>
  <c r="C341" i="2"/>
  <c r="C345" i="2"/>
  <c r="C358" i="2"/>
  <c r="C371" i="2"/>
  <c r="C382" i="2"/>
  <c r="C367" i="2"/>
  <c r="C365" i="2"/>
  <c r="C381" i="2"/>
  <c r="C369" i="2"/>
  <c r="C364" i="2"/>
  <c r="C372" i="2"/>
  <c r="C376" i="2"/>
  <c r="C374" i="2"/>
  <c r="G364" i="2"/>
  <c r="C470" i="2"/>
  <c r="C472" i="2"/>
  <c r="C471" i="2"/>
  <c r="I501" i="2"/>
  <c r="G471" i="2"/>
  <c r="C867" i="2"/>
  <c r="C869" i="2"/>
  <c r="C762" i="2"/>
  <c r="C758" i="2"/>
  <c r="C755" i="2"/>
  <c r="C767" i="2"/>
  <c r="C765" i="2"/>
  <c r="C756" i="2"/>
  <c r="C754" i="2"/>
  <c r="C760" i="2"/>
  <c r="C764" i="2"/>
  <c r="C752" i="2"/>
  <c r="C759" i="2"/>
  <c r="C743" i="2"/>
  <c r="C751" i="2"/>
  <c r="C757" i="2"/>
  <c r="C768" i="2"/>
  <c r="C766" i="2"/>
  <c r="C753" i="2"/>
  <c r="C763" i="2"/>
  <c r="C761" i="2"/>
  <c r="C742" i="2"/>
  <c r="C749" i="2"/>
  <c r="C744" i="2"/>
  <c r="C734" i="2"/>
  <c r="C730" i="2"/>
  <c r="C737" i="2"/>
  <c r="C727" i="2"/>
  <c r="C739" i="2"/>
  <c r="C736" i="2"/>
  <c r="C731" i="2"/>
  <c r="C726" i="2"/>
  <c r="C735" i="2"/>
  <c r="C733" i="2"/>
  <c r="C721" i="2"/>
  <c r="C732" i="2"/>
  <c r="C723" i="2"/>
  <c r="C740" i="2"/>
  <c r="C715" i="2"/>
  <c r="C738" i="2"/>
  <c r="C729" i="2"/>
  <c r="C724" i="2"/>
  <c r="C725" i="2"/>
  <c r="C728" i="2"/>
  <c r="C716" i="2"/>
  <c r="C714" i="2"/>
  <c r="C709" i="2"/>
  <c r="C708" i="2"/>
  <c r="C706" i="2"/>
  <c r="C702" i="2"/>
  <c r="C698" i="2"/>
  <c r="C694" i="2"/>
  <c r="C705" i="2"/>
  <c r="C701" i="2"/>
  <c r="C697" i="2"/>
  <c r="C703" i="2"/>
  <c r="C695" i="2"/>
  <c r="C707" i="2"/>
  <c r="C700" i="2"/>
  <c r="C693" i="2"/>
  <c r="C699" i="2"/>
  <c r="C696" i="2"/>
  <c r="C704" i="2"/>
  <c r="C687" i="2"/>
  <c r="C689" i="2"/>
  <c r="C688" i="2"/>
  <c r="C317" i="2"/>
  <c r="C272" i="2"/>
  <c r="C300" i="2"/>
  <c r="C282" i="2"/>
  <c r="C286" i="2"/>
  <c r="C268" i="2"/>
  <c r="C304" i="2"/>
  <c r="C270" i="2"/>
  <c r="C269" i="2"/>
  <c r="C288" i="2"/>
  <c r="C287" i="2"/>
  <c r="C277" i="2"/>
  <c r="C281" i="2"/>
  <c r="C290" i="2"/>
  <c r="C316" i="2"/>
  <c r="C299" i="2"/>
  <c r="C295" i="2"/>
  <c r="C292" i="2"/>
  <c r="C274" i="2"/>
  <c r="C310" i="2"/>
  <c r="C298" i="2"/>
  <c r="C308" i="2"/>
  <c r="C280" i="2"/>
  <c r="C305" i="2"/>
  <c r="C313" i="2"/>
  <c r="C306" i="2"/>
  <c r="C318" i="2"/>
  <c r="I302" i="2"/>
  <c r="I284" i="2"/>
  <c r="I266" i="2"/>
  <c r="G269" i="2"/>
  <c r="G287" i="2"/>
  <c r="G305" i="2"/>
  <c r="C177" i="2"/>
  <c r="C249" i="2"/>
  <c r="C222" i="2"/>
  <c r="C217" i="2"/>
  <c r="C195" i="2"/>
  <c r="C214" i="2"/>
  <c r="C213" i="2"/>
  <c r="C243" i="2"/>
  <c r="C219" i="2"/>
  <c r="C207" i="2"/>
  <c r="C227" i="2"/>
  <c r="C226" i="2"/>
  <c r="C179" i="2"/>
  <c r="C258" i="2"/>
  <c r="C186" i="2"/>
  <c r="C253" i="2"/>
  <c r="C178" i="2"/>
  <c r="C231" i="2"/>
  <c r="C245" i="2"/>
  <c r="C232" i="2"/>
  <c r="C189" i="2"/>
  <c r="C225" i="2"/>
  <c r="C263" i="2"/>
  <c r="C181" i="2"/>
  <c r="C191" i="2"/>
  <c r="C199" i="2"/>
  <c r="C197" i="2"/>
  <c r="C235" i="2"/>
  <c r="C244" i="2"/>
  <c r="C240" i="2"/>
  <c r="C262" i="2"/>
  <c r="C215" i="2"/>
  <c r="C255" i="2"/>
  <c r="C251" i="2"/>
  <c r="C208" i="2"/>
  <c r="C250" i="2"/>
  <c r="C196" i="2"/>
  <c r="C209" i="2"/>
  <c r="C237" i="2"/>
  <c r="C183" i="2"/>
  <c r="C261" i="2"/>
  <c r="C201" i="2"/>
  <c r="C190" i="2"/>
  <c r="C233" i="2"/>
  <c r="C204" i="2"/>
  <c r="G232" i="2"/>
  <c r="G178" i="2"/>
  <c r="G214" i="2"/>
  <c r="I247" i="2"/>
  <c r="I211" i="2"/>
  <c r="I193" i="2"/>
  <c r="I175" i="2"/>
  <c r="I229" i="2"/>
  <c r="G196" i="2"/>
  <c r="G250" i="2"/>
  <c r="C140" i="2"/>
  <c r="C110" i="2"/>
  <c r="C154" i="2"/>
  <c r="C128" i="2"/>
  <c r="C106" i="2"/>
  <c r="C153" i="2"/>
  <c r="C164" i="2"/>
  <c r="C141" i="2"/>
  <c r="C122" i="2"/>
  <c r="C104" i="2"/>
  <c r="C158" i="2"/>
  <c r="C136" i="2"/>
  <c r="C149" i="2"/>
  <c r="C113" i="2"/>
  <c r="C146" i="2"/>
  <c r="C118" i="2"/>
  <c r="C152" i="2"/>
  <c r="C171" i="2"/>
  <c r="C162" i="2"/>
  <c r="C116" i="2"/>
  <c r="C160" i="2"/>
  <c r="C144" i="2"/>
  <c r="C123" i="2"/>
  <c r="C134" i="2"/>
  <c r="C172" i="2"/>
  <c r="C131" i="2"/>
  <c r="C170" i="2"/>
  <c r="C126" i="2"/>
  <c r="C142" i="2"/>
  <c r="C108" i="2"/>
  <c r="C159" i="2"/>
  <c r="C167" i="2"/>
  <c r="C124" i="2"/>
  <c r="C105" i="2"/>
  <c r="C117" i="2"/>
  <c r="C135" i="2"/>
  <c r="I102" i="2"/>
  <c r="I138" i="2"/>
  <c r="I156" i="2"/>
  <c r="I120" i="2"/>
  <c r="G105" i="2"/>
  <c r="G123" i="2"/>
  <c r="G159" i="2"/>
  <c r="G141" i="2"/>
  <c r="C86" i="2"/>
  <c r="C92" i="2"/>
  <c r="C88" i="2"/>
  <c r="C90" i="2"/>
  <c r="C100" i="2"/>
  <c r="C87" i="2"/>
  <c r="C95" i="2"/>
  <c r="C98" i="2"/>
  <c r="C99" i="2"/>
  <c r="I84" i="2"/>
  <c r="G87" i="2"/>
  <c r="H883" i="2"/>
  <c r="I883" i="2" s="1"/>
  <c r="G30" i="1"/>
  <c r="G111" i="10"/>
  <c r="K91" i="1"/>
  <c r="L87" i="1"/>
  <c r="I13" i="2"/>
  <c r="I157" i="2" s="1"/>
  <c r="I12" i="2"/>
  <c r="I121" i="2" s="1"/>
  <c r="I14" i="2"/>
  <c r="I139" i="2" s="1"/>
  <c r="N79" i="1"/>
  <c r="M81" i="1"/>
  <c r="I2" i="5"/>
  <c r="N86" i="1"/>
  <c r="C106" i="10"/>
  <c r="C111" i="10"/>
  <c r="C107" i="10"/>
  <c r="C112" i="10"/>
  <c r="C110" i="10"/>
  <c r="C109" i="10"/>
  <c r="G673" i="2"/>
  <c r="G53" i="4" s="1"/>
  <c r="AA122" i="1"/>
  <c r="AA274" i="4" s="1"/>
  <c r="AA30" i="1"/>
  <c r="AA145" i="1"/>
  <c r="AA316" i="4" s="1"/>
  <c r="AA119" i="1"/>
  <c r="AA225" i="4" s="1"/>
  <c r="AA139" i="1"/>
  <c r="Y122" i="1"/>
  <c r="Y274" i="4" s="1"/>
  <c r="Y145" i="1"/>
  <c r="Y316" i="4" s="1"/>
  <c r="Y119" i="1"/>
  <c r="Y225" i="4" s="1"/>
  <c r="Y139" i="1"/>
  <c r="Y30" i="1"/>
  <c r="AC122" i="1"/>
  <c r="AC274" i="4" s="1"/>
  <c r="AC145" i="1"/>
  <c r="AC316" i="4" s="1"/>
  <c r="AC119" i="1"/>
  <c r="AC225" i="4" s="1"/>
  <c r="AC139" i="1"/>
  <c r="AC30" i="1"/>
  <c r="AK122" i="1"/>
  <c r="AK274" i="4" s="1"/>
  <c r="AK139" i="1"/>
  <c r="AK119" i="1"/>
  <c r="AK225" i="4" s="1"/>
  <c r="AK30" i="1"/>
  <c r="AK145" i="1"/>
  <c r="AK316" i="4" s="1"/>
  <c r="AF122" i="1"/>
  <c r="AF274" i="4" s="1"/>
  <c r="AF145" i="1"/>
  <c r="AF316" i="4" s="1"/>
  <c r="AF119" i="1"/>
  <c r="AF225" i="4" s="1"/>
  <c r="AF139" i="1"/>
  <c r="AF30" i="1"/>
  <c r="AE122" i="1"/>
  <c r="AE274" i="4" s="1"/>
  <c r="AE145" i="1"/>
  <c r="AE316" i="4" s="1"/>
  <c r="AE119" i="1"/>
  <c r="AE225" i="4" s="1"/>
  <c r="AE30" i="1"/>
  <c r="AE139" i="1"/>
  <c r="AI122" i="1"/>
  <c r="AI274" i="4" s="1"/>
  <c r="AI145" i="1"/>
  <c r="AI316" i="4" s="1"/>
  <c r="AI119" i="1"/>
  <c r="AI225" i="4" s="1"/>
  <c r="AI139" i="1"/>
  <c r="AI30" i="1"/>
  <c r="S122" i="1"/>
  <c r="S274" i="4" s="1"/>
  <c r="S145" i="1"/>
  <c r="S316" i="4" s="1"/>
  <c r="S119" i="1"/>
  <c r="S225" i="4" s="1"/>
  <c r="S139" i="1"/>
  <c r="S30" i="1"/>
  <c r="Q122" i="1"/>
  <c r="Q274" i="4" s="1"/>
  <c r="Q145" i="1"/>
  <c r="Q316" i="4" s="1"/>
  <c r="Q119" i="1"/>
  <c r="Q225" i="4" s="1"/>
  <c r="Q139" i="1"/>
  <c r="Q30" i="1"/>
  <c r="AD122" i="1"/>
  <c r="AD274" i="4" s="1"/>
  <c r="AD145" i="1"/>
  <c r="AD316" i="4" s="1"/>
  <c r="AD119" i="1"/>
  <c r="AD225" i="4" s="1"/>
  <c r="AD139" i="1"/>
  <c r="AD30" i="1"/>
  <c r="N122" i="1"/>
  <c r="N274" i="4" s="1"/>
  <c r="N145" i="1"/>
  <c r="N316" i="4" s="1"/>
  <c r="N119" i="1"/>
  <c r="N225" i="4" s="1"/>
  <c r="N30" i="1"/>
  <c r="N139" i="1"/>
  <c r="AQ122" i="1"/>
  <c r="AQ274" i="4" s="1"/>
  <c r="AQ119" i="1"/>
  <c r="AQ225" i="4" s="1"/>
  <c r="AQ30" i="1"/>
  <c r="AQ145" i="1"/>
  <c r="AQ316" i="4" s="1"/>
  <c r="AQ139" i="1"/>
  <c r="AM122" i="1"/>
  <c r="AM274" i="4" s="1"/>
  <c r="AM119" i="1"/>
  <c r="AM225" i="4" s="1"/>
  <c r="AM139" i="1"/>
  <c r="AM30" i="1"/>
  <c r="AM145" i="1"/>
  <c r="AM316" i="4" s="1"/>
  <c r="AP122" i="1"/>
  <c r="AP274" i="4" s="1"/>
  <c r="AP119" i="1"/>
  <c r="AP225" i="4" s="1"/>
  <c r="AP139" i="1"/>
  <c r="AP30" i="1"/>
  <c r="AP145" i="1"/>
  <c r="AP316" i="4" s="1"/>
  <c r="O122" i="1"/>
  <c r="O274" i="4" s="1"/>
  <c r="O145" i="1"/>
  <c r="O316" i="4" s="1"/>
  <c r="O30" i="1"/>
  <c r="O119" i="1"/>
  <c r="O225" i="4" s="1"/>
  <c r="O139" i="1"/>
  <c r="AN122" i="1"/>
  <c r="AN274" i="4" s="1"/>
  <c r="AN119" i="1"/>
  <c r="AN225" i="4" s="1"/>
  <c r="AN30" i="1"/>
  <c r="AN145" i="1"/>
  <c r="AN316" i="4" s="1"/>
  <c r="AN139" i="1"/>
  <c r="AO122" i="1"/>
  <c r="AO274" i="4" s="1"/>
  <c r="AO119" i="1"/>
  <c r="AO225" i="4" s="1"/>
  <c r="AO145" i="1"/>
  <c r="AO316" i="4" s="1"/>
  <c r="AO139" i="1"/>
  <c r="AO30" i="1"/>
  <c r="AL122" i="1"/>
  <c r="AL274" i="4" s="1"/>
  <c r="AL139" i="1"/>
  <c r="AL119" i="1"/>
  <c r="AL225" i="4" s="1"/>
  <c r="AL30" i="1"/>
  <c r="AL145" i="1"/>
  <c r="AL316" i="4" s="1"/>
  <c r="AS30" i="1"/>
  <c r="AS122" i="1"/>
  <c r="AS274" i="4" s="1"/>
  <c r="AS119" i="1"/>
  <c r="AS225" i="4" s="1"/>
  <c r="AS145" i="1"/>
  <c r="AS316" i="4" s="1"/>
  <c r="AS139" i="1"/>
  <c r="M122" i="1"/>
  <c r="M274" i="4" s="1"/>
  <c r="M145" i="1"/>
  <c r="M316" i="4" s="1"/>
  <c r="M119" i="1"/>
  <c r="M225" i="4" s="1"/>
  <c r="M139" i="1"/>
  <c r="M30" i="1"/>
  <c r="Z122" i="1"/>
  <c r="Z274" i="4" s="1"/>
  <c r="Z30" i="1"/>
  <c r="Z145" i="1"/>
  <c r="Z316" i="4" s="1"/>
  <c r="Z119" i="1"/>
  <c r="Z225" i="4" s="1"/>
  <c r="Z139" i="1"/>
  <c r="AV30" i="1"/>
  <c r="AV122" i="1"/>
  <c r="AV274" i="4" s="1"/>
  <c r="AV119" i="1"/>
  <c r="AV225" i="4" s="1"/>
  <c r="AV139" i="1"/>
  <c r="AV145" i="1"/>
  <c r="AV316" i="4" s="1"/>
  <c r="P122" i="1"/>
  <c r="P274" i="4" s="1"/>
  <c r="P145" i="1"/>
  <c r="P316" i="4" s="1"/>
  <c r="P119" i="1"/>
  <c r="P225" i="4" s="1"/>
  <c r="P30" i="1"/>
  <c r="P139" i="1"/>
  <c r="AR122" i="1"/>
  <c r="AR274" i="4" s="1"/>
  <c r="AR119" i="1"/>
  <c r="AR225" i="4" s="1"/>
  <c r="AR139" i="1"/>
  <c r="AR30" i="1"/>
  <c r="AR145" i="1"/>
  <c r="AR316" i="4" s="1"/>
  <c r="L122" i="1"/>
  <c r="L274" i="4" s="1"/>
  <c r="L145" i="1"/>
  <c r="L316" i="4" s="1"/>
  <c r="L119" i="1"/>
  <c r="L225" i="4" s="1"/>
  <c r="L139" i="1"/>
  <c r="L30" i="1"/>
  <c r="AH122" i="1"/>
  <c r="AH274" i="4" s="1"/>
  <c r="AH145" i="1"/>
  <c r="AH316" i="4" s="1"/>
  <c r="AH119" i="1"/>
  <c r="AH225" i="4" s="1"/>
  <c r="AH30" i="1"/>
  <c r="AH139" i="1"/>
  <c r="AT30" i="1"/>
  <c r="AT122" i="1"/>
  <c r="AT274" i="4" s="1"/>
  <c r="AT119" i="1"/>
  <c r="AT225" i="4" s="1"/>
  <c r="AT139" i="1"/>
  <c r="AT145" i="1"/>
  <c r="AT316" i="4" s="1"/>
  <c r="V122" i="1"/>
  <c r="V274" i="4" s="1"/>
  <c r="V145" i="1"/>
  <c r="V316" i="4" s="1"/>
  <c r="V119" i="1"/>
  <c r="V225" i="4" s="1"/>
  <c r="V139" i="1"/>
  <c r="V30" i="1"/>
  <c r="W122" i="1"/>
  <c r="W274" i="4" s="1"/>
  <c r="W145" i="1"/>
  <c r="W316" i="4" s="1"/>
  <c r="W119" i="1"/>
  <c r="W225" i="4" s="1"/>
  <c r="W139" i="1"/>
  <c r="W30" i="1"/>
  <c r="U122" i="1"/>
  <c r="U274" i="4" s="1"/>
  <c r="U145" i="1"/>
  <c r="U316" i="4" s="1"/>
  <c r="U30" i="1"/>
  <c r="U119" i="1"/>
  <c r="U225" i="4" s="1"/>
  <c r="U139" i="1"/>
  <c r="AB122" i="1"/>
  <c r="AB274" i="4" s="1"/>
  <c r="AB30" i="1"/>
  <c r="AB145" i="1"/>
  <c r="AB316" i="4" s="1"/>
  <c r="AB119" i="1"/>
  <c r="AB225" i="4" s="1"/>
  <c r="AB139" i="1"/>
  <c r="AG122" i="1"/>
  <c r="AG274" i="4" s="1"/>
  <c r="AG30" i="1"/>
  <c r="AG139" i="1"/>
  <c r="AG145" i="1"/>
  <c r="AG316" i="4" s="1"/>
  <c r="AG119" i="1"/>
  <c r="AG225" i="4" s="1"/>
  <c r="T122" i="1"/>
  <c r="T274" i="4" s="1"/>
  <c r="T145" i="1"/>
  <c r="T316" i="4" s="1"/>
  <c r="T119" i="1"/>
  <c r="T225" i="4" s="1"/>
  <c r="T139" i="1"/>
  <c r="T30" i="1"/>
  <c r="AJ122" i="1"/>
  <c r="AJ274" i="4" s="1"/>
  <c r="AJ30" i="1"/>
  <c r="AJ145" i="1"/>
  <c r="AJ316" i="4" s="1"/>
  <c r="AJ139" i="1"/>
  <c r="AJ119" i="1"/>
  <c r="AJ225" i="4" s="1"/>
  <c r="R122" i="1"/>
  <c r="R274" i="4" s="1"/>
  <c r="R145" i="1"/>
  <c r="R316" i="4" s="1"/>
  <c r="R119" i="1"/>
  <c r="R225" i="4" s="1"/>
  <c r="R30" i="1"/>
  <c r="R139" i="1"/>
  <c r="X122" i="1"/>
  <c r="X274" i="4" s="1"/>
  <c r="X145" i="1"/>
  <c r="X316" i="4" s="1"/>
  <c r="X30" i="1"/>
  <c r="X119" i="1"/>
  <c r="X225" i="4" s="1"/>
  <c r="X139" i="1"/>
  <c r="AU30" i="1"/>
  <c r="AU122" i="1"/>
  <c r="AU274" i="4" s="1"/>
  <c r="AU119" i="1"/>
  <c r="AU225" i="4" s="1"/>
  <c r="AU145" i="1"/>
  <c r="AU316" i="4" s="1"/>
  <c r="AU139" i="1"/>
  <c r="I56" i="12"/>
  <c r="B57" i="12"/>
  <c r="H53" i="12"/>
  <c r="I53" i="12" s="1"/>
  <c r="D57" i="12"/>
  <c r="H57" i="12" s="1"/>
  <c r="J43" i="1"/>
  <c r="J48" i="1" s="1"/>
  <c r="I49" i="1"/>
  <c r="I50" i="1"/>
  <c r="C297" i="4"/>
  <c r="C302" i="4"/>
  <c r="C255" i="4"/>
  <c r="C260" i="4"/>
  <c r="C206" i="4"/>
  <c r="C211" i="4"/>
  <c r="G668" i="2"/>
  <c r="G651" i="2"/>
  <c r="G639" i="2"/>
  <c r="G645" i="2"/>
  <c r="H645" i="2"/>
  <c r="B47" i="10"/>
  <c r="C47" i="10" s="1"/>
  <c r="G633" i="2"/>
  <c r="G657" i="2"/>
  <c r="G621" i="2"/>
  <c r="I638" i="2"/>
  <c r="I667" i="2"/>
  <c r="I668" i="2" s="1"/>
  <c r="H198" i="4"/>
  <c r="I650" i="2"/>
  <c r="I644" i="2"/>
  <c r="H247" i="4"/>
  <c r="G663" i="2"/>
  <c r="I632" i="2"/>
  <c r="I626" i="2"/>
  <c r="I288" i="4"/>
  <c r="I246" i="4"/>
  <c r="I197" i="4"/>
  <c r="J49" i="1"/>
  <c r="J288" i="4"/>
  <c r="J197" i="4"/>
  <c r="I662" i="2"/>
  <c r="I663" i="2" s="1"/>
  <c r="I656" i="2"/>
  <c r="H289" i="4"/>
  <c r="H294" i="4"/>
  <c r="H113" i="4"/>
  <c r="G187" i="4"/>
  <c r="H252" i="4"/>
  <c r="H203" i="4"/>
  <c r="H187" i="4"/>
  <c r="H125" i="10"/>
  <c r="I125" i="10" s="1"/>
  <c r="H93" i="10"/>
  <c r="H90" i="4" s="1"/>
  <c r="H26" i="1"/>
  <c r="H28" i="1" s="1"/>
  <c r="G139" i="1"/>
  <c r="H140" i="1" s="1"/>
  <c r="K30" i="1"/>
  <c r="K139" i="1"/>
  <c r="H124" i="10"/>
  <c r="I124" i="10" s="1"/>
  <c r="H108" i="4"/>
  <c r="H65" i="10"/>
  <c r="H86" i="4" s="1"/>
  <c r="H92" i="4"/>
  <c r="G145" i="1"/>
  <c r="G316" i="4" s="1"/>
  <c r="H97" i="10"/>
  <c r="I97" i="10" s="1"/>
  <c r="I82" i="4" s="1"/>
  <c r="I127" i="4"/>
  <c r="H111" i="4"/>
  <c r="H83" i="4"/>
  <c r="H103" i="4"/>
  <c r="I2" i="1"/>
  <c r="H236" i="4"/>
  <c r="D80" i="7" s="1"/>
  <c r="K43" i="1"/>
  <c r="L43" i="1" s="1"/>
  <c r="G33" i="1"/>
  <c r="G546" i="2" s="1"/>
  <c r="G551" i="2" s="1"/>
  <c r="G84" i="10"/>
  <c r="G85" i="10" s="1"/>
  <c r="G77" i="10"/>
  <c r="G78" i="10" s="1"/>
  <c r="I132" i="4"/>
  <c r="G32" i="1"/>
  <c r="G627" i="2"/>
  <c r="G122" i="1"/>
  <c r="G274" i="4" s="1"/>
  <c r="G27" i="1"/>
  <c r="J25" i="1"/>
  <c r="I2" i="4"/>
  <c r="H651" i="2"/>
  <c r="G70" i="10"/>
  <c r="G71" i="10" s="1"/>
  <c r="G72" i="10" s="1"/>
  <c r="G119" i="1"/>
  <c r="H120" i="1" s="1"/>
  <c r="H226" i="4" s="1"/>
  <c r="I672" i="2"/>
  <c r="C598" i="2"/>
  <c r="C599" i="2"/>
  <c r="C605" i="2"/>
  <c r="C610" i="2"/>
  <c r="C601" i="2"/>
  <c r="C608" i="2"/>
  <c r="C603" i="2"/>
  <c r="C606" i="2"/>
  <c r="C676" i="2"/>
  <c r="I849" i="2"/>
  <c r="I848" i="2" s="1"/>
  <c r="J849" i="2" s="1"/>
  <c r="J848" i="2" s="1"/>
  <c r="I65" i="4"/>
  <c r="J133" i="4"/>
  <c r="H127" i="4"/>
  <c r="I280" i="4"/>
  <c r="I133" i="4"/>
  <c r="K122" i="1"/>
  <c r="K274" i="4" s="1"/>
  <c r="K119" i="1"/>
  <c r="K225" i="4" s="1"/>
  <c r="K145" i="1"/>
  <c r="K316" i="4" s="1"/>
  <c r="J50" i="1"/>
  <c r="J47" i="1"/>
  <c r="H621" i="2"/>
  <c r="H668" i="2"/>
  <c r="H657" i="2"/>
  <c r="AX63" i="4"/>
  <c r="O58" i="7" s="1"/>
  <c r="K132" i="4"/>
  <c r="AX45" i="4"/>
  <c r="O40" i="7" s="1"/>
  <c r="AX322" i="4"/>
  <c r="G65" i="4"/>
  <c r="K133" i="4"/>
  <c r="H65" i="4"/>
  <c r="AX54" i="4"/>
  <c r="O49" i="7" s="1"/>
  <c r="H132" i="4"/>
  <c r="H230" i="4"/>
  <c r="J127" i="4"/>
  <c r="AX19" i="4"/>
  <c r="O16" i="7" s="1"/>
  <c r="AX55" i="4"/>
  <c r="O50" i="7" s="1"/>
  <c r="AX24" i="4"/>
  <c r="G489" i="2"/>
  <c r="H489" i="2" s="1"/>
  <c r="I489" i="2" s="1"/>
  <c r="G127" i="4"/>
  <c r="AX231" i="4"/>
  <c r="O75" i="7" s="1"/>
  <c r="J65" i="4"/>
  <c r="J132" i="4"/>
  <c r="AX51" i="4"/>
  <c r="O46" i="7" s="1"/>
  <c r="AX61" i="4"/>
  <c r="K65" i="4"/>
  <c r="AX32" i="4"/>
  <c r="O27" i="7" s="1"/>
  <c r="G495" i="2"/>
  <c r="H495" i="2" s="1"/>
  <c r="I495" i="2" s="1"/>
  <c r="G230" i="4"/>
  <c r="G133" i="4"/>
  <c r="AX60" i="4"/>
  <c r="AX62" i="4"/>
  <c r="O57" i="7" s="1"/>
  <c r="K127" i="4"/>
  <c r="H280" i="4"/>
  <c r="H133" i="4"/>
  <c r="AX27" i="4"/>
  <c r="O22" i="7" s="1"/>
  <c r="C961" i="2"/>
  <c r="C850" i="2"/>
  <c r="C970" i="2"/>
  <c r="B236" i="4"/>
  <c r="B80" i="7" s="1"/>
  <c r="C59" i="1"/>
  <c r="C124" i="10"/>
  <c r="C75" i="10"/>
  <c r="C663" i="2"/>
  <c r="C656" i="2"/>
  <c r="C588" i="2"/>
  <c r="C808" i="2"/>
  <c r="C794" i="2"/>
  <c r="C978" i="2"/>
  <c r="C647" i="2"/>
  <c r="C122" i="10"/>
  <c r="C19" i="10"/>
  <c r="C457" i="2"/>
  <c r="C57" i="10"/>
  <c r="C959" i="2"/>
  <c r="C947" i="2"/>
  <c r="C934" i="2"/>
  <c r="C829" i="2"/>
  <c r="C819" i="2"/>
  <c r="H30" i="1"/>
  <c r="H122" i="1"/>
  <c r="H274" i="4" s="1"/>
  <c r="H119" i="1"/>
  <c r="H145" i="1"/>
  <c r="H316" i="4" s="1"/>
  <c r="H673" i="2"/>
  <c r="I75" i="10"/>
  <c r="I857" i="2"/>
  <c r="I856" i="2" s="1"/>
  <c r="H858" i="2"/>
  <c r="G487" i="2"/>
  <c r="G497" i="2"/>
  <c r="H497" i="2" s="1"/>
  <c r="I497" i="2" s="1"/>
  <c r="G55" i="1"/>
  <c r="G61" i="1"/>
  <c r="K50" i="1"/>
  <c r="K47" i="1"/>
  <c r="J54" i="1"/>
  <c r="C20" i="10"/>
  <c r="C631" i="2"/>
  <c r="J61" i="1"/>
  <c r="K60" i="1"/>
  <c r="L60" i="1" s="1"/>
  <c r="M60" i="1" s="1"/>
  <c r="N60" i="1" s="1"/>
  <c r="O60" i="1" s="1"/>
  <c r="P60" i="1" s="1"/>
  <c r="Q60" i="1" s="1"/>
  <c r="R60" i="1" s="1"/>
  <c r="S60" i="1" s="1"/>
  <c r="T60" i="1" s="1"/>
  <c r="U60" i="1" s="1"/>
  <c r="V60" i="1" s="1"/>
  <c r="W60" i="1" s="1"/>
  <c r="X60" i="1" s="1"/>
  <c r="Y60" i="1" s="1"/>
  <c r="Z60" i="1" s="1"/>
  <c r="AA60" i="1" s="1"/>
  <c r="AB60" i="1" s="1"/>
  <c r="AC60" i="1" s="1"/>
  <c r="AD60" i="1" s="1"/>
  <c r="AE60" i="1" s="1"/>
  <c r="AF60" i="1" s="1"/>
  <c r="AG60" i="1" s="1"/>
  <c r="AH60" i="1" s="1"/>
  <c r="AI60" i="1" s="1"/>
  <c r="AJ60" i="1" s="1"/>
  <c r="AK60" i="1" s="1"/>
  <c r="AL60" i="1" s="1"/>
  <c r="AM60" i="1" s="1"/>
  <c r="AN60" i="1" s="1"/>
  <c r="AO60" i="1" s="1"/>
  <c r="AP60" i="1" s="1"/>
  <c r="AQ60" i="1" s="1"/>
  <c r="AR60" i="1" s="1"/>
  <c r="AS60" i="1" s="1"/>
  <c r="AT60" i="1" s="1"/>
  <c r="AU60" i="1" s="1"/>
  <c r="AV60" i="1" s="1"/>
  <c r="K62" i="10"/>
  <c r="K57" i="10"/>
  <c r="I30" i="1"/>
  <c r="I119" i="1"/>
  <c r="I225" i="4" s="1"/>
  <c r="I145" i="1"/>
  <c r="I316" i="4" s="1"/>
  <c r="I122" i="1"/>
  <c r="I274" i="4" s="1"/>
  <c r="C43" i="10"/>
  <c r="C1007" i="2"/>
  <c r="C873" i="2"/>
  <c r="C53" i="1"/>
  <c r="C875" i="2"/>
  <c r="C1005" i="2"/>
  <c r="C837" i="2"/>
  <c r="C17" i="10"/>
  <c r="C509" i="2"/>
  <c r="C453" i="2"/>
  <c r="C775" i="2"/>
  <c r="C778" i="2"/>
  <c r="C60" i="10"/>
  <c r="C24" i="10"/>
  <c r="C831" i="2"/>
  <c r="C985" i="2"/>
  <c r="C639" i="2"/>
  <c r="C643" i="2"/>
  <c r="C1000" i="2"/>
  <c r="C42" i="10"/>
  <c r="C121" i="10"/>
  <c r="C623" i="2"/>
  <c r="C477" i="2"/>
  <c r="C814" i="2"/>
  <c r="C817" i="2"/>
  <c r="C955" i="2"/>
  <c r="C988" i="2"/>
  <c r="C50" i="10"/>
  <c r="C582" i="2"/>
  <c r="C64" i="1"/>
  <c r="A53" i="1"/>
  <c r="C677" i="2"/>
  <c r="C872" i="2"/>
  <c r="C97" i="10"/>
  <c r="C633" i="2"/>
  <c r="C998" i="2"/>
  <c r="C991" i="2"/>
  <c r="C28" i="10"/>
  <c r="C11" i="10"/>
  <c r="C115" i="10"/>
  <c r="C943" i="2"/>
  <c r="C449" i="2"/>
  <c r="C494" i="2"/>
  <c r="C857" i="2"/>
  <c r="C852" i="2"/>
  <c r="C72" i="10"/>
  <c r="C772" i="2"/>
  <c r="C486" i="2"/>
  <c r="C32" i="10"/>
  <c r="C973" i="2"/>
  <c r="C835" i="2"/>
  <c r="C994" i="2"/>
  <c r="C990" i="2"/>
  <c r="C620" i="2"/>
  <c r="C650" i="2"/>
  <c r="C595" i="2"/>
  <c r="C675" i="2"/>
  <c r="A59" i="1"/>
  <c r="C971" i="2"/>
  <c r="C667" i="2"/>
  <c r="C945" i="2"/>
  <c r="C1012" i="2"/>
  <c r="C982" i="2"/>
  <c r="C965" i="2"/>
  <c r="C34" i="10"/>
  <c r="C7" i="10"/>
  <c r="C495" i="2"/>
  <c r="C937" i="2"/>
  <c r="C577" i="2"/>
  <c r="C323" i="2"/>
  <c r="C843" i="2"/>
  <c r="C851" i="2"/>
  <c r="C790" i="2"/>
  <c r="C61" i="10"/>
  <c r="C572" i="2"/>
  <c r="C809" i="2"/>
  <c r="C484" i="2"/>
  <c r="C803" i="2"/>
  <c r="C37" i="10"/>
  <c r="C979" i="2"/>
  <c r="C967" i="2"/>
  <c r="C997" i="2"/>
  <c r="C1004" i="2"/>
  <c r="C626" i="2"/>
  <c r="C655" i="2"/>
  <c r="C326" i="2"/>
  <c r="C98" i="10"/>
  <c r="C874" i="2"/>
  <c r="C678" i="2"/>
  <c r="C966" i="2"/>
  <c r="C672" i="2"/>
  <c r="C668" i="2"/>
  <c r="C657" i="2"/>
  <c r="C644" i="2"/>
  <c r="C627" i="2"/>
  <c r="C94" i="10"/>
  <c r="C1008" i="2"/>
  <c r="C989" i="2"/>
  <c r="C977" i="2"/>
  <c r="C992" i="2"/>
  <c r="C980" i="2"/>
  <c r="C968" i="2"/>
  <c r="C830" i="2"/>
  <c r="C962" i="2"/>
  <c r="C958" i="2"/>
  <c r="C39" i="10"/>
  <c r="C31" i="10"/>
  <c r="C18" i="10"/>
  <c r="C6" i="10"/>
  <c r="C13" i="10"/>
  <c r="C51" i="10"/>
  <c r="C120" i="10"/>
  <c r="C876" i="2"/>
  <c r="C871" i="2"/>
  <c r="C670" i="2"/>
  <c r="C820" i="2"/>
  <c r="C593" i="2"/>
  <c r="C666" i="2"/>
  <c r="C651" i="2"/>
  <c r="C637" i="2"/>
  <c r="C625" i="2"/>
  <c r="C38" i="10"/>
  <c r="C1006" i="2"/>
  <c r="C1013" i="2"/>
  <c r="C960" i="2"/>
  <c r="C995" i="2"/>
  <c r="C981" i="2"/>
  <c r="C828" i="2"/>
  <c r="C832" i="2"/>
  <c r="C964" i="2"/>
  <c r="C954" i="2"/>
  <c r="C41" i="10"/>
  <c r="C33" i="10"/>
  <c r="C21" i="10"/>
  <c r="C9" i="10"/>
  <c r="C14" i="10"/>
  <c r="C125" i="10"/>
  <c r="C117" i="10"/>
  <c r="C499" i="2"/>
  <c r="C481" i="2"/>
  <c r="C483" i="2"/>
  <c r="C940" i="2"/>
  <c r="C592" i="2"/>
  <c r="C584" i="2"/>
  <c r="C458" i="2"/>
  <c r="C451" i="2"/>
  <c r="C327" i="2"/>
  <c r="C653" i="2"/>
  <c r="C62" i="10"/>
  <c r="C844" i="2"/>
  <c r="C776" i="2"/>
  <c r="C789" i="2"/>
  <c r="C797" i="2"/>
  <c r="C804" i="2"/>
  <c r="C585" i="2"/>
  <c r="C848" i="2"/>
  <c r="C942" i="2"/>
  <c r="C673" i="2"/>
  <c r="C328" i="2"/>
  <c r="C661" i="2"/>
  <c r="C638" i="2"/>
  <c r="C1009" i="2"/>
  <c r="C1011" i="2"/>
  <c r="C993" i="2"/>
  <c r="C834" i="2"/>
  <c r="C972" i="2"/>
  <c r="C35" i="10"/>
  <c r="C22" i="10"/>
  <c r="C8" i="10"/>
  <c r="C116" i="10"/>
  <c r="C487" i="2"/>
  <c r="C479" i="2"/>
  <c r="C938" i="2"/>
  <c r="C597" i="2"/>
  <c r="C579" i="2"/>
  <c r="C455" i="2"/>
  <c r="C450" i="2"/>
  <c r="C321" i="2"/>
  <c r="C617" i="2"/>
  <c r="C781" i="2"/>
  <c r="C773" i="2"/>
  <c r="C785" i="2"/>
  <c r="C79" i="10"/>
  <c r="C84" i="10"/>
  <c r="C800" i="2"/>
  <c r="C806" i="2"/>
  <c r="C882" i="2"/>
  <c r="C780" i="2"/>
  <c r="C71" i="10"/>
  <c r="C798" i="2"/>
  <c r="C492" i="2"/>
  <c r="C855" i="2"/>
  <c r="C65" i="10"/>
  <c r="C812" i="2"/>
  <c r="C853" i="2"/>
  <c r="C805" i="2"/>
  <c r="C77" i="10"/>
  <c r="C478" i="2"/>
  <c r="C78" i="10"/>
  <c r="C822" i="2"/>
  <c r="C649" i="2"/>
  <c r="C1003" i="2"/>
  <c r="C1002" i="2"/>
  <c r="C833" i="2"/>
  <c r="C29" i="10"/>
  <c r="C118" i="10"/>
  <c r="C504" i="2"/>
  <c r="C936" i="2"/>
  <c r="C459" i="2"/>
  <c r="C324" i="2"/>
  <c r="C774" i="2"/>
  <c r="C788" i="2"/>
  <c r="C849" i="2"/>
  <c r="C485" i="2"/>
  <c r="C802" i="2"/>
  <c r="C792" i="2"/>
  <c r="C796" i="2"/>
  <c r="C85" i="10"/>
  <c r="C941" i="2"/>
  <c r="C671" i="2"/>
  <c r="C580" i="2"/>
  <c r="C645" i="2"/>
  <c r="C999" i="2"/>
  <c r="C956" i="2"/>
  <c r="C46" i="10"/>
  <c r="C26" i="10"/>
  <c r="C119" i="10"/>
  <c r="C508" i="2"/>
  <c r="C590" i="2"/>
  <c r="C659" i="2"/>
  <c r="C322" i="2"/>
  <c r="C813" i="2"/>
  <c r="C573" i="2"/>
  <c r="C771" i="2"/>
  <c r="C791" i="2"/>
  <c r="C503" i="2"/>
  <c r="C82" i="10"/>
  <c r="C786" i="2"/>
  <c r="C611" i="2"/>
  <c r="C856" i="2"/>
  <c r="C782" i="2"/>
  <c r="C68" i="10"/>
  <c r="C885" i="2"/>
  <c r="C963" i="2"/>
  <c r="C460" i="2"/>
  <c r="C662" i="2"/>
  <c r="C632" i="2"/>
  <c r="C23" i="10"/>
  <c r="C986" i="2"/>
  <c r="C984" i="2"/>
  <c r="C836" i="2"/>
  <c r="C976" i="2"/>
  <c r="C30" i="10"/>
  <c r="C15" i="10"/>
  <c r="C49" i="10"/>
  <c r="C114" i="10"/>
  <c r="C489" i="2"/>
  <c r="C506" i="2"/>
  <c r="C935" i="2"/>
  <c r="C665" i="2"/>
  <c r="C456" i="2"/>
  <c r="C325" i="2"/>
  <c r="C635" i="2"/>
  <c r="C793" i="2"/>
  <c r="C783" i="2"/>
  <c r="C818" i="2"/>
  <c r="C784" i="2"/>
  <c r="C493" i="2"/>
  <c r="C476" i="2"/>
  <c r="C807" i="2"/>
  <c r="C811" i="2"/>
  <c r="C58" i="10"/>
  <c r="C847" i="2"/>
  <c r="C777" i="2"/>
  <c r="C846" i="2"/>
  <c r="C854" i="2"/>
  <c r="C779" i="2"/>
  <c r="C795" i="2"/>
  <c r="C586" i="2"/>
  <c r="C59" i="10"/>
  <c r="C70" i="10"/>
  <c r="C887" i="2"/>
  <c r="C621" i="2"/>
  <c r="C974" i="2"/>
  <c r="C44" i="10"/>
  <c r="C10" i="10"/>
  <c r="C497" i="2"/>
  <c r="C944" i="2"/>
  <c r="C454" i="2"/>
  <c r="C641" i="2"/>
  <c r="C770" i="2"/>
  <c r="C500" i="2"/>
  <c r="C502" i="2"/>
  <c r="C858" i="2"/>
  <c r="C883" i="2"/>
  <c r="C93" i="10"/>
  <c r="C821" i="2"/>
  <c r="C619" i="2"/>
  <c r="C969" i="2"/>
  <c r="C12" i="10"/>
  <c r="C491" i="2"/>
  <c r="C939" i="2"/>
  <c r="C575" i="2"/>
  <c r="C452" i="2"/>
  <c r="C629" i="2"/>
  <c r="C801" i="2"/>
  <c r="C815" i="2"/>
  <c r="C799" i="2"/>
  <c r="C86" i="10"/>
  <c r="C845" i="2"/>
  <c r="C810" i="2"/>
  <c r="C787" i="2"/>
  <c r="B237" i="4"/>
  <c r="B81" i="7" s="1"/>
  <c r="B188" i="4"/>
  <c r="G477" i="2" l="1"/>
  <c r="G472" i="2"/>
  <c r="G478" i="2" s="1"/>
  <c r="G944" i="2"/>
  <c r="I97" i="2"/>
  <c r="I115" i="2"/>
  <c r="I133" i="2"/>
  <c r="I169" i="2"/>
  <c r="I188" i="2"/>
  <c r="I242" i="2"/>
  <c r="I260" i="2"/>
  <c r="I315" i="2"/>
  <c r="I354" i="2"/>
  <c r="I444" i="2"/>
  <c r="G431" i="2"/>
  <c r="H431" i="2" s="1"/>
  <c r="I431" i="2" s="1"/>
  <c r="I538" i="2"/>
  <c r="G519" i="2"/>
  <c r="G524" i="2" s="1"/>
  <c r="G554" i="2"/>
  <c r="G586" i="2" s="1"/>
  <c r="G590" i="2" s="1"/>
  <c r="H590" i="2" s="1"/>
  <c r="I590" i="2" s="1"/>
  <c r="I557" i="2"/>
  <c r="G565" i="2"/>
  <c r="G535" i="2"/>
  <c r="G540" i="2" s="1"/>
  <c r="H549" i="2"/>
  <c r="H550" i="2" s="1"/>
  <c r="H546" i="2" s="1"/>
  <c r="H551" i="2" s="1"/>
  <c r="H538" i="2"/>
  <c r="H539" i="2" s="1"/>
  <c r="H535" i="2" s="1"/>
  <c r="H540" i="2" s="1"/>
  <c r="H522" i="2"/>
  <c r="H523" i="2" s="1"/>
  <c r="H519" i="2" s="1"/>
  <c r="H524" i="2" s="1"/>
  <c r="H354" i="2"/>
  <c r="H337" i="2" s="1"/>
  <c r="H338" i="2" s="1"/>
  <c r="H297" i="2"/>
  <c r="H286" i="2" s="1"/>
  <c r="H287" i="2" s="1"/>
  <c r="H260" i="2"/>
  <c r="H249" i="2" s="1"/>
  <c r="I249" i="2" s="1"/>
  <c r="I250" i="2" s="1"/>
  <c r="H206" i="2"/>
  <c r="H195" i="2" s="1"/>
  <c r="H196" i="2" s="1"/>
  <c r="H207" i="2" s="1"/>
  <c r="H208" i="2" s="1"/>
  <c r="H169" i="2"/>
  <c r="H158" i="2" s="1"/>
  <c r="H159" i="2" s="1"/>
  <c r="H170" i="2" s="1"/>
  <c r="H171" i="2" s="1"/>
  <c r="H568" i="2"/>
  <c r="H569" i="2" s="1"/>
  <c r="H565" i="2" s="1"/>
  <c r="H570" i="2" s="1"/>
  <c r="H600" i="2" s="1"/>
  <c r="H557" i="2"/>
  <c r="H558" i="2" s="1"/>
  <c r="H554" i="2" s="1"/>
  <c r="H559" i="2" s="1"/>
  <c r="H530" i="2"/>
  <c r="H531" i="2" s="1"/>
  <c r="H527" i="2" s="1"/>
  <c r="H532" i="2" s="1"/>
  <c r="H444" i="2"/>
  <c r="H427" i="2" s="1"/>
  <c r="H428" i="2" s="1"/>
  <c r="H474" i="2"/>
  <c r="H470" i="2" s="1"/>
  <c r="H471" i="2" s="1"/>
  <c r="H472" i="2" s="1"/>
  <c r="H478" i="2" s="1"/>
  <c r="H503" i="2" s="1"/>
  <c r="H984" i="2" s="1"/>
  <c r="H332" i="4" s="1"/>
  <c r="H315" i="2"/>
  <c r="H304" i="2" s="1"/>
  <c r="H305" i="2" s="1"/>
  <c r="H316" i="2" s="1"/>
  <c r="H317" i="2" s="1"/>
  <c r="H279" i="2"/>
  <c r="H268" i="2" s="1"/>
  <c r="H269" i="2" s="1"/>
  <c r="H242" i="2"/>
  <c r="H231" i="2" s="1"/>
  <c r="H232" i="2" s="1"/>
  <c r="H243" i="2" s="1"/>
  <c r="H224" i="2"/>
  <c r="H213" i="2" s="1"/>
  <c r="H214" i="2" s="1"/>
  <c r="H188" i="2"/>
  <c r="H177" i="2" s="1"/>
  <c r="H178" i="2" s="1"/>
  <c r="H189" i="2" s="1"/>
  <c r="H151" i="2"/>
  <c r="H140" i="2" s="1"/>
  <c r="H141" i="2" s="1"/>
  <c r="H152" i="2" s="1"/>
  <c r="H133" i="2"/>
  <c r="H122" i="2" s="1"/>
  <c r="H123" i="2" s="1"/>
  <c r="H134" i="2" s="1"/>
  <c r="H115" i="2"/>
  <c r="H104" i="2" s="1"/>
  <c r="H105" i="2" s="1"/>
  <c r="H116" i="2" s="1"/>
  <c r="H97" i="2"/>
  <c r="H86" i="2" s="1"/>
  <c r="I86" i="2" s="1"/>
  <c r="I87" i="2" s="1"/>
  <c r="I151" i="2"/>
  <c r="I206" i="2"/>
  <c r="I224" i="2"/>
  <c r="I297" i="2"/>
  <c r="I279" i="2"/>
  <c r="I474" i="2"/>
  <c r="I530" i="2"/>
  <c r="I531" i="2" s="1"/>
  <c r="I527" i="2" s="1"/>
  <c r="I532" i="2" s="1"/>
  <c r="I522" i="2"/>
  <c r="G527" i="2"/>
  <c r="G532" i="2" s="1"/>
  <c r="I549" i="2"/>
  <c r="I568" i="2"/>
  <c r="H422" i="2"/>
  <c r="H406" i="2" s="1"/>
  <c r="H380" i="2"/>
  <c r="H364" i="2" s="1"/>
  <c r="H401" i="2"/>
  <c r="H385" i="2" s="1"/>
  <c r="G134" i="4"/>
  <c r="AX281" i="4"/>
  <c r="D60" i="7"/>
  <c r="G451" i="2"/>
  <c r="G409" i="2"/>
  <c r="H409" i="2" s="1"/>
  <c r="I409" i="2" s="1"/>
  <c r="G407" i="2"/>
  <c r="H407" i="2" s="1"/>
  <c r="I407" i="2" s="1"/>
  <c r="G411" i="2"/>
  <c r="H411" i="2" s="1"/>
  <c r="I411" i="2" s="1"/>
  <c r="I739" i="2"/>
  <c r="I733" i="2"/>
  <c r="I767" i="2"/>
  <c r="I761" i="2"/>
  <c r="H782" i="2"/>
  <c r="H797" i="2"/>
  <c r="H789" i="2"/>
  <c r="J312" i="2"/>
  <c r="J239" i="2"/>
  <c r="J294" i="2"/>
  <c r="J352" i="2"/>
  <c r="J221" i="2"/>
  <c r="J185" i="2"/>
  <c r="J112" i="2"/>
  <c r="J257" i="2"/>
  <c r="J203" i="2"/>
  <c r="J166" i="2"/>
  <c r="J130" i="2"/>
  <c r="J148" i="2"/>
  <c r="J94" i="2"/>
  <c r="J276" i="2"/>
  <c r="J750" i="2"/>
  <c r="J399" i="2"/>
  <c r="J722" i="2"/>
  <c r="J378" i="2"/>
  <c r="J548" i="2"/>
  <c r="J529" i="2"/>
  <c r="J556" i="2"/>
  <c r="J692" i="2"/>
  <c r="J442" i="2"/>
  <c r="J537" i="2"/>
  <c r="J521" i="2"/>
  <c r="J567" i="2"/>
  <c r="I708" i="2"/>
  <c r="I789" i="2" s="1"/>
  <c r="I702" i="2"/>
  <c r="I782" i="2" s="1"/>
  <c r="K72" i="1"/>
  <c r="H804" i="2"/>
  <c r="E60" i="7"/>
  <c r="B133" i="4"/>
  <c r="O55" i="7"/>
  <c r="B132" i="4"/>
  <c r="B134" i="4" s="1"/>
  <c r="B128" i="1" s="1"/>
  <c r="B129" i="1" s="1"/>
  <c r="O56" i="7"/>
  <c r="D74" i="7"/>
  <c r="G58" i="4"/>
  <c r="G943" i="2"/>
  <c r="H912" i="2"/>
  <c r="I932" i="2"/>
  <c r="H922" i="2"/>
  <c r="H923" i="2" s="1"/>
  <c r="H904" i="2"/>
  <c r="I924" i="2"/>
  <c r="G921" i="2"/>
  <c r="G939" i="2" s="1"/>
  <c r="G934" i="2" s="1"/>
  <c r="I569" i="2"/>
  <c r="I565" i="2" s="1"/>
  <c r="I599" i="2" s="1"/>
  <c r="G433" i="2"/>
  <c r="H433" i="2" s="1"/>
  <c r="I433" i="2" s="1"/>
  <c r="G429" i="2"/>
  <c r="H429" i="2" s="1"/>
  <c r="I429" i="2" s="1"/>
  <c r="G343" i="2"/>
  <c r="I29" i="2"/>
  <c r="I37" i="2"/>
  <c r="G388" i="2"/>
  <c r="H388" i="2" s="1"/>
  <c r="I388" i="2" s="1"/>
  <c r="G386" i="2"/>
  <c r="H386" i="2" s="1"/>
  <c r="I386" i="2" s="1"/>
  <c r="G390" i="2"/>
  <c r="H390" i="2" s="1"/>
  <c r="I390" i="2" s="1"/>
  <c r="I28" i="2"/>
  <c r="I36" i="2"/>
  <c r="I25" i="2"/>
  <c r="I33" i="2"/>
  <c r="I26" i="2"/>
  <c r="I34" i="2"/>
  <c r="I27" i="2"/>
  <c r="I35" i="2"/>
  <c r="G341" i="2"/>
  <c r="G339" i="2"/>
  <c r="C359" i="2"/>
  <c r="C362" i="2"/>
  <c r="C360" i="2"/>
  <c r="C363" i="2"/>
  <c r="C361" i="2"/>
  <c r="G369" i="2"/>
  <c r="G365" i="2"/>
  <c r="G367" i="2"/>
  <c r="G502" i="2"/>
  <c r="G321" i="2"/>
  <c r="G6" i="4" s="1"/>
  <c r="G280" i="2"/>
  <c r="G281" i="2" s="1"/>
  <c r="G270" i="2" s="1"/>
  <c r="H298" i="2"/>
  <c r="H299" i="2" s="1"/>
  <c r="G290" i="2" s="1"/>
  <c r="G298" i="2"/>
  <c r="G299" i="2" s="1"/>
  <c r="H280" i="2"/>
  <c r="H281" i="2" s="1"/>
  <c r="G316" i="2"/>
  <c r="G317" i="2" s="1"/>
  <c r="G261" i="2"/>
  <c r="G262" i="2" s="1"/>
  <c r="G251" i="2" s="1"/>
  <c r="G189" i="2"/>
  <c r="G190" i="2" s="1"/>
  <c r="G207" i="2"/>
  <c r="G243" i="2"/>
  <c r="H225" i="2"/>
  <c r="H226" i="2" s="1"/>
  <c r="G225" i="2"/>
  <c r="G226" i="2" s="1"/>
  <c r="G215" i="2" s="1"/>
  <c r="G170" i="2"/>
  <c r="G171" i="2" s="1"/>
  <c r="G160" i="2" s="1"/>
  <c r="G134" i="2"/>
  <c r="G135" i="2" s="1"/>
  <c r="G152" i="2"/>
  <c r="G153" i="2" s="1"/>
  <c r="G116" i="2"/>
  <c r="G117" i="2" s="1"/>
  <c r="G98" i="2"/>
  <c r="O86" i="1"/>
  <c r="K48" i="1"/>
  <c r="J246" i="4"/>
  <c r="L49" i="1"/>
  <c r="L48" i="1"/>
  <c r="L50" i="1"/>
  <c r="L197" i="4"/>
  <c r="L288" i="4"/>
  <c r="L246" i="4"/>
  <c r="L47" i="1"/>
  <c r="M43" i="1"/>
  <c r="O79" i="1"/>
  <c r="N81" i="1"/>
  <c r="M87" i="1"/>
  <c r="L91" i="1"/>
  <c r="G116" i="10"/>
  <c r="G112" i="10"/>
  <c r="H111" i="10" s="1"/>
  <c r="G110" i="10"/>
  <c r="K49" i="1"/>
  <c r="L62" i="10"/>
  <c r="L57" i="10"/>
  <c r="AB61" i="1"/>
  <c r="Q61" i="1"/>
  <c r="AI61" i="1"/>
  <c r="AL61" i="1"/>
  <c r="W61" i="1"/>
  <c r="AH61" i="1"/>
  <c r="AQ61" i="1"/>
  <c r="AK61" i="1"/>
  <c r="Y61" i="1"/>
  <c r="T61" i="1"/>
  <c r="AG61" i="1"/>
  <c r="AA61" i="1"/>
  <c r="AU61" i="1"/>
  <c r="AV61" i="1"/>
  <c r="AJ61" i="1"/>
  <c r="P61" i="1"/>
  <c r="O61" i="1"/>
  <c r="AC61" i="1"/>
  <c r="AT61" i="1"/>
  <c r="X61" i="1"/>
  <c r="S61" i="1"/>
  <c r="M61" i="1"/>
  <c r="R61" i="1"/>
  <c r="U61" i="1"/>
  <c r="AR61" i="1"/>
  <c r="AN61" i="1"/>
  <c r="Z61" i="1"/>
  <c r="N61" i="1"/>
  <c r="V61" i="1"/>
  <c r="AM61" i="1"/>
  <c r="AF61" i="1"/>
  <c r="L61" i="1"/>
  <c r="AS61" i="1"/>
  <c r="AO61" i="1"/>
  <c r="AP61" i="1"/>
  <c r="AD61" i="1"/>
  <c r="AE61" i="1"/>
  <c r="B61" i="12"/>
  <c r="J53" i="12"/>
  <c r="G57" i="12"/>
  <c r="N57" i="12" s="1"/>
  <c r="B64" i="12"/>
  <c r="L56" i="12"/>
  <c r="J56" i="12"/>
  <c r="I93" i="10"/>
  <c r="I90" i="4" s="1"/>
  <c r="I850" i="2"/>
  <c r="G34" i="1"/>
  <c r="G55" i="2" s="1"/>
  <c r="H102" i="4"/>
  <c r="C259" i="4"/>
  <c r="C301" i="4"/>
  <c r="C290" i="4"/>
  <c r="C210" i="4"/>
  <c r="I45" i="1"/>
  <c r="H44" i="1"/>
  <c r="H45" i="1"/>
  <c r="I247" i="4"/>
  <c r="I289" i="4"/>
  <c r="K288" i="4"/>
  <c r="K246" i="4"/>
  <c r="K197" i="4"/>
  <c r="I198" i="4"/>
  <c r="I294" i="4"/>
  <c r="C199" i="4"/>
  <c r="C248" i="4"/>
  <c r="C309" i="4"/>
  <c r="C308" i="4"/>
  <c r="C307" i="4"/>
  <c r="C306" i="4"/>
  <c r="C267" i="4"/>
  <c r="C266" i="4"/>
  <c r="C265" i="4"/>
  <c r="C264" i="4"/>
  <c r="C218" i="4"/>
  <c r="C217" i="4"/>
  <c r="C216" i="4"/>
  <c r="C215" i="4"/>
  <c r="B18" i="1"/>
  <c r="I657" i="2"/>
  <c r="H146" i="1"/>
  <c r="H317" i="4" s="1"/>
  <c r="H633" i="2"/>
  <c r="C294" i="4"/>
  <c r="C293" i="4"/>
  <c r="I252" i="4"/>
  <c r="I203" i="4"/>
  <c r="C252" i="4"/>
  <c r="C251" i="4"/>
  <c r="C202" i="4"/>
  <c r="C203" i="4"/>
  <c r="I673" i="2"/>
  <c r="I140" i="1"/>
  <c r="I26" i="1"/>
  <c r="I27" i="1" s="1"/>
  <c r="I134" i="4"/>
  <c r="I65" i="10"/>
  <c r="I86" i="4" s="1"/>
  <c r="H29" i="1"/>
  <c r="H34" i="1" s="1"/>
  <c r="H55" i="2" s="1"/>
  <c r="H27" i="1"/>
  <c r="K61" i="1"/>
  <c r="H627" i="2"/>
  <c r="H82" i="4"/>
  <c r="I651" i="2"/>
  <c r="H123" i="1"/>
  <c r="I123" i="1" s="1"/>
  <c r="I111" i="4"/>
  <c r="J134" i="4"/>
  <c r="I621" i="2"/>
  <c r="I83" i="4"/>
  <c r="I113" i="4"/>
  <c r="G47" i="4"/>
  <c r="G225" i="4"/>
  <c r="I236" i="4"/>
  <c r="I187" i="4"/>
  <c r="I103" i="4"/>
  <c r="J2" i="1"/>
  <c r="J45" i="1" s="1"/>
  <c r="J2" i="2"/>
  <c r="J2" i="4"/>
  <c r="J2" i="10"/>
  <c r="J2" i="5"/>
  <c r="K25" i="1"/>
  <c r="L25" i="1" s="1"/>
  <c r="I108" i="4"/>
  <c r="I92" i="4"/>
  <c r="AX280" i="4"/>
  <c r="I633" i="2"/>
  <c r="I639" i="2"/>
  <c r="H134" i="4"/>
  <c r="H639" i="2"/>
  <c r="J850" i="2"/>
  <c r="K849" i="2"/>
  <c r="K848" i="2" s="1"/>
  <c r="I645" i="2"/>
  <c r="AX230" i="4"/>
  <c r="O74" i="7" s="1"/>
  <c r="K134" i="4"/>
  <c r="AX65" i="4"/>
  <c r="O60" i="7" s="1"/>
  <c r="C29" i="4"/>
  <c r="C24" i="7" s="1"/>
  <c r="C155" i="4"/>
  <c r="G499" i="2"/>
  <c r="C181" i="4"/>
  <c r="C53" i="4"/>
  <c r="C48" i="7" s="1"/>
  <c r="C241" i="4"/>
  <c r="C84" i="7" s="1"/>
  <c r="C88" i="4"/>
  <c r="C188" i="4"/>
  <c r="K54" i="1"/>
  <c r="J55" i="1"/>
  <c r="I102" i="4"/>
  <c r="G79" i="10"/>
  <c r="G86" i="10"/>
  <c r="H61" i="1"/>
  <c r="H59" i="1" s="1"/>
  <c r="H55" i="1"/>
  <c r="H53" i="1" s="1"/>
  <c r="I499" i="2"/>
  <c r="I61" i="1"/>
  <c r="H225" i="4"/>
  <c r="I120" i="1"/>
  <c r="H499" i="2"/>
  <c r="I858" i="2"/>
  <c r="J857" i="2"/>
  <c r="J856" i="2" s="1"/>
  <c r="I55" i="1"/>
  <c r="G491" i="2"/>
  <c r="H487" i="2"/>
  <c r="J75" i="10"/>
  <c r="H70" i="10"/>
  <c r="C282" i="4"/>
  <c r="C83" i="4"/>
  <c r="C6" i="4"/>
  <c r="C5" i="7" s="1"/>
  <c r="C56" i="4"/>
  <c r="C51" i="7" s="1"/>
  <c r="C238" i="4"/>
  <c r="C329" i="4"/>
  <c r="C55" i="4"/>
  <c r="C50" i="7" s="1"/>
  <c r="C331" i="4"/>
  <c r="C239" i="4"/>
  <c r="C82" i="7" s="1"/>
  <c r="C86" i="4"/>
  <c r="C280" i="4"/>
  <c r="C90" i="4"/>
  <c r="C98" i="4"/>
  <c r="C42" i="4"/>
  <c r="C37" i="7" s="1"/>
  <c r="C41" i="4"/>
  <c r="C36" i="7" s="1"/>
  <c r="C189" i="4"/>
  <c r="C326" i="4"/>
  <c r="C24" i="4"/>
  <c r="C44" i="4"/>
  <c r="C39" i="7" s="1"/>
  <c r="C49" i="4"/>
  <c r="C44" i="7" s="1"/>
  <c r="C116" i="4"/>
  <c r="C281" i="4"/>
  <c r="C14" i="4"/>
  <c r="C12" i="7" s="1"/>
  <c r="C30" i="4"/>
  <c r="C25" i="7" s="1"/>
  <c r="C133" i="4"/>
  <c r="C333" i="4"/>
  <c r="C92" i="4"/>
  <c r="C179" i="4"/>
  <c r="C228" i="4"/>
  <c r="C72" i="7" s="1"/>
  <c r="C43" i="4"/>
  <c r="C38" i="7" s="1"/>
  <c r="C101" i="4"/>
  <c r="C192" i="4"/>
  <c r="C22" i="4"/>
  <c r="C19" i="7" s="1"/>
  <c r="C26" i="4"/>
  <c r="C21" i="7" s="1"/>
  <c r="C80" i="4"/>
  <c r="C60" i="4"/>
  <c r="C55" i="7" s="1"/>
  <c r="C52" i="4"/>
  <c r="C47" i="7" s="1"/>
  <c r="C194" i="4"/>
  <c r="C103" i="4"/>
  <c r="C69" i="4"/>
  <c r="C64" i="7" s="1"/>
  <c r="C45" i="4"/>
  <c r="C40" i="7" s="1"/>
  <c r="C62" i="4"/>
  <c r="C57" i="7" s="1"/>
  <c r="C95" i="4"/>
  <c r="C243" i="4"/>
  <c r="C86" i="7" s="1"/>
  <c r="C47" i="4"/>
  <c r="C42" i="7" s="1"/>
  <c r="C81" i="4"/>
  <c r="C327" i="4"/>
  <c r="C348" i="4"/>
  <c r="C344" i="4"/>
  <c r="C328" i="4"/>
  <c r="C346" i="4"/>
  <c r="C7" i="4"/>
  <c r="C6" i="7" s="1"/>
  <c r="C15" i="4"/>
  <c r="C13" i="7" s="1"/>
  <c r="C323" i="4"/>
  <c r="C125" i="4"/>
  <c r="C106" i="4"/>
  <c r="C122" i="4"/>
  <c r="C51" i="4"/>
  <c r="C46" i="7" s="1"/>
  <c r="C180" i="4"/>
  <c r="C111" i="4"/>
  <c r="C227" i="4"/>
  <c r="C71" i="7" s="1"/>
  <c r="C108" i="4"/>
  <c r="C78" i="4"/>
  <c r="C183" i="4"/>
  <c r="C93" i="4"/>
  <c r="C54" i="4"/>
  <c r="C49" i="7" s="1"/>
  <c r="C190" i="4"/>
  <c r="C185" i="4"/>
  <c r="C322" i="4"/>
  <c r="C13" i="4"/>
  <c r="C330" i="4"/>
  <c r="C16" i="4"/>
  <c r="C25" i="4"/>
  <c r="C46" i="4"/>
  <c r="C41" i="7" s="1"/>
  <c r="C99" i="4"/>
  <c r="C63" i="4"/>
  <c r="C58" i="7" s="1"/>
  <c r="C87" i="4"/>
  <c r="C132" i="4"/>
  <c r="C127" i="4"/>
  <c r="C121" i="4"/>
  <c r="B115" i="1"/>
  <c r="C112" i="4"/>
  <c r="C337" i="4"/>
  <c r="C68" i="4"/>
  <c r="C63" i="7" s="1"/>
  <c r="C91" i="4"/>
  <c r="C277" i="4"/>
  <c r="C184" i="4"/>
  <c r="C79" i="4"/>
  <c r="C89" i="4"/>
  <c r="C276" i="4"/>
  <c r="C114" i="4"/>
  <c r="C325" i="4"/>
  <c r="C65" i="4"/>
  <c r="C60" i="7" s="1"/>
  <c r="C61" i="4"/>
  <c r="C56" i="7" s="1"/>
  <c r="C76" i="4"/>
  <c r="C234" i="4"/>
  <c r="C78" i="7" s="1"/>
  <c r="C100" i="4"/>
  <c r="C320" i="4"/>
  <c r="C332" i="4"/>
  <c r="C345" i="4"/>
  <c r="C334" i="4"/>
  <c r="C237" i="4"/>
  <c r="C81" i="7" s="1"/>
  <c r="C230" i="4"/>
  <c r="C74" i="7" s="1"/>
  <c r="C231" i="4"/>
  <c r="C75" i="7" s="1"/>
  <c r="C8" i="4"/>
  <c r="C7" i="7" s="1"/>
  <c r="C27" i="4"/>
  <c r="C22" i="7" s="1"/>
  <c r="C321" i="4"/>
  <c r="C19" i="4"/>
  <c r="C16" i="7" s="1"/>
  <c r="C11" i="4"/>
  <c r="C10" i="7" s="1"/>
  <c r="C33" i="4"/>
  <c r="C28" i="7" s="1"/>
  <c r="C20" i="4"/>
  <c r="C17" i="7" s="1"/>
  <c r="C32" i="4"/>
  <c r="C27" i="7" s="1"/>
  <c r="C279" i="4"/>
  <c r="C107" i="4"/>
  <c r="C229" i="4"/>
  <c r="C73" i="7" s="1"/>
  <c r="C104" i="4"/>
  <c r="C233" i="4"/>
  <c r="C77" i="7" s="1"/>
  <c r="C67" i="4"/>
  <c r="C62" i="7" s="1"/>
  <c r="C283" i="4"/>
  <c r="C182" i="4"/>
  <c r="C75" i="4"/>
  <c r="C84" i="4"/>
  <c r="C278" i="4"/>
  <c r="C109" i="4"/>
  <c r="C324" i="4"/>
  <c r="C126" i="4"/>
  <c r="C39" i="4"/>
  <c r="C34" i="7" s="1"/>
  <c r="C40" i="4"/>
  <c r="C35" i="7" s="1"/>
  <c r="C335" i="4"/>
  <c r="C77" i="4"/>
  <c r="C97" i="4"/>
  <c r="C285" i="4"/>
  <c r="C232" i="4"/>
  <c r="C76" i="7" s="1"/>
  <c r="C102" i="4"/>
  <c r="C113" i="4"/>
  <c r="C58" i="4"/>
  <c r="C53" i="7" s="1"/>
  <c r="C82" i="4"/>
  <c r="C240" i="4"/>
  <c r="C83" i="7" s="1"/>
  <c r="C236" i="4"/>
  <c r="C80" i="7" s="1"/>
  <c r="C340" i="4"/>
  <c r="C187" i="4"/>
  <c r="C341" i="4"/>
  <c r="C191" i="4"/>
  <c r="C336" i="4"/>
  <c r="C17" i="4"/>
  <c r="C14" i="7" s="1"/>
  <c r="C342" i="4"/>
  <c r="C9" i="4"/>
  <c r="C8" i="7" s="1"/>
  <c r="C28" i="4"/>
  <c r="C23" i="7" s="1"/>
  <c r="C21" i="4"/>
  <c r="C18" i="7" s="1"/>
  <c r="C10" i="4"/>
  <c r="C9" i="7" s="1"/>
  <c r="G476" i="2" l="1"/>
  <c r="G559" i="2"/>
  <c r="G587" i="2" s="1"/>
  <c r="H153" i="2"/>
  <c r="G144" i="2" s="1"/>
  <c r="G154" i="2" s="1"/>
  <c r="H477" i="2"/>
  <c r="H476" i="2" s="1"/>
  <c r="H500" i="2" s="1"/>
  <c r="G588" i="2"/>
  <c r="H588" i="2" s="1"/>
  <c r="I588" i="2" s="1"/>
  <c r="I158" i="2"/>
  <c r="I159" i="2" s="1"/>
  <c r="I170" i="2" s="1"/>
  <c r="I171" i="2" s="1"/>
  <c r="H250" i="2"/>
  <c r="H261" i="2" s="1"/>
  <c r="I268" i="2"/>
  <c r="I269" i="2" s="1"/>
  <c r="I280" i="2" s="1"/>
  <c r="I281" i="2" s="1"/>
  <c r="I470" i="2"/>
  <c r="I471" i="2" s="1"/>
  <c r="I472" i="2" s="1"/>
  <c r="I478" i="2" s="1"/>
  <c r="I503" i="2" s="1"/>
  <c r="H599" i="2"/>
  <c r="G608" i="2" s="1"/>
  <c r="G574" i="2"/>
  <c r="I558" i="2"/>
  <c r="I554" i="2" s="1"/>
  <c r="I559" i="2" s="1"/>
  <c r="G573" i="2"/>
  <c r="G575" i="2" s="1"/>
  <c r="H573" i="2"/>
  <c r="H586" i="2"/>
  <c r="I539" i="2"/>
  <c r="I535" i="2" s="1"/>
  <c r="I540" i="2" s="1"/>
  <c r="I231" i="2"/>
  <c r="I232" i="2" s="1"/>
  <c r="I243" i="2" s="1"/>
  <c r="I244" i="2" s="1"/>
  <c r="I140" i="2"/>
  <c r="I141" i="2" s="1"/>
  <c r="I152" i="2" s="1"/>
  <c r="I153" i="2" s="1"/>
  <c r="I104" i="2"/>
  <c r="I105" i="2" s="1"/>
  <c r="I116" i="2" s="1"/>
  <c r="I117" i="2" s="1"/>
  <c r="I195" i="2"/>
  <c r="I196" i="2" s="1"/>
  <c r="I207" i="2" s="1"/>
  <c r="I208" i="2" s="1"/>
  <c r="I213" i="2"/>
  <c r="I214" i="2" s="1"/>
  <c r="I225" i="2" s="1"/>
  <c r="I226" i="2" s="1"/>
  <c r="I550" i="2"/>
  <c r="I546" i="2" s="1"/>
  <c r="I551" i="2" s="1"/>
  <c r="I587" i="2" s="1"/>
  <c r="I523" i="2"/>
  <c r="I519" i="2" s="1"/>
  <c r="I286" i="2"/>
  <c r="I287" i="2" s="1"/>
  <c r="I298" i="2" s="1"/>
  <c r="I299" i="2" s="1"/>
  <c r="H451" i="2"/>
  <c r="H87" i="2"/>
  <c r="I122" i="2"/>
  <c r="I123" i="2" s="1"/>
  <c r="I134" i="2" s="1"/>
  <c r="I135" i="2" s="1"/>
  <c r="I304" i="2"/>
  <c r="I305" i="2" s="1"/>
  <c r="I316" i="2" s="1"/>
  <c r="I317" i="2" s="1"/>
  <c r="I177" i="2"/>
  <c r="I178" i="2" s="1"/>
  <c r="I189" i="2" s="1"/>
  <c r="I190" i="2" s="1"/>
  <c r="I337" i="2"/>
  <c r="I427" i="2"/>
  <c r="I428" i="2" s="1"/>
  <c r="I435" i="2" s="1"/>
  <c r="I445" i="2" s="1"/>
  <c r="I446" i="2" s="1"/>
  <c r="H574" i="2"/>
  <c r="G582" i="2" s="1"/>
  <c r="H582" i="2" s="1"/>
  <c r="I582" i="2" s="1"/>
  <c r="J582" i="2" s="1"/>
  <c r="H587" i="2"/>
  <c r="H585" i="2" s="1"/>
  <c r="I401" i="2"/>
  <c r="I385" i="2" s="1"/>
  <c r="I392" i="2" s="1"/>
  <c r="H744" i="2"/>
  <c r="H755" i="2" s="1"/>
  <c r="H762" i="2" s="1"/>
  <c r="H716" i="2"/>
  <c r="H727" i="2" s="1"/>
  <c r="H734" i="2" s="1"/>
  <c r="G716" i="2"/>
  <c r="G744" i="2"/>
  <c r="H689" i="2"/>
  <c r="H697" i="2" s="1"/>
  <c r="H703" i="2" s="1"/>
  <c r="H783" i="2" s="1"/>
  <c r="G689" i="2"/>
  <c r="I744" i="2"/>
  <c r="I755" i="2" s="1"/>
  <c r="I762" i="2" s="1"/>
  <c r="I689" i="2"/>
  <c r="I697" i="2" s="1"/>
  <c r="I703" i="2" s="1"/>
  <c r="I783" i="2" s="1"/>
  <c r="I716" i="2"/>
  <c r="I727" i="2" s="1"/>
  <c r="I734" i="2" s="1"/>
  <c r="I798" i="2" s="1"/>
  <c r="I380" i="2"/>
  <c r="I364" i="2" s="1"/>
  <c r="G599" i="2"/>
  <c r="G570" i="2"/>
  <c r="G600" i="2" s="1"/>
  <c r="I422" i="2"/>
  <c r="I406" i="2" s="1"/>
  <c r="I413" i="2" s="1"/>
  <c r="I423" i="2" s="1"/>
  <c r="I424" i="2" s="1"/>
  <c r="G456" i="2"/>
  <c r="G457" i="2"/>
  <c r="G455" i="2"/>
  <c r="G631" i="2" s="1"/>
  <c r="G629" i="2" s="1"/>
  <c r="G80" i="4" s="1"/>
  <c r="H413" i="2"/>
  <c r="H423" i="2" s="1"/>
  <c r="H424" i="2" s="1"/>
  <c r="J405" i="2"/>
  <c r="J411" i="2"/>
  <c r="J409" i="2"/>
  <c r="J407" i="2"/>
  <c r="G413" i="2"/>
  <c r="J739" i="2"/>
  <c r="J733" i="2"/>
  <c r="H776" i="2"/>
  <c r="H818" i="2"/>
  <c r="I776" i="2"/>
  <c r="I797" i="2"/>
  <c r="I790" i="2" s="1"/>
  <c r="I53" i="4" s="1"/>
  <c r="L72" i="1"/>
  <c r="K294" i="2"/>
  <c r="K352" i="2"/>
  <c r="K257" i="2"/>
  <c r="K185" i="2"/>
  <c r="K112" i="2"/>
  <c r="K94" i="2"/>
  <c r="K203" i="2"/>
  <c r="K239" i="2"/>
  <c r="K166" i="2"/>
  <c r="K276" i="2"/>
  <c r="K312" i="2"/>
  <c r="K148" i="2"/>
  <c r="K221" i="2"/>
  <c r="K130" i="2"/>
  <c r="K722" i="2"/>
  <c r="K537" i="2"/>
  <c r="K521" i="2"/>
  <c r="K548" i="2"/>
  <c r="K567" i="2"/>
  <c r="K556" i="2"/>
  <c r="K692" i="2"/>
  <c r="K399" i="2"/>
  <c r="K378" i="2"/>
  <c r="K529" i="2"/>
  <c r="K442" i="2"/>
  <c r="K750" i="2"/>
  <c r="J767" i="2"/>
  <c r="J761" i="2"/>
  <c r="H790" i="2"/>
  <c r="I804" i="2"/>
  <c r="I56" i="4" s="1"/>
  <c r="J708" i="2"/>
  <c r="J702" i="2"/>
  <c r="H962" i="2"/>
  <c r="H56" i="4"/>
  <c r="G182" i="4"/>
  <c r="G229" i="4"/>
  <c r="G279" i="4"/>
  <c r="H937" i="2"/>
  <c r="I903" i="2"/>
  <c r="I904" i="2" s="1"/>
  <c r="H938" i="2"/>
  <c r="H913" i="2"/>
  <c r="H944" i="2"/>
  <c r="H902" i="2"/>
  <c r="H921" i="2"/>
  <c r="I922" i="2"/>
  <c r="J905" i="2"/>
  <c r="J924" i="2"/>
  <c r="J931" i="2"/>
  <c r="J932" i="2" s="1"/>
  <c r="H598" i="2"/>
  <c r="G592" i="2"/>
  <c r="G14" i="4" s="1"/>
  <c r="J568" i="2"/>
  <c r="J569" i="2" s="1"/>
  <c r="I570" i="2"/>
  <c r="I600" i="2" s="1"/>
  <c r="G593" i="2"/>
  <c r="H593" i="2" s="1"/>
  <c r="I593" i="2" s="1"/>
  <c r="G585" i="2"/>
  <c r="J557" i="2"/>
  <c r="J549" i="2"/>
  <c r="G435" i="2"/>
  <c r="G445" i="2" s="1"/>
  <c r="G446" i="2" s="1"/>
  <c r="G577" i="2"/>
  <c r="H577" i="2" s="1"/>
  <c r="I577" i="2" s="1"/>
  <c r="J577" i="2" s="1"/>
  <c r="J538" i="2"/>
  <c r="J530" i="2"/>
  <c r="J531" i="2" s="1"/>
  <c r="J527" i="2" s="1"/>
  <c r="J522" i="2"/>
  <c r="H435" i="2"/>
  <c r="H445" i="2" s="1"/>
  <c r="H446" i="2" s="1"/>
  <c r="G438" i="2" s="1"/>
  <c r="H438" i="2" s="1"/>
  <c r="I438" i="2" s="1"/>
  <c r="J438" i="2" s="1"/>
  <c r="H343" i="2"/>
  <c r="J444" i="2"/>
  <c r="J431" i="2"/>
  <c r="J433" i="2"/>
  <c r="J429" i="2"/>
  <c r="J426" i="2"/>
  <c r="H341" i="2"/>
  <c r="J390" i="2"/>
  <c r="J388" i="2"/>
  <c r="J386" i="2"/>
  <c r="J17" i="2"/>
  <c r="J20" i="2"/>
  <c r="J18" i="2"/>
  <c r="J21" i="2"/>
  <c r="J19" i="2"/>
  <c r="I38" i="2"/>
  <c r="I336" i="2" s="1"/>
  <c r="G392" i="2"/>
  <c r="H392" i="2"/>
  <c r="I30" i="2"/>
  <c r="G345" i="2"/>
  <c r="G355" i="2" s="1"/>
  <c r="H339" i="2"/>
  <c r="J354" i="2"/>
  <c r="H506" i="2"/>
  <c r="H985" i="2" s="1"/>
  <c r="H367" i="2"/>
  <c r="H365" i="2"/>
  <c r="H369" i="2"/>
  <c r="G371" i="2"/>
  <c r="G500" i="2"/>
  <c r="G481" i="2"/>
  <c r="G479" i="2"/>
  <c r="G504" i="2"/>
  <c r="I477" i="2"/>
  <c r="H502" i="2"/>
  <c r="H504" i="2" s="1"/>
  <c r="H661" i="2" s="1"/>
  <c r="H659" i="2" s="1"/>
  <c r="H100" i="4" s="1"/>
  <c r="G503" i="2"/>
  <c r="J744" i="2"/>
  <c r="J474" i="2"/>
  <c r="J501" i="2"/>
  <c r="J689" i="2"/>
  <c r="J698" i="2" s="1"/>
  <c r="J778" i="2" s="1"/>
  <c r="J716" i="2"/>
  <c r="H270" i="2"/>
  <c r="H160" i="2"/>
  <c r="H215" i="2"/>
  <c r="G308" i="2"/>
  <c r="G318" i="2" s="1"/>
  <c r="G272" i="2"/>
  <c r="G274" i="2" s="1"/>
  <c r="G327" i="2"/>
  <c r="G300" i="2"/>
  <c r="H290" i="2"/>
  <c r="J315" i="2"/>
  <c r="J302" i="2"/>
  <c r="J297" i="2"/>
  <c r="J266" i="2"/>
  <c r="J284" i="2"/>
  <c r="J279" i="2"/>
  <c r="G288" i="2"/>
  <c r="H288" i="2" s="1"/>
  <c r="G306" i="2"/>
  <c r="H306" i="2" s="1"/>
  <c r="H244" i="2"/>
  <c r="G235" i="2" s="1"/>
  <c r="G199" i="2"/>
  <c r="H190" i="2"/>
  <c r="G181" i="2" s="1"/>
  <c r="G208" i="2"/>
  <c r="G217" i="2"/>
  <c r="G244" i="2"/>
  <c r="G179" i="2"/>
  <c r="J260" i="2"/>
  <c r="J249" i="2" s="1"/>
  <c r="J247" i="2"/>
  <c r="J242" i="2"/>
  <c r="J224" i="2"/>
  <c r="J188" i="2"/>
  <c r="J229" i="2"/>
  <c r="J211" i="2"/>
  <c r="J206" i="2"/>
  <c r="J193" i="2"/>
  <c r="J175" i="2"/>
  <c r="I261" i="2"/>
  <c r="I262" i="2" s="1"/>
  <c r="G99" i="2"/>
  <c r="H117" i="2"/>
  <c r="G108" i="2" s="1"/>
  <c r="G124" i="2"/>
  <c r="G142" i="2"/>
  <c r="H135" i="2"/>
  <c r="G126" i="2" s="1"/>
  <c r="G162" i="2"/>
  <c r="J169" i="2"/>
  <c r="J156" i="2"/>
  <c r="J115" i="2"/>
  <c r="J151" i="2"/>
  <c r="J138" i="2"/>
  <c r="J120" i="2"/>
  <c r="J102" i="2"/>
  <c r="J133" i="2"/>
  <c r="G106" i="2"/>
  <c r="H144" i="2"/>
  <c r="G146" i="4"/>
  <c r="G141" i="4"/>
  <c r="I98" i="2"/>
  <c r="J97" i="2"/>
  <c r="J86" i="2" s="1"/>
  <c r="J84" i="2"/>
  <c r="N87" i="1"/>
  <c r="M91" i="1"/>
  <c r="G120" i="10"/>
  <c r="H107" i="10"/>
  <c r="H118" i="10" s="1"/>
  <c r="M288" i="4"/>
  <c r="M197" i="4"/>
  <c r="M50" i="1"/>
  <c r="M246" i="4"/>
  <c r="M47" i="1"/>
  <c r="N43" i="1"/>
  <c r="M48" i="1"/>
  <c r="M49" i="1"/>
  <c r="L2" i="1"/>
  <c r="L45" i="1" s="1"/>
  <c r="L2" i="2"/>
  <c r="L2" i="5"/>
  <c r="L2" i="10"/>
  <c r="L2" i="4"/>
  <c r="M25" i="1"/>
  <c r="P79" i="1"/>
  <c r="O81" i="1"/>
  <c r="H116" i="10"/>
  <c r="H112" i="10"/>
  <c r="I111" i="10" s="1"/>
  <c r="J12" i="2"/>
  <c r="J121" i="2" s="1"/>
  <c r="J14" i="2"/>
  <c r="J139" i="2" s="1"/>
  <c r="J13" i="2"/>
  <c r="J157" i="2" s="1"/>
  <c r="G117" i="10"/>
  <c r="G21" i="4"/>
  <c r="P86" i="1"/>
  <c r="H4" i="2"/>
  <c r="H42" i="2"/>
  <c r="G4" i="2"/>
  <c r="G42" i="2"/>
  <c r="K850" i="2"/>
  <c r="L849" i="2"/>
  <c r="L848" i="2" s="1"/>
  <c r="K55" i="1"/>
  <c r="L54" i="1"/>
  <c r="J97" i="10"/>
  <c r="J82" i="4" s="1"/>
  <c r="M62" i="10"/>
  <c r="M57" i="10"/>
  <c r="B176" i="4"/>
  <c r="AV130" i="1"/>
  <c r="AV177" i="4" s="1"/>
  <c r="AU130" i="1"/>
  <c r="AU177" i="4" s="1"/>
  <c r="AT130" i="1"/>
  <c r="AT177" i="4" s="1"/>
  <c r="AS130" i="1"/>
  <c r="AS177" i="4" s="1"/>
  <c r="AR130" i="1"/>
  <c r="AR177" i="4" s="1"/>
  <c r="AQ130" i="1"/>
  <c r="AQ177" i="4" s="1"/>
  <c r="AM130" i="1"/>
  <c r="AM177" i="4" s="1"/>
  <c r="AF130" i="1"/>
  <c r="AF177" i="4" s="1"/>
  <c r="AI130" i="1"/>
  <c r="AI177" i="4" s="1"/>
  <c r="AN130" i="1"/>
  <c r="AN177" i="4" s="1"/>
  <c r="R130" i="1"/>
  <c r="R177" i="4" s="1"/>
  <c r="N130" i="1"/>
  <c r="N177" i="4" s="1"/>
  <c r="AK130" i="1"/>
  <c r="AK177" i="4" s="1"/>
  <c r="Y130" i="1"/>
  <c r="Y177" i="4" s="1"/>
  <c r="X130" i="1"/>
  <c r="X177" i="4" s="1"/>
  <c r="V130" i="1"/>
  <c r="V177" i="4" s="1"/>
  <c r="P130" i="1"/>
  <c r="P177" i="4" s="1"/>
  <c r="M130" i="1"/>
  <c r="M177" i="4" s="1"/>
  <c r="AP130" i="1"/>
  <c r="AP177" i="4" s="1"/>
  <c r="AL130" i="1"/>
  <c r="AL177" i="4" s="1"/>
  <c r="AH130" i="1"/>
  <c r="AH177" i="4" s="1"/>
  <c r="AD130" i="1"/>
  <c r="AD177" i="4" s="1"/>
  <c r="AC130" i="1"/>
  <c r="AC177" i="4" s="1"/>
  <c r="AA130" i="1"/>
  <c r="AA177" i="4" s="1"/>
  <c r="W130" i="1"/>
  <c r="W177" i="4" s="1"/>
  <c r="T130" i="1"/>
  <c r="T177" i="4" s="1"/>
  <c r="S130" i="1"/>
  <c r="S177" i="4" s="1"/>
  <c r="O130" i="1"/>
  <c r="O177" i="4" s="1"/>
  <c r="AO130" i="1"/>
  <c r="AO177" i="4" s="1"/>
  <c r="AJ130" i="1"/>
  <c r="AJ177" i="4" s="1"/>
  <c r="AE130" i="1"/>
  <c r="AE177" i="4" s="1"/>
  <c r="AB130" i="1"/>
  <c r="AB177" i="4" s="1"/>
  <c r="Z130" i="1"/>
  <c r="Z177" i="4" s="1"/>
  <c r="U130" i="1"/>
  <c r="U177" i="4" s="1"/>
  <c r="Q130" i="1"/>
  <c r="Q177" i="4" s="1"/>
  <c r="L130" i="1"/>
  <c r="L177" i="4" s="1"/>
  <c r="AG130" i="1"/>
  <c r="AG177" i="4" s="1"/>
  <c r="G64" i="12"/>
  <c r="N64" i="12" s="1"/>
  <c r="D61" i="12"/>
  <c r="I57" i="12"/>
  <c r="I44" i="1"/>
  <c r="G174" i="4"/>
  <c r="G682" i="2"/>
  <c r="G138" i="4"/>
  <c r="G332" i="2"/>
  <c r="G862" i="2"/>
  <c r="G1" i="4"/>
  <c r="G37" i="4"/>
  <c r="G1" i="5"/>
  <c r="G102" i="10"/>
  <c r="G313" i="4"/>
  <c r="G14" i="1"/>
  <c r="G271" i="4"/>
  <c r="G891" i="2"/>
  <c r="G880" i="2"/>
  <c r="G119" i="4"/>
  <c r="G615" i="2"/>
  <c r="G73" i="4"/>
  <c r="G1" i="2"/>
  <c r="G4" i="5"/>
  <c r="G464" i="2"/>
  <c r="G55" i="10"/>
  <c r="G68" i="1"/>
  <c r="G4" i="4"/>
  <c r="G841" i="2"/>
  <c r="G222" i="4"/>
  <c r="G38" i="1"/>
  <c r="G90" i="10"/>
  <c r="G952" i="2"/>
  <c r="G113" i="1"/>
  <c r="G80" i="2"/>
  <c r="G826" i="2"/>
  <c r="G513" i="2"/>
  <c r="G1" i="10"/>
  <c r="G1" i="1"/>
  <c r="I28" i="1"/>
  <c r="I146" i="1"/>
  <c r="I317" i="4" s="1"/>
  <c r="J289" i="4"/>
  <c r="J198" i="4"/>
  <c r="J638" i="2"/>
  <c r="J639" i="2" s="1"/>
  <c r="J247" i="4"/>
  <c r="J656" i="2"/>
  <c r="J657" i="2" s="1"/>
  <c r="J650" i="2"/>
  <c r="J651" i="2" s="1"/>
  <c r="J644" i="2"/>
  <c r="J645" i="2" s="1"/>
  <c r="J632" i="2"/>
  <c r="J626" i="2"/>
  <c r="J662" i="2"/>
  <c r="J663" i="2" s="1"/>
  <c r="J667" i="2"/>
  <c r="J668" i="2" s="1"/>
  <c r="J495" i="2"/>
  <c r="J294" i="4"/>
  <c r="I627" i="2"/>
  <c r="J489" i="2"/>
  <c r="H38" i="1"/>
  <c r="J203" i="4"/>
  <c r="J252" i="4"/>
  <c r="I29" i="1"/>
  <c r="J26" i="1"/>
  <c r="J29" i="1" s="1"/>
  <c r="J140" i="1"/>
  <c r="H47" i="4"/>
  <c r="D42" i="7" s="1"/>
  <c r="J93" i="10"/>
  <c r="J90" i="4" s="1"/>
  <c r="I275" i="4"/>
  <c r="J123" i="1"/>
  <c r="J275" i="4" s="1"/>
  <c r="H275" i="4"/>
  <c r="J65" i="10"/>
  <c r="J86" i="4" s="1"/>
  <c r="J124" i="10"/>
  <c r="J92" i="4"/>
  <c r="J125" i="10"/>
  <c r="J102" i="4" s="1"/>
  <c r="J108" i="4"/>
  <c r="K2" i="5"/>
  <c r="K2" i="2"/>
  <c r="K2" i="10"/>
  <c r="K2" i="4"/>
  <c r="K2" i="1"/>
  <c r="J672" i="2"/>
  <c r="J590" i="2"/>
  <c r="J497" i="2"/>
  <c r="J113" i="4"/>
  <c r="J187" i="4"/>
  <c r="J236" i="4"/>
  <c r="J103" i="4"/>
  <c r="J883" i="2"/>
  <c r="J83" i="4"/>
  <c r="J111" i="4"/>
  <c r="H102" i="10"/>
  <c r="H513" i="2"/>
  <c r="H891" i="2"/>
  <c r="H615" i="2"/>
  <c r="H952" i="2"/>
  <c r="H880" i="2"/>
  <c r="H1" i="1"/>
  <c r="H1" i="4"/>
  <c r="H464" i="2"/>
  <c r="H1" i="10"/>
  <c r="H862" i="2"/>
  <c r="H313" i="4"/>
  <c r="H90" i="10"/>
  <c r="H37" i="4"/>
  <c r="H119" i="4"/>
  <c r="H55" i="10"/>
  <c r="H4" i="4"/>
  <c r="H68" i="1"/>
  <c r="H682" i="2"/>
  <c r="H14" i="1"/>
  <c r="H138" i="4"/>
  <c r="H1" i="2"/>
  <c r="H332" i="2"/>
  <c r="H222" i="4"/>
  <c r="H826" i="2"/>
  <c r="H113" i="1"/>
  <c r="H271" i="4"/>
  <c r="H80" i="2"/>
  <c r="H841" i="2"/>
  <c r="H4" i="5"/>
  <c r="H1" i="5"/>
  <c r="H73" i="4"/>
  <c r="H174" i="4"/>
  <c r="I130" i="1"/>
  <c r="I177" i="4" s="1"/>
  <c r="K130" i="1"/>
  <c r="K177" i="4" s="1"/>
  <c r="J130" i="1"/>
  <c r="J177" i="4" s="1"/>
  <c r="H130" i="1"/>
  <c r="H177" i="4" s="1"/>
  <c r="G130" i="1"/>
  <c r="K75" i="10"/>
  <c r="L75" i="10" s="1"/>
  <c r="M75" i="10" s="1"/>
  <c r="N75" i="10" s="1"/>
  <c r="O75" i="10" s="1"/>
  <c r="P75" i="10" s="1"/>
  <c r="Q75" i="10" s="1"/>
  <c r="R75" i="10" s="1"/>
  <c r="S75" i="10" s="1"/>
  <c r="T75" i="10" s="1"/>
  <c r="U75" i="10" s="1"/>
  <c r="V75" i="10" s="1"/>
  <c r="W75" i="10" s="1"/>
  <c r="X75" i="10" s="1"/>
  <c r="Y75" i="10" s="1"/>
  <c r="Z75" i="10" s="1"/>
  <c r="AA75" i="10" s="1"/>
  <c r="AB75" i="10" s="1"/>
  <c r="AC75" i="10" s="1"/>
  <c r="AD75" i="10" s="1"/>
  <c r="AE75" i="10" s="1"/>
  <c r="AF75" i="10" s="1"/>
  <c r="AG75" i="10" s="1"/>
  <c r="AH75" i="10" s="1"/>
  <c r="AI75" i="10" s="1"/>
  <c r="AJ75" i="10" s="1"/>
  <c r="AK75" i="10" s="1"/>
  <c r="AL75" i="10" s="1"/>
  <c r="AM75" i="10" s="1"/>
  <c r="AN75" i="10" s="1"/>
  <c r="AO75" i="10" s="1"/>
  <c r="AP75" i="10" s="1"/>
  <c r="AQ75" i="10" s="1"/>
  <c r="AR75" i="10" s="1"/>
  <c r="AS75" i="10" s="1"/>
  <c r="AT75" i="10" s="1"/>
  <c r="AU75" i="10" s="1"/>
  <c r="AV75" i="10" s="1"/>
  <c r="G13" i="4"/>
  <c r="I53" i="1"/>
  <c r="J53" i="1" s="1"/>
  <c r="I59" i="1"/>
  <c r="J59" i="1" s="1"/>
  <c r="G89" i="4"/>
  <c r="H84" i="10"/>
  <c r="H71" i="10"/>
  <c r="H72" i="10" s="1"/>
  <c r="J858" i="2"/>
  <c r="K857" i="2"/>
  <c r="K856" i="2" s="1"/>
  <c r="I226" i="4"/>
  <c r="J120" i="1"/>
  <c r="H491" i="2"/>
  <c r="H13" i="4" s="1"/>
  <c r="I487" i="2"/>
  <c r="H77" i="10"/>
  <c r="J158" i="2" l="1"/>
  <c r="G595" i="2"/>
  <c r="H595" i="2" s="1"/>
  <c r="I595" i="2" s="1"/>
  <c r="J595" i="2" s="1"/>
  <c r="J122" i="2"/>
  <c r="J123" i="2" s="1"/>
  <c r="G572" i="2"/>
  <c r="H142" i="2"/>
  <c r="J177" i="2"/>
  <c r="J178" i="2" s="1"/>
  <c r="J231" i="2"/>
  <c r="J232" i="2" s="1"/>
  <c r="H262" i="2"/>
  <c r="G253" i="2" s="1"/>
  <c r="G263" i="2" s="1"/>
  <c r="I215" i="2"/>
  <c r="J470" i="2"/>
  <c r="J427" i="2"/>
  <c r="G580" i="2"/>
  <c r="G584" i="2" s="1"/>
  <c r="G965" i="2"/>
  <c r="H321" i="2"/>
  <c r="H6" i="4" s="1"/>
  <c r="D5" i="7" s="1"/>
  <c r="H572" i="2"/>
  <c r="J268" i="2"/>
  <c r="J269" i="2" s="1"/>
  <c r="J558" i="2"/>
  <c r="J195" i="2"/>
  <c r="I288" i="2"/>
  <c r="J286" i="2"/>
  <c r="J287" i="2" s="1"/>
  <c r="J304" i="2"/>
  <c r="J305" i="2" s="1"/>
  <c r="J380" i="2"/>
  <c r="K380" i="2" s="1"/>
  <c r="L380" i="2" s="1"/>
  <c r="I338" i="2"/>
  <c r="I451" i="2" s="1"/>
  <c r="J539" i="2"/>
  <c r="J550" i="2"/>
  <c r="J546" i="2" s="1"/>
  <c r="I586" i="2"/>
  <c r="I592" i="2" s="1"/>
  <c r="I14" i="4" s="1"/>
  <c r="I573" i="2"/>
  <c r="I321" i="2"/>
  <c r="I6" i="4" s="1"/>
  <c r="I146" i="4" s="1"/>
  <c r="J104" i="2"/>
  <c r="J105" i="2" s="1"/>
  <c r="J213" i="2"/>
  <c r="I524" i="2"/>
  <c r="I574" i="2" s="1"/>
  <c r="I965" i="2" s="1"/>
  <c r="J523" i="2"/>
  <c r="J519" i="2" s="1"/>
  <c r="H965" i="2"/>
  <c r="J140" i="2"/>
  <c r="J141" i="2" s="1"/>
  <c r="H98" i="2"/>
  <c r="H99" i="2" s="1"/>
  <c r="J758" i="2"/>
  <c r="J337" i="2"/>
  <c r="J401" i="2"/>
  <c r="I970" i="2"/>
  <c r="J422" i="2"/>
  <c r="J406" i="2" s="1"/>
  <c r="H798" i="2"/>
  <c r="H970" i="2" s="1"/>
  <c r="G603" i="2"/>
  <c r="H603" i="2" s="1"/>
  <c r="I603" i="2" s="1"/>
  <c r="J603" i="2" s="1"/>
  <c r="K603" i="2" s="1"/>
  <c r="L603" i="2" s="1"/>
  <c r="G606" i="2"/>
  <c r="H606" i="2" s="1"/>
  <c r="I606" i="2" s="1"/>
  <c r="J606" i="2" s="1"/>
  <c r="G601" i="2"/>
  <c r="H601" i="2" s="1"/>
  <c r="G699" i="2"/>
  <c r="G779" i="2" s="1"/>
  <c r="G697" i="2"/>
  <c r="G698" i="2"/>
  <c r="H698" i="2"/>
  <c r="H778" i="2" s="1"/>
  <c r="H699" i="2"/>
  <c r="H779" i="2" s="1"/>
  <c r="I699" i="2"/>
  <c r="I779" i="2" s="1"/>
  <c r="I698" i="2"/>
  <c r="G755" i="2"/>
  <c r="G757" i="2"/>
  <c r="H757" i="2"/>
  <c r="G758" i="2"/>
  <c r="H758" i="2"/>
  <c r="I758" i="2"/>
  <c r="I757" i="2"/>
  <c r="G598" i="2"/>
  <c r="G727" i="2"/>
  <c r="H730" i="2"/>
  <c r="H729" i="2"/>
  <c r="G729" i="2"/>
  <c r="G730" i="2"/>
  <c r="I730" i="2"/>
  <c r="I794" i="2" s="1"/>
  <c r="I729" i="2"/>
  <c r="I793" i="2" s="1"/>
  <c r="H21" i="4"/>
  <c r="D18" i="7" s="1"/>
  <c r="I343" i="2"/>
  <c r="J343" i="2" s="1"/>
  <c r="H456" i="2"/>
  <c r="H455" i="2"/>
  <c r="H631" i="2" s="1"/>
  <c r="H629" i="2" s="1"/>
  <c r="H80" i="4" s="1"/>
  <c r="H457" i="2"/>
  <c r="G423" i="2"/>
  <c r="G424" i="2" s="1"/>
  <c r="G416" i="2"/>
  <c r="H416" i="2" s="1"/>
  <c r="I416" i="2" s="1"/>
  <c r="J416" i="2" s="1"/>
  <c r="K416" i="2" s="1"/>
  <c r="L416" i="2" s="1"/>
  <c r="K411" i="2"/>
  <c r="L411" i="2" s="1"/>
  <c r="K409" i="2"/>
  <c r="L409" i="2" s="1"/>
  <c r="K407" i="2"/>
  <c r="L407" i="2" s="1"/>
  <c r="L405" i="2"/>
  <c r="I818" i="2"/>
  <c r="I968" i="2" s="1"/>
  <c r="H968" i="2"/>
  <c r="I962" i="2"/>
  <c r="K767" i="2"/>
  <c r="K761" i="2"/>
  <c r="H52" i="4"/>
  <c r="H817" i="2"/>
  <c r="J789" i="2"/>
  <c r="K739" i="2"/>
  <c r="K733" i="2"/>
  <c r="D51" i="7"/>
  <c r="L294" i="2"/>
  <c r="L221" i="2"/>
  <c r="L276" i="2"/>
  <c r="L312" i="2"/>
  <c r="L257" i="2"/>
  <c r="L166" i="2"/>
  <c r="L112" i="2"/>
  <c r="L94" i="2"/>
  <c r="L239" i="2"/>
  <c r="L352" i="2"/>
  <c r="L148" i="2"/>
  <c r="L203" i="2"/>
  <c r="L185" i="2"/>
  <c r="L130" i="2"/>
  <c r="L548" i="2"/>
  <c r="L399" i="2"/>
  <c r="L378" i="2"/>
  <c r="L567" i="2"/>
  <c r="L556" i="2"/>
  <c r="L537" i="2"/>
  <c r="L521" i="2"/>
  <c r="L692" i="2"/>
  <c r="L442" i="2"/>
  <c r="L750" i="2"/>
  <c r="L529" i="2"/>
  <c r="L722" i="2"/>
  <c r="M72" i="1"/>
  <c r="J782" i="2"/>
  <c r="J797" i="2"/>
  <c r="J804" i="2"/>
  <c r="H53" i="4"/>
  <c r="K708" i="2"/>
  <c r="K789" i="2" s="1"/>
  <c r="K702" i="2"/>
  <c r="K782" i="2" s="1"/>
  <c r="I52" i="4"/>
  <c r="I817" i="2"/>
  <c r="I937" i="2"/>
  <c r="J903" i="2"/>
  <c r="J904" i="2" s="1"/>
  <c r="K903" i="2" s="1"/>
  <c r="H943" i="2"/>
  <c r="I912" i="2"/>
  <c r="H939" i="2"/>
  <c r="K931" i="2"/>
  <c r="K932" i="2" s="1"/>
  <c r="L931" i="2" s="1"/>
  <c r="K924" i="2"/>
  <c r="K905" i="2"/>
  <c r="I902" i="2"/>
  <c r="I923" i="2"/>
  <c r="I921" i="2" s="1"/>
  <c r="H592" i="2"/>
  <c r="H14" i="4" s="1"/>
  <c r="D12" i="7" s="1"/>
  <c r="H608" i="2"/>
  <c r="H597" i="2"/>
  <c r="I598" i="2"/>
  <c r="J565" i="2"/>
  <c r="J599" i="2" s="1"/>
  <c r="H611" i="2"/>
  <c r="I585" i="2"/>
  <c r="K568" i="2"/>
  <c r="K569" i="2" s="1"/>
  <c r="L568" i="2"/>
  <c r="I597" i="2"/>
  <c r="J554" i="2"/>
  <c r="K557" i="2"/>
  <c r="K549" i="2"/>
  <c r="K550" i="2" s="1"/>
  <c r="L557" i="2"/>
  <c r="L549" i="2"/>
  <c r="H580" i="2"/>
  <c r="H575" i="2"/>
  <c r="G579" i="2"/>
  <c r="G10" i="4" s="1"/>
  <c r="J524" i="2"/>
  <c r="J532" i="2"/>
  <c r="J535" i="2"/>
  <c r="J573" i="2" s="1"/>
  <c r="K538" i="2"/>
  <c r="K530" i="2"/>
  <c r="K531" i="2" s="1"/>
  <c r="K527" i="2" s="1"/>
  <c r="K532" i="2" s="1"/>
  <c r="K522" i="2"/>
  <c r="L538" i="2"/>
  <c r="L530" i="2"/>
  <c r="L522" i="2"/>
  <c r="J428" i="2"/>
  <c r="J435" i="2" s="1"/>
  <c r="I341" i="2"/>
  <c r="G436" i="2"/>
  <c r="H436" i="2" s="1"/>
  <c r="K444" i="2"/>
  <c r="K431" i="2"/>
  <c r="L431" i="2" s="1"/>
  <c r="K438" i="2"/>
  <c r="L438" i="2" s="1"/>
  <c r="K433" i="2"/>
  <c r="L433" i="2" s="1"/>
  <c r="K429" i="2"/>
  <c r="L429" i="2" s="1"/>
  <c r="K426" i="2"/>
  <c r="L444" i="2"/>
  <c r="L426" i="2"/>
  <c r="G356" i="2"/>
  <c r="H345" i="2"/>
  <c r="H355" i="2" s="1"/>
  <c r="J385" i="2"/>
  <c r="H402" i="2"/>
  <c r="H403" i="2" s="1"/>
  <c r="G402" i="2"/>
  <c r="G403" i="2" s="1"/>
  <c r="L17" i="2"/>
  <c r="L19" i="2"/>
  <c r="L21" i="2"/>
  <c r="L18" i="2"/>
  <c r="L20" i="2"/>
  <c r="J26" i="2"/>
  <c r="J34" i="2"/>
  <c r="K401" i="2"/>
  <c r="L401" i="2" s="1"/>
  <c r="K18" i="2"/>
  <c r="K21" i="2"/>
  <c r="K388" i="2"/>
  <c r="L388" i="2" s="1"/>
  <c r="K20" i="2"/>
  <c r="K17" i="2"/>
  <c r="K390" i="2"/>
  <c r="L390" i="2" s="1"/>
  <c r="K386" i="2"/>
  <c r="L386" i="2" s="1"/>
  <c r="K19" i="2"/>
  <c r="J27" i="2"/>
  <c r="J35" i="2"/>
  <c r="I402" i="2"/>
  <c r="I403" i="2" s="1"/>
  <c r="J28" i="2"/>
  <c r="J36" i="2"/>
  <c r="J29" i="2"/>
  <c r="J37" i="2"/>
  <c r="J25" i="2"/>
  <c r="J33" i="2"/>
  <c r="J22" i="2"/>
  <c r="I339" i="2"/>
  <c r="L354" i="2"/>
  <c r="K354" i="2"/>
  <c r="H371" i="2"/>
  <c r="H381" i="2" s="1"/>
  <c r="I369" i="2"/>
  <c r="J755" i="2"/>
  <c r="J762" i="2" s="1"/>
  <c r="I365" i="2"/>
  <c r="I367" i="2"/>
  <c r="G381" i="2"/>
  <c r="J757" i="2"/>
  <c r="J364" i="2"/>
  <c r="G661" i="2"/>
  <c r="G659" i="2" s="1"/>
  <c r="G100" i="4" s="1"/>
  <c r="G508" i="2"/>
  <c r="G41" i="4" s="1"/>
  <c r="H508" i="2"/>
  <c r="H41" i="4" s="1"/>
  <c r="G984" i="2"/>
  <c r="G506" i="2"/>
  <c r="G509" i="2" s="1"/>
  <c r="G986" i="2" s="1"/>
  <c r="G331" i="4" s="1"/>
  <c r="I476" i="2"/>
  <c r="I500" i="2" s="1"/>
  <c r="I502" i="2"/>
  <c r="I984" i="2"/>
  <c r="I332" i="4" s="1"/>
  <c r="I506" i="2"/>
  <c r="I985" i="2" s="1"/>
  <c r="H481" i="2"/>
  <c r="H479" i="2"/>
  <c r="G483" i="2"/>
  <c r="G9" i="4" s="1"/>
  <c r="K744" i="2"/>
  <c r="K755" i="2" s="1"/>
  <c r="K762" i="2" s="1"/>
  <c r="K474" i="2"/>
  <c r="K470" i="2" s="1"/>
  <c r="K501" i="2"/>
  <c r="J471" i="2"/>
  <c r="J477" i="2" s="1"/>
  <c r="L744" i="2"/>
  <c r="L755" i="2" s="1"/>
  <c r="L762" i="2" s="1"/>
  <c r="L474" i="2"/>
  <c r="L501" i="2"/>
  <c r="L689" i="2"/>
  <c r="L697" i="2" s="1"/>
  <c r="L716" i="2"/>
  <c r="L727" i="2" s="1"/>
  <c r="J697" i="2"/>
  <c r="J703" i="2" s="1"/>
  <c r="J783" i="2" s="1"/>
  <c r="K689" i="2"/>
  <c r="K697" i="2" s="1"/>
  <c r="K703" i="2" s="1"/>
  <c r="K783" i="2" s="1"/>
  <c r="K716" i="2"/>
  <c r="K727" i="2" s="1"/>
  <c r="J699" i="2"/>
  <c r="J779" i="2" s="1"/>
  <c r="J727" i="2"/>
  <c r="J730" i="2"/>
  <c r="J729" i="2"/>
  <c r="I306" i="2"/>
  <c r="H106" i="2"/>
  <c r="H124" i="2"/>
  <c r="I124" i="2" s="1"/>
  <c r="I106" i="2"/>
  <c r="I270" i="2"/>
  <c r="I160" i="2"/>
  <c r="H272" i="2"/>
  <c r="H274" i="2" s="1"/>
  <c r="G282" i="2"/>
  <c r="H308" i="2"/>
  <c r="I308" i="2" s="1"/>
  <c r="I327" i="2"/>
  <c r="I954" i="2" s="1"/>
  <c r="I320" i="4" s="1"/>
  <c r="G322" i="2"/>
  <c r="H235" i="2"/>
  <c r="H245" i="2" s="1"/>
  <c r="G245" i="2"/>
  <c r="K297" i="2"/>
  <c r="K302" i="2"/>
  <c r="K315" i="2"/>
  <c r="K284" i="2"/>
  <c r="K266" i="2"/>
  <c r="K279" i="2"/>
  <c r="K268" i="2" s="1"/>
  <c r="L297" i="2"/>
  <c r="L302" i="2"/>
  <c r="L315" i="2"/>
  <c r="L284" i="2"/>
  <c r="L266" i="2"/>
  <c r="L279" i="2"/>
  <c r="G292" i="2"/>
  <c r="H300" i="2"/>
  <c r="I290" i="2"/>
  <c r="G310" i="2"/>
  <c r="H292" i="2"/>
  <c r="I99" i="2"/>
  <c r="I322" i="2" s="1"/>
  <c r="H253" i="2"/>
  <c r="H179" i="2"/>
  <c r="I179" i="2" s="1"/>
  <c r="G183" i="2"/>
  <c r="G209" i="2"/>
  <c r="H199" i="2"/>
  <c r="J214" i="2"/>
  <c r="K247" i="2"/>
  <c r="K260" i="2"/>
  <c r="K249" i="2" s="1"/>
  <c r="K242" i="2"/>
  <c r="K211" i="2"/>
  <c r="K224" i="2"/>
  <c r="K206" i="2"/>
  <c r="K195" i="2" s="1"/>
  <c r="K229" i="2"/>
  <c r="K188" i="2"/>
  <c r="K177" i="2" s="1"/>
  <c r="K175" i="2"/>
  <c r="K193" i="2"/>
  <c r="L260" i="2"/>
  <c r="L247" i="2"/>
  <c r="L229" i="2"/>
  <c r="L224" i="2"/>
  <c r="L206" i="2"/>
  <c r="L193" i="2"/>
  <c r="L242" i="2"/>
  <c r="L188" i="2"/>
  <c r="L211" i="2"/>
  <c r="L175" i="2"/>
  <c r="G227" i="2"/>
  <c r="H217" i="2"/>
  <c r="G197" i="2"/>
  <c r="H197" i="2" s="1"/>
  <c r="J196" i="2"/>
  <c r="G191" i="2"/>
  <c r="H181" i="2"/>
  <c r="G233" i="2"/>
  <c r="H233" i="2" s="1"/>
  <c r="J250" i="2"/>
  <c r="G219" i="2"/>
  <c r="G88" i="2"/>
  <c r="H146" i="4"/>
  <c r="G128" i="2"/>
  <c r="G146" i="2"/>
  <c r="G136" i="2"/>
  <c r="H126" i="2"/>
  <c r="G172" i="2"/>
  <c r="H162" i="2"/>
  <c r="G164" i="2"/>
  <c r="G110" i="2"/>
  <c r="G118" i="2"/>
  <c r="H108" i="2"/>
  <c r="J159" i="2"/>
  <c r="I142" i="2"/>
  <c r="H146" i="2"/>
  <c r="H154" i="2"/>
  <c r="I144" i="2"/>
  <c r="K169" i="2"/>
  <c r="K158" i="2" s="1"/>
  <c r="K156" i="2"/>
  <c r="K138" i="2"/>
  <c r="K151" i="2"/>
  <c r="K140" i="2" s="1"/>
  <c r="K120" i="2"/>
  <c r="K102" i="2"/>
  <c r="K133" i="2"/>
  <c r="K115" i="2"/>
  <c r="K104" i="2" s="1"/>
  <c r="L169" i="2"/>
  <c r="L156" i="2"/>
  <c r="L151" i="2"/>
  <c r="L133" i="2"/>
  <c r="L138" i="2"/>
  <c r="L115" i="2"/>
  <c r="L120" i="2"/>
  <c r="L102" i="2"/>
  <c r="G954" i="2"/>
  <c r="I141" i="4"/>
  <c r="K84" i="2"/>
  <c r="K97" i="2"/>
  <c r="K86" i="2" s="1"/>
  <c r="J87" i="2"/>
  <c r="L84" i="2"/>
  <c r="L97" i="2"/>
  <c r="I116" i="10"/>
  <c r="I112" i="10"/>
  <c r="J111" i="10" s="1"/>
  <c r="I110" i="10"/>
  <c r="Q86" i="1"/>
  <c r="K13" i="2"/>
  <c r="K157" i="2" s="1"/>
  <c r="K12" i="2"/>
  <c r="K121" i="2" s="1"/>
  <c r="K14" i="2"/>
  <c r="K139" i="2" s="1"/>
  <c r="Q79" i="1"/>
  <c r="P81" i="1"/>
  <c r="N47" i="1"/>
  <c r="N50" i="1"/>
  <c r="N48" i="1"/>
  <c r="O43" i="1"/>
  <c r="N49" i="1"/>
  <c r="N197" i="4"/>
  <c r="N246" i="4"/>
  <c r="N288" i="4"/>
  <c r="G44" i="4"/>
  <c r="L14" i="2"/>
  <c r="L139" i="2" s="1"/>
  <c r="L13" i="2"/>
  <c r="L157" i="2" s="1"/>
  <c r="L12" i="2"/>
  <c r="L121" i="2" s="1"/>
  <c r="H117" i="10"/>
  <c r="H44" i="4" s="1"/>
  <c r="H110" i="10"/>
  <c r="M2" i="10"/>
  <c r="N25" i="1"/>
  <c r="M2" i="1"/>
  <c r="M45" i="1" s="1"/>
  <c r="M2" i="2"/>
  <c r="M2" i="5"/>
  <c r="M2" i="4"/>
  <c r="O87" i="1"/>
  <c r="N91" i="1"/>
  <c r="G114" i="10"/>
  <c r="G106" i="4"/>
  <c r="G867" i="2" s="1"/>
  <c r="L187" i="4"/>
  <c r="L252" i="4"/>
  <c r="L294" i="4"/>
  <c r="L236" i="4"/>
  <c r="L203" i="4"/>
  <c r="K858" i="2"/>
  <c r="L857" i="2"/>
  <c r="L856" i="2" s="1"/>
  <c r="M849" i="2"/>
  <c r="M848" i="2" s="1"/>
  <c r="L850" i="2"/>
  <c r="J593" i="2"/>
  <c r="M54" i="1"/>
  <c r="L55" i="1"/>
  <c r="N57" i="10"/>
  <c r="N62" i="10"/>
  <c r="B65" i="12"/>
  <c r="D65" i="12"/>
  <c r="H65" i="12" s="1"/>
  <c r="H61" i="12"/>
  <c r="I61" i="12" s="1"/>
  <c r="I64" i="12"/>
  <c r="J44" i="1"/>
  <c r="K44" i="1" s="1"/>
  <c r="L44" i="1" s="1"/>
  <c r="M44" i="1" s="1"/>
  <c r="I34" i="1"/>
  <c r="I55" i="2" s="1"/>
  <c r="K582" i="2"/>
  <c r="L582" i="2" s="1"/>
  <c r="K595" i="2"/>
  <c r="L595" i="2" s="1"/>
  <c r="J146" i="1"/>
  <c r="J317" i="4" s="1"/>
  <c r="K123" i="1"/>
  <c r="K45" i="1"/>
  <c r="K59" i="1"/>
  <c r="L59" i="1" s="1"/>
  <c r="K289" i="4"/>
  <c r="L289" i="4" s="1"/>
  <c r="K65" i="10"/>
  <c r="J499" i="2"/>
  <c r="K662" i="2"/>
  <c r="K247" i="4"/>
  <c r="L247" i="4" s="1"/>
  <c r="M247" i="4" s="1"/>
  <c r="K656" i="2"/>
  <c r="K626" i="2"/>
  <c r="K644" i="2"/>
  <c r="K638" i="2"/>
  <c r="K667" i="2"/>
  <c r="K632" i="2"/>
  <c r="K650" i="2"/>
  <c r="K198" i="4"/>
  <c r="L198" i="4" s="1"/>
  <c r="M198" i="4" s="1"/>
  <c r="J621" i="2"/>
  <c r="I47" i="4"/>
  <c r="J27" i="1"/>
  <c r="J627" i="2"/>
  <c r="J28" i="1"/>
  <c r="J34" i="1" s="1"/>
  <c r="J55" i="2" s="1"/>
  <c r="K26" i="1"/>
  <c r="K140" i="1"/>
  <c r="J633" i="2"/>
  <c r="K124" i="10"/>
  <c r="K125" i="10"/>
  <c r="K495" i="2"/>
  <c r="L495" i="2" s="1"/>
  <c r="K53" i="1"/>
  <c r="L53" i="1" s="1"/>
  <c r="K883" i="2"/>
  <c r="L883" i="2" s="1"/>
  <c r="K97" i="10"/>
  <c r="K497" i="2"/>
  <c r="L497" i="2" s="1"/>
  <c r="K577" i="2"/>
  <c r="L577" i="2" s="1"/>
  <c r="K590" i="2"/>
  <c r="L590" i="2" s="1"/>
  <c r="K672" i="2"/>
  <c r="L672" i="2" s="1"/>
  <c r="K489" i="2"/>
  <c r="L489" i="2" s="1"/>
  <c r="K103" i="4"/>
  <c r="L103" i="4" s="1"/>
  <c r="K187" i="4"/>
  <c r="K92" i="4"/>
  <c r="L92" i="4" s="1"/>
  <c r="K236" i="4"/>
  <c r="K108" i="4"/>
  <c r="L108" i="4" s="1"/>
  <c r="K111" i="4"/>
  <c r="L111" i="4" s="1"/>
  <c r="K113" i="4"/>
  <c r="L113" i="4" s="1"/>
  <c r="K83" i="4"/>
  <c r="L83" i="4" s="1"/>
  <c r="K93" i="10"/>
  <c r="J673" i="2"/>
  <c r="G177" i="4"/>
  <c r="H131" i="1"/>
  <c r="J588" i="2"/>
  <c r="H85" i="10"/>
  <c r="H78" i="10"/>
  <c r="I491" i="2"/>
  <c r="I13" i="4" s="1"/>
  <c r="J487" i="2"/>
  <c r="J226" i="4"/>
  <c r="K120" i="1"/>
  <c r="I70" i="10"/>
  <c r="H141" i="4" l="1"/>
  <c r="G255" i="2"/>
  <c r="K286" i="2"/>
  <c r="H251" i="2"/>
  <c r="I251" i="2" s="1"/>
  <c r="K539" i="2"/>
  <c r="G597" i="2"/>
  <c r="G611" i="2"/>
  <c r="H322" i="2"/>
  <c r="K122" i="2"/>
  <c r="K231" i="2"/>
  <c r="L231" i="2" s="1"/>
  <c r="L232" i="2" s="1"/>
  <c r="H327" i="2"/>
  <c r="H954" i="2" s="1"/>
  <c r="H320" i="4" s="1"/>
  <c r="K427" i="2"/>
  <c r="K428" i="2" s="1"/>
  <c r="K435" i="2" s="1"/>
  <c r="K445" i="2" s="1"/>
  <c r="G90" i="2"/>
  <c r="G325" i="2" s="1"/>
  <c r="K304" i="2"/>
  <c r="K305" i="2" s="1"/>
  <c r="G643" i="2"/>
  <c r="G641" i="2" s="1"/>
  <c r="G78" i="4" s="1"/>
  <c r="G166" i="4" s="1"/>
  <c r="G637" i="2"/>
  <c r="G635" i="2" s="1"/>
  <c r="G79" i="4" s="1"/>
  <c r="K337" i="2"/>
  <c r="L337" i="2" s="1"/>
  <c r="K558" i="2"/>
  <c r="K554" i="2" s="1"/>
  <c r="K559" i="2" s="1"/>
  <c r="K422" i="2"/>
  <c r="L422" i="2" s="1"/>
  <c r="L406" i="2" s="1"/>
  <c r="L413" i="2" s="1"/>
  <c r="K213" i="2"/>
  <c r="K214" i="2" s="1"/>
  <c r="K523" i="2"/>
  <c r="L523" i="2" s="1"/>
  <c r="L519" i="2" s="1"/>
  <c r="G610" i="2"/>
  <c r="G42" i="4" s="1"/>
  <c r="M103" i="4"/>
  <c r="J794" i="2"/>
  <c r="G794" i="2"/>
  <c r="G671" i="2" s="1"/>
  <c r="G670" i="2" s="1"/>
  <c r="G98" i="4" s="1"/>
  <c r="I671" i="2"/>
  <c r="I670" i="2" s="1"/>
  <c r="I98" i="4" s="1"/>
  <c r="H794" i="2"/>
  <c r="H671" i="2" s="1"/>
  <c r="H670" i="2" s="1"/>
  <c r="H98" i="4" s="1"/>
  <c r="H793" i="2"/>
  <c r="H91" i="4" s="1"/>
  <c r="G731" i="2"/>
  <c r="G732" i="2" s="1"/>
  <c r="G735" i="2"/>
  <c r="G734" i="2"/>
  <c r="G736" i="2"/>
  <c r="G763" i="2"/>
  <c r="G764" i="2" s="1"/>
  <c r="H763" i="2" s="1"/>
  <c r="H764" i="2" s="1"/>
  <c r="I763" i="2" s="1"/>
  <c r="I764" i="2" s="1"/>
  <c r="J763" i="2" s="1"/>
  <c r="J764" i="2" s="1"/>
  <c r="K763" i="2" s="1"/>
  <c r="K764" i="2" s="1"/>
  <c r="L763" i="2" s="1"/>
  <c r="L764" i="2" s="1"/>
  <c r="G759" i="2"/>
  <c r="G760" i="2" s="1"/>
  <c r="H759" i="2" s="1"/>
  <c r="G762" i="2"/>
  <c r="G704" i="2"/>
  <c r="G784" i="2" s="1"/>
  <c r="G700" i="2"/>
  <c r="G703" i="2"/>
  <c r="G783" i="2" s="1"/>
  <c r="G605" i="2"/>
  <c r="G15" i="4" s="1"/>
  <c r="G143" i="4" s="1"/>
  <c r="G793" i="2"/>
  <c r="G740" i="2"/>
  <c r="H740" i="2" s="1"/>
  <c r="G768" i="2"/>
  <c r="H768" i="2" s="1"/>
  <c r="I778" i="2"/>
  <c r="I91" i="4" s="1"/>
  <c r="G778" i="2"/>
  <c r="G709" i="2"/>
  <c r="I601" i="2"/>
  <c r="H605" i="2"/>
  <c r="H15" i="4" s="1"/>
  <c r="K797" i="2"/>
  <c r="K790" i="2" s="1"/>
  <c r="G454" i="2"/>
  <c r="G955" i="2" s="1"/>
  <c r="J341" i="2"/>
  <c r="K341" i="2" s="1"/>
  <c r="I457" i="2"/>
  <c r="E80" i="7"/>
  <c r="H454" i="2"/>
  <c r="I456" i="2"/>
  <c r="I455" i="2"/>
  <c r="I631" i="2" s="1"/>
  <c r="I629" i="2" s="1"/>
  <c r="I80" i="4" s="1"/>
  <c r="G414" i="2"/>
  <c r="H414" i="2" s="1"/>
  <c r="M411" i="2"/>
  <c r="M405" i="2"/>
  <c r="M416" i="2"/>
  <c r="M407" i="2"/>
  <c r="M422" i="2"/>
  <c r="M409" i="2"/>
  <c r="K406" i="2"/>
  <c r="K413" i="2" s="1"/>
  <c r="J413" i="2"/>
  <c r="L703" i="2"/>
  <c r="L783" i="2" s="1"/>
  <c r="K804" i="2"/>
  <c r="K56" i="4" s="1"/>
  <c r="M276" i="2"/>
  <c r="M312" i="2"/>
  <c r="M239" i="2"/>
  <c r="M166" i="2"/>
  <c r="M130" i="2"/>
  <c r="M294" i="2"/>
  <c r="M221" i="2"/>
  <c r="M203" i="2"/>
  <c r="M185" i="2"/>
  <c r="M257" i="2"/>
  <c r="M112" i="2"/>
  <c r="M94" i="2"/>
  <c r="M352" i="2"/>
  <c r="M148" i="2"/>
  <c r="M399" i="2"/>
  <c r="M378" i="2"/>
  <c r="M567" i="2"/>
  <c r="M556" i="2"/>
  <c r="M537" i="2"/>
  <c r="M521" i="2"/>
  <c r="M692" i="2"/>
  <c r="M529" i="2"/>
  <c r="M750" i="2"/>
  <c r="M722" i="2"/>
  <c r="M442" i="2"/>
  <c r="M548" i="2"/>
  <c r="N72" i="1"/>
  <c r="L708" i="2"/>
  <c r="L702" i="2"/>
  <c r="L782" i="2" s="1"/>
  <c r="D47" i="7"/>
  <c r="J790" i="2"/>
  <c r="K776" i="2"/>
  <c r="K818" i="2"/>
  <c r="K968" i="2" s="1"/>
  <c r="L739" i="2"/>
  <c r="L733" i="2"/>
  <c r="J962" i="2"/>
  <c r="J56" i="4"/>
  <c r="I58" i="4"/>
  <c r="K962" i="2"/>
  <c r="J818" i="2"/>
  <c r="J776" i="2"/>
  <c r="H58" i="4"/>
  <c r="D48" i="7"/>
  <c r="L767" i="2"/>
  <c r="L761" i="2"/>
  <c r="D39" i="7"/>
  <c r="I21" i="4"/>
  <c r="G144" i="4"/>
  <c r="D36" i="7"/>
  <c r="I938" i="2"/>
  <c r="I939" i="2"/>
  <c r="I934" i="2" s="1"/>
  <c r="J902" i="2"/>
  <c r="I944" i="2"/>
  <c r="I913" i="2"/>
  <c r="G869" i="2"/>
  <c r="G872" i="2"/>
  <c r="H934" i="2"/>
  <c r="H945" i="2"/>
  <c r="L932" i="2"/>
  <c r="M931" i="2" s="1"/>
  <c r="M932" i="2" s="1"/>
  <c r="K904" i="2"/>
  <c r="L924" i="2"/>
  <c r="M924" i="2" s="1"/>
  <c r="J922" i="2"/>
  <c r="J937" i="2" s="1"/>
  <c r="L905" i="2"/>
  <c r="L569" i="2"/>
  <c r="L565" i="2" s="1"/>
  <c r="L570" i="2" s="1"/>
  <c r="L600" i="2" s="1"/>
  <c r="I608" i="2"/>
  <c r="H610" i="2"/>
  <c r="M568" i="2"/>
  <c r="J586" i="2"/>
  <c r="J592" i="2" s="1"/>
  <c r="J570" i="2"/>
  <c r="J600" i="2" s="1"/>
  <c r="J598" i="2" s="1"/>
  <c r="K565" i="2"/>
  <c r="I572" i="2"/>
  <c r="I611" i="2" s="1"/>
  <c r="K546" i="2"/>
  <c r="L550" i="2"/>
  <c r="L546" i="2" s="1"/>
  <c r="M557" i="2"/>
  <c r="M549" i="2"/>
  <c r="J559" i="2"/>
  <c r="J551" i="2"/>
  <c r="H584" i="2"/>
  <c r="I580" i="2"/>
  <c r="I575" i="2"/>
  <c r="H579" i="2"/>
  <c r="H10" i="4" s="1"/>
  <c r="K535" i="2"/>
  <c r="K540" i="2" s="1"/>
  <c r="L539" i="2"/>
  <c r="L535" i="2" s="1"/>
  <c r="L540" i="2" s="1"/>
  <c r="J540" i="2"/>
  <c r="J574" i="2" s="1"/>
  <c r="L531" i="2"/>
  <c r="L527" i="2" s="1"/>
  <c r="L532" i="2" s="1"/>
  <c r="M538" i="2"/>
  <c r="M522" i="2"/>
  <c r="M530" i="2"/>
  <c r="G346" i="2"/>
  <c r="G440" i="2"/>
  <c r="M426" i="2"/>
  <c r="M444" i="2"/>
  <c r="M438" i="2"/>
  <c r="M431" i="2"/>
  <c r="M433" i="2"/>
  <c r="M429" i="2"/>
  <c r="I436" i="2"/>
  <c r="H440" i="2"/>
  <c r="J445" i="2"/>
  <c r="L385" i="2"/>
  <c r="L392" i="2" s="1"/>
  <c r="H356" i="2"/>
  <c r="K343" i="2"/>
  <c r="I345" i="2"/>
  <c r="I355" i="2" s="1"/>
  <c r="G395" i="2"/>
  <c r="H395" i="2" s="1"/>
  <c r="I395" i="2" s="1"/>
  <c r="J395" i="2" s="1"/>
  <c r="K395" i="2" s="1"/>
  <c r="L395" i="2" s="1"/>
  <c r="M395" i="2" s="1"/>
  <c r="J38" i="2"/>
  <c r="J336" i="2" s="1"/>
  <c r="J338" i="2" s="1"/>
  <c r="J451" i="2" s="1"/>
  <c r="M18" i="2"/>
  <c r="M17" i="2"/>
  <c r="M401" i="2"/>
  <c r="M386" i="2"/>
  <c r="M21" i="2"/>
  <c r="M19" i="2"/>
  <c r="M388" i="2"/>
  <c r="M390" i="2"/>
  <c r="M20" i="2"/>
  <c r="J30" i="2"/>
  <c r="K28" i="2"/>
  <c r="K36" i="2"/>
  <c r="L27" i="2"/>
  <c r="L35" i="2"/>
  <c r="K29" i="2"/>
  <c r="K37" i="2"/>
  <c r="K26" i="2"/>
  <c r="K34" i="2"/>
  <c r="L28" i="2"/>
  <c r="L36" i="2"/>
  <c r="K385" i="2"/>
  <c r="K392" i="2" s="1"/>
  <c r="L26" i="2"/>
  <c r="L34" i="2"/>
  <c r="G393" i="2"/>
  <c r="H393" i="2" s="1"/>
  <c r="I393" i="2" s="1"/>
  <c r="J393" i="2" s="1"/>
  <c r="K393" i="2" s="1"/>
  <c r="L393" i="2" s="1"/>
  <c r="M393" i="2" s="1"/>
  <c r="L25" i="2"/>
  <c r="L33" i="2"/>
  <c r="L22" i="2"/>
  <c r="K27" i="2"/>
  <c r="K35" i="2"/>
  <c r="K25" i="2"/>
  <c r="K22" i="2"/>
  <c r="K33" i="2"/>
  <c r="L29" i="2"/>
  <c r="L37" i="2"/>
  <c r="J392" i="2"/>
  <c r="J339" i="2"/>
  <c r="M354" i="2"/>
  <c r="G382" i="2"/>
  <c r="G453" i="2" s="1"/>
  <c r="H382" i="2"/>
  <c r="I371" i="2"/>
  <c r="J365" i="2"/>
  <c r="K364" i="2"/>
  <c r="J367" i="2"/>
  <c r="J369" i="2"/>
  <c r="J456" i="2" s="1"/>
  <c r="M380" i="2"/>
  <c r="M364" i="2" s="1"/>
  <c r="L364" i="2"/>
  <c r="I509" i="2"/>
  <c r="I986" i="2" s="1"/>
  <c r="I331" i="4" s="1"/>
  <c r="L758" i="2"/>
  <c r="K758" i="2"/>
  <c r="H637" i="2"/>
  <c r="H635" i="2" s="1"/>
  <c r="H79" i="4" s="1"/>
  <c r="I481" i="2"/>
  <c r="G985" i="2"/>
  <c r="H509" i="2"/>
  <c r="H986" i="2" s="1"/>
  <c r="H331" i="4" s="1"/>
  <c r="K757" i="2"/>
  <c r="L757" i="2"/>
  <c r="G332" i="4"/>
  <c r="J502" i="2"/>
  <c r="I504" i="2"/>
  <c r="I661" i="2" s="1"/>
  <c r="I659" i="2" s="1"/>
  <c r="I100" i="4" s="1"/>
  <c r="H483" i="2"/>
  <c r="H9" i="4" s="1"/>
  <c r="D8" i="7" s="1"/>
  <c r="H643" i="2"/>
  <c r="H641" i="2" s="1"/>
  <c r="H78" i="4" s="1"/>
  <c r="I479" i="2"/>
  <c r="L470" i="2"/>
  <c r="L471" i="2" s="1"/>
  <c r="J472" i="2"/>
  <c r="J478" i="2" s="1"/>
  <c r="K471" i="2"/>
  <c r="M744" i="2"/>
  <c r="M755" i="2" s="1"/>
  <c r="M501" i="2"/>
  <c r="M474" i="2"/>
  <c r="K729" i="2"/>
  <c r="J793" i="2"/>
  <c r="J91" i="4" s="1"/>
  <c r="L730" i="2"/>
  <c r="J671" i="2"/>
  <c r="J670" i="2" s="1"/>
  <c r="J98" i="4" s="1"/>
  <c r="K698" i="2"/>
  <c r="K778" i="2" s="1"/>
  <c r="L699" i="2"/>
  <c r="L779" i="2" s="1"/>
  <c r="L698" i="2"/>
  <c r="L778" i="2" s="1"/>
  <c r="M689" i="2"/>
  <c r="M699" i="2" s="1"/>
  <c r="M779" i="2" s="1"/>
  <c r="M716" i="2"/>
  <c r="M730" i="2" s="1"/>
  <c r="K734" i="2"/>
  <c r="K699" i="2"/>
  <c r="K779" i="2" s="1"/>
  <c r="K730" i="2"/>
  <c r="L734" i="2"/>
  <c r="L729" i="2"/>
  <c r="J734" i="2"/>
  <c r="I310" i="2"/>
  <c r="H282" i="2"/>
  <c r="I272" i="2"/>
  <c r="I274" i="2" s="1"/>
  <c r="H318" i="2"/>
  <c r="H310" i="2"/>
  <c r="L177" i="2"/>
  <c r="L178" i="2" s="1"/>
  <c r="G324" i="2"/>
  <c r="G619" i="2" s="1"/>
  <c r="G617" i="2" s="1"/>
  <c r="L268" i="2"/>
  <c r="L269" i="2" s="1"/>
  <c r="J321" i="2"/>
  <c r="J6" i="4" s="1"/>
  <c r="I235" i="2"/>
  <c r="I245" i="2" s="1"/>
  <c r="L286" i="2"/>
  <c r="L287" i="2" s="1"/>
  <c r="H183" i="2"/>
  <c r="M315" i="2"/>
  <c r="M302" i="2"/>
  <c r="M297" i="2"/>
  <c r="M284" i="2"/>
  <c r="M279" i="2"/>
  <c r="M266" i="2"/>
  <c r="K287" i="2"/>
  <c r="J280" i="2"/>
  <c r="I318" i="2"/>
  <c r="J308" i="2"/>
  <c r="I300" i="2"/>
  <c r="J290" i="2"/>
  <c r="J298" i="2"/>
  <c r="G100" i="2"/>
  <c r="G326" i="2" s="1"/>
  <c r="G961" i="2" s="1"/>
  <c r="J316" i="2"/>
  <c r="K269" i="2"/>
  <c r="I292" i="2"/>
  <c r="L195" i="2"/>
  <c r="L196" i="2" s="1"/>
  <c r="G237" i="2"/>
  <c r="K250" i="2"/>
  <c r="H88" i="2"/>
  <c r="L249" i="2"/>
  <c r="L250" i="2" s="1"/>
  <c r="L213" i="2"/>
  <c r="L214" i="2" s="1"/>
  <c r="I197" i="2"/>
  <c r="H201" i="2"/>
  <c r="J189" i="2"/>
  <c r="G201" i="2"/>
  <c r="J243" i="2"/>
  <c r="J244" i="2" s="1"/>
  <c r="J225" i="2"/>
  <c r="J226" i="2" s="1"/>
  <c r="J261" i="2"/>
  <c r="M260" i="2"/>
  <c r="M247" i="2"/>
  <c r="M224" i="2"/>
  <c r="M229" i="2"/>
  <c r="M193" i="2"/>
  <c r="M242" i="2"/>
  <c r="M188" i="2"/>
  <c r="M211" i="2"/>
  <c r="M206" i="2"/>
  <c r="M175" i="2"/>
  <c r="K196" i="2"/>
  <c r="H263" i="2"/>
  <c r="I253" i="2"/>
  <c r="H227" i="2"/>
  <c r="I217" i="2"/>
  <c r="H219" i="2"/>
  <c r="H191" i="2"/>
  <c r="I181" i="2"/>
  <c r="I183" i="2" s="1"/>
  <c r="H209" i="2"/>
  <c r="I199" i="2"/>
  <c r="I233" i="2"/>
  <c r="H237" i="2"/>
  <c r="J207" i="2"/>
  <c r="J208" i="2" s="1"/>
  <c r="K178" i="2"/>
  <c r="L104" i="2"/>
  <c r="L105" i="2" s="1"/>
  <c r="L140" i="2"/>
  <c r="L141" i="2" s="1"/>
  <c r="L122" i="2"/>
  <c r="L123" i="2" s="1"/>
  <c r="L86" i="2"/>
  <c r="L87" i="2" s="1"/>
  <c r="L158" i="2"/>
  <c r="L159" i="2" s="1"/>
  <c r="H118" i="2"/>
  <c r="I108" i="2"/>
  <c r="J170" i="2"/>
  <c r="H110" i="2"/>
  <c r="K123" i="2"/>
  <c r="H136" i="2"/>
  <c r="I126" i="2"/>
  <c r="M169" i="2"/>
  <c r="M151" i="2"/>
  <c r="M120" i="2"/>
  <c r="M133" i="2"/>
  <c r="M115" i="2"/>
  <c r="M138" i="2"/>
  <c r="M156" i="2"/>
  <c r="M102" i="2"/>
  <c r="K105" i="2"/>
  <c r="K141" i="2"/>
  <c r="J134" i="2"/>
  <c r="J135" i="2" s="1"/>
  <c r="J116" i="2"/>
  <c r="I154" i="2"/>
  <c r="J144" i="2"/>
  <c r="H172" i="2"/>
  <c r="I162" i="2"/>
  <c r="H164" i="2"/>
  <c r="I146" i="2"/>
  <c r="J152" i="2"/>
  <c r="K159" i="2"/>
  <c r="H128" i="2"/>
  <c r="K87" i="2"/>
  <c r="G320" i="4"/>
  <c r="M84" i="2"/>
  <c r="M97" i="2"/>
  <c r="J98" i="2"/>
  <c r="M497" i="2"/>
  <c r="M489" i="2"/>
  <c r="M590" i="2"/>
  <c r="M577" i="2"/>
  <c r="M883" i="2"/>
  <c r="M595" i="2"/>
  <c r="M603" i="2"/>
  <c r="M83" i="4"/>
  <c r="M113" i="4"/>
  <c r="M14" i="2"/>
  <c r="M139" i="2" s="1"/>
  <c r="M13" i="2"/>
  <c r="M157" i="2" s="1"/>
  <c r="M12" i="2"/>
  <c r="M121" i="2" s="1"/>
  <c r="R79" i="1"/>
  <c r="Q81" i="1"/>
  <c r="O246" i="4"/>
  <c r="O197" i="4"/>
  <c r="O47" i="1"/>
  <c r="P43" i="1"/>
  <c r="O288" i="4"/>
  <c r="O49" i="1"/>
  <c r="O50" i="1"/>
  <c r="O48" i="1"/>
  <c r="J116" i="10"/>
  <c r="J112" i="10"/>
  <c r="M108" i="4"/>
  <c r="P87" i="1"/>
  <c r="O91" i="1"/>
  <c r="H120" i="10"/>
  <c r="I107" i="10"/>
  <c r="I118" i="10" s="1"/>
  <c r="I117" i="10"/>
  <c r="I120" i="10"/>
  <c r="J107" i="10"/>
  <c r="J118" i="10" s="1"/>
  <c r="M59" i="1"/>
  <c r="N2" i="10"/>
  <c r="N2" i="1"/>
  <c r="O25" i="1"/>
  <c r="N2" i="5"/>
  <c r="N2" i="4"/>
  <c r="N103" i="4" s="1"/>
  <c r="N2" i="2"/>
  <c r="M92" i="4"/>
  <c r="N92" i="4" s="1"/>
  <c r="H126" i="4"/>
  <c r="H181" i="4"/>
  <c r="H278" i="4"/>
  <c r="G126" i="4"/>
  <c r="G181" i="4"/>
  <c r="G278" i="4"/>
  <c r="M203" i="4"/>
  <c r="M294" i="4"/>
  <c r="M187" i="4"/>
  <c r="M236" i="4"/>
  <c r="M252" i="4"/>
  <c r="R86" i="1"/>
  <c r="M289" i="4"/>
  <c r="N289" i="4" s="1"/>
  <c r="G122" i="4"/>
  <c r="G109" i="4"/>
  <c r="J4" i="2"/>
  <c r="J42" i="2"/>
  <c r="I4" i="2"/>
  <c r="I22" i="2" s="1"/>
  <c r="I42" i="2"/>
  <c r="N849" i="2"/>
  <c r="N848" i="2" s="1"/>
  <c r="M850" i="2"/>
  <c r="L858" i="2"/>
  <c r="M857" i="2"/>
  <c r="M856" i="2" s="1"/>
  <c r="K593" i="2"/>
  <c r="L593" i="2" s="1"/>
  <c r="N54" i="1"/>
  <c r="M55" i="1"/>
  <c r="M53" i="1" s="1"/>
  <c r="O57" i="10"/>
  <c r="O62" i="10"/>
  <c r="L621" i="2"/>
  <c r="K86" i="4"/>
  <c r="L65" i="10"/>
  <c r="L632" i="2"/>
  <c r="L633" i="2" s="1"/>
  <c r="L140" i="1"/>
  <c r="K668" i="2"/>
  <c r="L667" i="2"/>
  <c r="L673" i="2"/>
  <c r="M672" i="2"/>
  <c r="K29" i="1"/>
  <c r="L26" i="1"/>
  <c r="K639" i="2"/>
  <c r="L638" i="2"/>
  <c r="L639" i="2" s="1"/>
  <c r="M582" i="2"/>
  <c r="K226" i="4"/>
  <c r="L120" i="1"/>
  <c r="K606" i="2"/>
  <c r="L606" i="2" s="1"/>
  <c r="M111" i="4"/>
  <c r="K645" i="2"/>
  <c r="L644" i="2"/>
  <c r="L645" i="2" s="1"/>
  <c r="K90" i="4"/>
  <c r="L93" i="10"/>
  <c r="K663" i="2"/>
  <c r="L662" i="2"/>
  <c r="L499" i="2"/>
  <c r="M495" i="2"/>
  <c r="L626" i="2"/>
  <c r="K275" i="4"/>
  <c r="L123" i="1"/>
  <c r="L124" i="10"/>
  <c r="K651" i="2"/>
  <c r="L650" i="2"/>
  <c r="K82" i="4"/>
  <c r="L97" i="10"/>
  <c r="K102" i="4"/>
  <c r="L125" i="10"/>
  <c r="L656" i="2"/>
  <c r="L657" i="2" s="1"/>
  <c r="L64" i="12"/>
  <c r="B72" i="12"/>
  <c r="J64" i="12"/>
  <c r="J61" i="12"/>
  <c r="B69" i="12"/>
  <c r="G65" i="12"/>
  <c r="N65" i="12" s="1"/>
  <c r="I65" i="12"/>
  <c r="B73" i="12" s="1"/>
  <c r="K146" i="1"/>
  <c r="I4" i="4"/>
  <c r="J102" i="10"/>
  <c r="I174" i="4"/>
  <c r="I222" i="4"/>
  <c r="I1" i="10"/>
  <c r="I1" i="2"/>
  <c r="I271" i="4"/>
  <c r="I682" i="2"/>
  <c r="I119" i="4"/>
  <c r="I313" i="4"/>
  <c r="I826" i="2"/>
  <c r="I80" i="2"/>
  <c r="I4" i="5"/>
  <c r="I38" i="1"/>
  <c r="I102" i="10"/>
  <c r="I513" i="2"/>
  <c r="I37" i="4"/>
  <c r="I891" i="2"/>
  <c r="I90" i="10"/>
  <c r="I113" i="1"/>
  <c r="I1" i="1"/>
  <c r="I952" i="2"/>
  <c r="I332" i="2"/>
  <c r="I1" i="4"/>
  <c r="I14" i="1"/>
  <c r="I880" i="2"/>
  <c r="I73" i="4"/>
  <c r="I862" i="2"/>
  <c r="I68" i="1"/>
  <c r="I55" i="10"/>
  <c r="I615" i="2"/>
  <c r="I138" i="4"/>
  <c r="I841" i="2"/>
  <c r="I1" i="5"/>
  <c r="I464" i="2"/>
  <c r="K27" i="1"/>
  <c r="K28" i="1"/>
  <c r="K34" i="1" s="1"/>
  <c r="K55" i="2" s="1"/>
  <c r="K657" i="2"/>
  <c r="J332" i="2"/>
  <c r="J1" i="10"/>
  <c r="J615" i="2"/>
  <c r="J55" i="10"/>
  <c r="J862" i="2"/>
  <c r="J1" i="2"/>
  <c r="J513" i="2"/>
  <c r="J222" i="4"/>
  <c r="J952" i="2"/>
  <c r="J313" i="4"/>
  <c r="J464" i="2"/>
  <c r="J80" i="2"/>
  <c r="J68" i="1"/>
  <c r="J1" i="5"/>
  <c r="J826" i="2"/>
  <c r="J14" i="1"/>
  <c r="J37" i="4"/>
  <c r="J73" i="4"/>
  <c r="J174" i="4"/>
  <c r="J119" i="4"/>
  <c r="J880" i="2"/>
  <c r="J682" i="2"/>
  <c r="J4" i="4"/>
  <c r="J138" i="4"/>
  <c r="J4" i="5"/>
  <c r="J90" i="10"/>
  <c r="J271" i="4"/>
  <c r="J1" i="4"/>
  <c r="J38" i="1"/>
  <c r="J891" i="2"/>
  <c r="J1" i="1"/>
  <c r="J841" i="2"/>
  <c r="J113" i="1"/>
  <c r="K627" i="2"/>
  <c r="J47" i="4"/>
  <c r="K499" i="2"/>
  <c r="K633" i="2"/>
  <c r="K673" i="2"/>
  <c r="K621" i="2"/>
  <c r="I131" i="1"/>
  <c r="H178" i="4"/>
  <c r="K588" i="2"/>
  <c r="H79" i="10"/>
  <c r="H86" i="10"/>
  <c r="I71" i="10"/>
  <c r="I72" i="10" s="1"/>
  <c r="K487" i="2"/>
  <c r="J491" i="2"/>
  <c r="J13" i="4" s="1"/>
  <c r="H255" i="2" l="1"/>
  <c r="L304" i="2"/>
  <c r="L305" i="2" s="1"/>
  <c r="L321" i="2" s="1"/>
  <c r="L6" i="4" s="1"/>
  <c r="L427" i="2"/>
  <c r="L428" i="2" s="1"/>
  <c r="L435" i="2" s="1"/>
  <c r="K232" i="2"/>
  <c r="K321" i="2" s="1"/>
  <c r="K6" i="4" s="1"/>
  <c r="L558" i="2"/>
  <c r="L554" i="2" s="1"/>
  <c r="L559" i="2" s="1"/>
  <c r="G92" i="2"/>
  <c r="G323" i="2" s="1"/>
  <c r="G39" i="4" s="1"/>
  <c r="H90" i="2"/>
  <c r="H325" i="2" s="1"/>
  <c r="H166" i="4"/>
  <c r="K519" i="2"/>
  <c r="K573" i="2" s="1"/>
  <c r="H143" i="4"/>
  <c r="G705" i="2"/>
  <c r="H704" i="2" s="1"/>
  <c r="K53" i="4"/>
  <c r="D13" i="7"/>
  <c r="H760" i="2"/>
  <c r="I759" i="2" s="1"/>
  <c r="I760" i="2" s="1"/>
  <c r="J759" i="2" s="1"/>
  <c r="J760" i="2" s="1"/>
  <c r="K759" i="2" s="1"/>
  <c r="K760" i="2" s="1"/>
  <c r="L759" i="2" s="1"/>
  <c r="L760" i="2" s="1"/>
  <c r="M759" i="2" s="1"/>
  <c r="M760" i="2" s="1"/>
  <c r="I740" i="2"/>
  <c r="J740" i="2" s="1"/>
  <c r="K740" i="2" s="1"/>
  <c r="L740" i="2" s="1"/>
  <c r="N198" i="4"/>
  <c r="N108" i="4"/>
  <c r="I605" i="2"/>
  <c r="I15" i="4" s="1"/>
  <c r="J601" i="2"/>
  <c r="G780" i="2"/>
  <c r="I768" i="2"/>
  <c r="J768" i="2" s="1"/>
  <c r="G796" i="2"/>
  <c r="H731" i="2"/>
  <c r="G799" i="2"/>
  <c r="N113" i="4"/>
  <c r="H709" i="2"/>
  <c r="G822" i="2"/>
  <c r="G25" i="4" s="1"/>
  <c r="I709" i="2"/>
  <c r="G91" i="4"/>
  <c r="G701" i="2"/>
  <c r="G800" i="2"/>
  <c r="H735" i="2"/>
  <c r="G798" i="2"/>
  <c r="G970" i="2" s="1"/>
  <c r="G795" i="2"/>
  <c r="H346" i="2"/>
  <c r="I346" i="2" s="1"/>
  <c r="J455" i="2"/>
  <c r="J631" i="2" s="1"/>
  <c r="J629" i="2" s="1"/>
  <c r="J80" i="4" s="1"/>
  <c r="H453" i="2"/>
  <c r="H964" i="2" s="1"/>
  <c r="L341" i="2"/>
  <c r="G418" i="2"/>
  <c r="J457" i="2"/>
  <c r="N422" i="2"/>
  <c r="N405" i="2"/>
  <c r="N407" i="2"/>
  <c r="N411" i="2"/>
  <c r="N416" i="2"/>
  <c r="N409" i="2"/>
  <c r="M406" i="2"/>
  <c r="L423" i="2"/>
  <c r="L424" i="2" s="1"/>
  <c r="K423" i="2"/>
  <c r="K424" i="2" s="1"/>
  <c r="I414" i="2"/>
  <c r="H418" i="2"/>
  <c r="J423" i="2"/>
  <c r="J424" i="2" s="1"/>
  <c r="I945" i="2"/>
  <c r="I229" i="4"/>
  <c r="I279" i="4"/>
  <c r="I182" i="4"/>
  <c r="M708" i="2"/>
  <c r="M789" i="2" s="1"/>
  <c r="M702" i="2"/>
  <c r="M782" i="2" s="1"/>
  <c r="M776" i="2" s="1"/>
  <c r="M52" i="4" s="1"/>
  <c r="K817" i="2"/>
  <c r="K52" i="4"/>
  <c r="K58" i="4" s="1"/>
  <c r="H182" i="4"/>
  <c r="H279" i="4"/>
  <c r="H229" i="4"/>
  <c r="D73" i="7" s="1"/>
  <c r="D53" i="7"/>
  <c r="J52" i="4"/>
  <c r="J817" i="2"/>
  <c r="L776" i="2"/>
  <c r="J53" i="4"/>
  <c r="L797" i="2"/>
  <c r="M739" i="2"/>
  <c r="M733" i="2"/>
  <c r="J968" i="2"/>
  <c r="L789" i="2"/>
  <c r="N276" i="2"/>
  <c r="N203" i="2"/>
  <c r="N352" i="2"/>
  <c r="N257" i="2"/>
  <c r="N294" i="2"/>
  <c r="N239" i="2"/>
  <c r="N148" i="2"/>
  <c r="N312" i="2"/>
  <c r="N221" i="2"/>
  <c r="N185" i="2"/>
  <c r="N112" i="2"/>
  <c r="N166" i="2"/>
  <c r="N130" i="2"/>
  <c r="N94" i="2"/>
  <c r="N567" i="2"/>
  <c r="N556" i="2"/>
  <c r="N537" i="2"/>
  <c r="N521" i="2"/>
  <c r="N692" i="2"/>
  <c r="N442" i="2"/>
  <c r="N529" i="2"/>
  <c r="N722" i="2"/>
  <c r="N548" i="2"/>
  <c r="N750" i="2"/>
  <c r="N399" i="2"/>
  <c r="N378" i="2"/>
  <c r="O72" i="1"/>
  <c r="L804" i="2"/>
  <c r="M767" i="2"/>
  <c r="M761" i="2"/>
  <c r="I44" i="4"/>
  <c r="I126" i="4" s="1"/>
  <c r="D9" i="7"/>
  <c r="G26" i="4"/>
  <c r="G873" i="2"/>
  <c r="I943" i="2"/>
  <c r="J912" i="2"/>
  <c r="J923" i="2"/>
  <c r="L903" i="2"/>
  <c r="L904" i="2" s="1"/>
  <c r="K902" i="2"/>
  <c r="N924" i="2"/>
  <c r="N931" i="2"/>
  <c r="N932" i="2" s="1"/>
  <c r="M905" i="2"/>
  <c r="N905" i="2" s="1"/>
  <c r="M569" i="2"/>
  <c r="M565" i="2" s="1"/>
  <c r="M599" i="2" s="1"/>
  <c r="L599" i="2"/>
  <c r="L598" i="2" s="1"/>
  <c r="H42" i="4"/>
  <c r="D37" i="7" s="1"/>
  <c r="K570" i="2"/>
  <c r="K600" i="2" s="1"/>
  <c r="K599" i="2"/>
  <c r="M558" i="2"/>
  <c r="M554" i="2" s="1"/>
  <c r="M559" i="2" s="1"/>
  <c r="J608" i="2"/>
  <c r="I610" i="2"/>
  <c r="N568" i="2"/>
  <c r="J587" i="2"/>
  <c r="J965" i="2" s="1"/>
  <c r="M550" i="2"/>
  <c r="M546" i="2" s="1"/>
  <c r="L551" i="2"/>
  <c r="L587" i="2" s="1"/>
  <c r="L586" i="2"/>
  <c r="K551" i="2"/>
  <c r="K587" i="2" s="1"/>
  <c r="K586" i="2"/>
  <c r="K592" i="2" s="1"/>
  <c r="K14" i="4" s="1"/>
  <c r="N557" i="2"/>
  <c r="N549" i="2"/>
  <c r="M523" i="2"/>
  <c r="M519" i="2" s="1"/>
  <c r="M524" i="2" s="1"/>
  <c r="G449" i="2"/>
  <c r="G8" i="4" s="1"/>
  <c r="M531" i="2"/>
  <c r="M527" i="2" s="1"/>
  <c r="M532" i="2" s="1"/>
  <c r="M539" i="2"/>
  <c r="M535" i="2" s="1"/>
  <c r="M540" i="2" s="1"/>
  <c r="J572" i="2"/>
  <c r="J575" i="2"/>
  <c r="I579" i="2"/>
  <c r="I10" i="4" s="1"/>
  <c r="L524" i="2"/>
  <c r="L574" i="2" s="1"/>
  <c r="L573" i="2"/>
  <c r="I584" i="2"/>
  <c r="J580" i="2"/>
  <c r="K524" i="2"/>
  <c r="K574" i="2" s="1"/>
  <c r="N538" i="2"/>
  <c r="N530" i="2"/>
  <c r="N522" i="2"/>
  <c r="M427" i="2"/>
  <c r="M428" i="2" s="1"/>
  <c r="M435" i="2" s="1"/>
  <c r="G348" i="2"/>
  <c r="K446" i="2"/>
  <c r="L343" i="2"/>
  <c r="J436" i="2"/>
  <c r="K436" i="2" s="1"/>
  <c r="I440" i="2"/>
  <c r="J446" i="2"/>
  <c r="N426" i="2"/>
  <c r="N438" i="2"/>
  <c r="N444" i="2"/>
  <c r="N433" i="2"/>
  <c r="N429" i="2"/>
  <c r="N431" i="2"/>
  <c r="L445" i="2"/>
  <c r="L446" i="2" s="1"/>
  <c r="K339" i="2"/>
  <c r="G397" i="2"/>
  <c r="K402" i="2"/>
  <c r="K403" i="2" s="1"/>
  <c r="K397" i="2" s="1"/>
  <c r="M26" i="2"/>
  <c r="M34" i="2"/>
  <c r="N19" i="2"/>
  <c r="N18" i="2"/>
  <c r="N390" i="2"/>
  <c r="N388" i="2"/>
  <c r="N386" i="2"/>
  <c r="N17" i="2"/>
  <c r="N401" i="2"/>
  <c r="N395" i="2"/>
  <c r="N21" i="2"/>
  <c r="N20" i="2"/>
  <c r="N393" i="2"/>
  <c r="L38" i="2"/>
  <c r="L336" i="2" s="1"/>
  <c r="L338" i="2" s="1"/>
  <c r="L451" i="2" s="1"/>
  <c r="M385" i="2"/>
  <c r="K38" i="2"/>
  <c r="K336" i="2" s="1"/>
  <c r="K338" i="2" s="1"/>
  <c r="K451" i="2" s="1"/>
  <c r="M29" i="2"/>
  <c r="M37" i="2"/>
  <c r="L30" i="2"/>
  <c r="L402" i="2"/>
  <c r="L403" i="2" s="1"/>
  <c r="L397" i="2" s="1"/>
  <c r="H397" i="2"/>
  <c r="J402" i="2"/>
  <c r="J403" i="2" s="1"/>
  <c r="J397" i="2" s="1"/>
  <c r="M25" i="2"/>
  <c r="M22" i="2"/>
  <c r="M33" i="2"/>
  <c r="M27" i="2"/>
  <c r="M35" i="2"/>
  <c r="K30" i="2"/>
  <c r="M28" i="2"/>
  <c r="M36" i="2"/>
  <c r="I397" i="2"/>
  <c r="J345" i="2"/>
  <c r="J355" i="2" s="1"/>
  <c r="M337" i="2"/>
  <c r="G964" i="2"/>
  <c r="I356" i="2"/>
  <c r="K793" i="2"/>
  <c r="K91" i="4" s="1"/>
  <c r="N354" i="2"/>
  <c r="G372" i="2"/>
  <c r="G458" i="2" s="1"/>
  <c r="J371" i="2"/>
  <c r="J381" i="2" s="1"/>
  <c r="K367" i="2"/>
  <c r="K457" i="2" s="1"/>
  <c r="G321" i="4"/>
  <c r="H955" i="2"/>
  <c r="H321" i="4" s="1"/>
  <c r="H449" i="2"/>
  <c r="G374" i="2"/>
  <c r="I381" i="2"/>
  <c r="I454" i="2" s="1"/>
  <c r="K369" i="2"/>
  <c r="K456" i="2" s="1"/>
  <c r="K365" i="2"/>
  <c r="K794" i="2"/>
  <c r="K671" i="2" s="1"/>
  <c r="K670" i="2" s="1"/>
  <c r="K98" i="4" s="1"/>
  <c r="N380" i="2"/>
  <c r="N364" i="2" s="1"/>
  <c r="L793" i="2"/>
  <c r="L91" i="4" s="1"/>
  <c r="L472" i="2"/>
  <c r="L478" i="2" s="1"/>
  <c r="L503" i="2" s="1"/>
  <c r="L477" i="2"/>
  <c r="J479" i="2"/>
  <c r="I483" i="2"/>
  <c r="I9" i="4" s="1"/>
  <c r="I643" i="2"/>
  <c r="I641" i="2" s="1"/>
  <c r="I78" i="4" s="1"/>
  <c r="I166" i="4" s="1"/>
  <c r="J481" i="2"/>
  <c r="I637" i="2"/>
  <c r="I635" i="2" s="1"/>
  <c r="I79" i="4" s="1"/>
  <c r="K472" i="2"/>
  <c r="K478" i="2" s="1"/>
  <c r="K503" i="2" s="1"/>
  <c r="K477" i="2"/>
  <c r="J503" i="2"/>
  <c r="L794" i="2"/>
  <c r="L671" i="2" s="1"/>
  <c r="L670" i="2" s="1"/>
  <c r="L98" i="4" s="1"/>
  <c r="M470" i="2"/>
  <c r="M471" i="2" s="1"/>
  <c r="H144" i="4"/>
  <c r="J476" i="2"/>
  <c r="M757" i="2"/>
  <c r="I508" i="2"/>
  <c r="I41" i="4" s="1"/>
  <c r="J504" i="2"/>
  <c r="J661" i="2" s="1"/>
  <c r="J659" i="2" s="1"/>
  <c r="J100" i="4" s="1"/>
  <c r="M758" i="2"/>
  <c r="M794" i="2" s="1"/>
  <c r="M671" i="2" s="1"/>
  <c r="M670" i="2" s="1"/>
  <c r="M98" i="4" s="1"/>
  <c r="N744" i="2"/>
  <c r="N755" i="2" s="1"/>
  <c r="N474" i="2"/>
  <c r="N501" i="2"/>
  <c r="K798" i="2"/>
  <c r="K970" i="2" s="1"/>
  <c r="M729" i="2"/>
  <c r="L798" i="2"/>
  <c r="L970" i="2" s="1"/>
  <c r="J798" i="2"/>
  <c r="J970" i="2" s="1"/>
  <c r="M762" i="2"/>
  <c r="M763" i="2"/>
  <c r="M764" i="2" s="1"/>
  <c r="M698" i="2"/>
  <c r="M778" i="2" s="1"/>
  <c r="M697" i="2"/>
  <c r="M703" i="2" s="1"/>
  <c r="M783" i="2" s="1"/>
  <c r="N689" i="2"/>
  <c r="N697" i="2" s="1"/>
  <c r="N716" i="2"/>
  <c r="N730" i="2" s="1"/>
  <c r="M727" i="2"/>
  <c r="J299" i="2"/>
  <c r="J288" i="2" s="1"/>
  <c r="J124" i="2"/>
  <c r="J317" i="2"/>
  <c r="K261" i="2"/>
  <c r="K262" i="2" s="1"/>
  <c r="J215" i="2"/>
  <c r="J272" i="2"/>
  <c r="J282" i="2" s="1"/>
  <c r="I282" i="2"/>
  <c r="M177" i="2"/>
  <c r="M178" i="2" s="1"/>
  <c r="M286" i="2"/>
  <c r="M287" i="2" s="1"/>
  <c r="M231" i="2"/>
  <c r="M232" i="2" s="1"/>
  <c r="J327" i="2"/>
  <c r="J954" i="2" s="1"/>
  <c r="H92" i="2"/>
  <c r="H323" i="2" s="1"/>
  <c r="H324" i="2"/>
  <c r="H619" i="2" s="1"/>
  <c r="H617" i="2" s="1"/>
  <c r="M268" i="2"/>
  <c r="J235" i="2"/>
  <c r="J245" i="2" s="1"/>
  <c r="K280" i="2"/>
  <c r="K316" i="2"/>
  <c r="K317" i="2" s="1"/>
  <c r="K298" i="2"/>
  <c r="K299" i="2" s="1"/>
  <c r="L298" i="2"/>
  <c r="L280" i="2"/>
  <c r="L281" i="2" s="1"/>
  <c r="J318" i="2"/>
  <c r="K308" i="2"/>
  <c r="N315" i="2"/>
  <c r="N284" i="2"/>
  <c r="N279" i="2"/>
  <c r="N302" i="2"/>
  <c r="N297" i="2"/>
  <c r="N266" i="2"/>
  <c r="J300" i="2"/>
  <c r="K290" i="2"/>
  <c r="J281" i="2"/>
  <c r="M195" i="2"/>
  <c r="M196" i="2" s="1"/>
  <c r="M213" i="2"/>
  <c r="M214" i="2" s="1"/>
  <c r="M249" i="2"/>
  <c r="M250" i="2" s="1"/>
  <c r="I88" i="2"/>
  <c r="I324" i="2" s="1"/>
  <c r="K189" i="2"/>
  <c r="L189" i="2"/>
  <c r="L261" i="2"/>
  <c r="L262" i="2" s="1"/>
  <c r="J233" i="2"/>
  <c r="I237" i="2"/>
  <c r="I263" i="2"/>
  <c r="J253" i="2"/>
  <c r="I255" i="2"/>
  <c r="L243" i="2"/>
  <c r="L244" i="2" s="1"/>
  <c r="N260" i="2"/>
  <c r="N242" i="2"/>
  <c r="N229" i="2"/>
  <c r="N211" i="2"/>
  <c r="N206" i="2"/>
  <c r="N188" i="2"/>
  <c r="N175" i="2"/>
  <c r="N247" i="2"/>
  <c r="N193" i="2"/>
  <c r="N224" i="2"/>
  <c r="K225" i="2"/>
  <c r="K226" i="2" s="1"/>
  <c r="L225" i="2"/>
  <c r="L226" i="2" s="1"/>
  <c r="I201" i="2"/>
  <c r="J197" i="2"/>
  <c r="I209" i="2"/>
  <c r="J199" i="2"/>
  <c r="I191" i="2"/>
  <c r="J181" i="2"/>
  <c r="I227" i="2"/>
  <c r="I219" i="2"/>
  <c r="J217" i="2"/>
  <c r="J262" i="2"/>
  <c r="J251" i="2" s="1"/>
  <c r="L207" i="2"/>
  <c r="K207" i="2"/>
  <c r="K208" i="2" s="1"/>
  <c r="J190" i="2"/>
  <c r="J179" i="2" s="1"/>
  <c r="M140" i="2"/>
  <c r="M141" i="2" s="1"/>
  <c r="M104" i="2"/>
  <c r="M105" i="2" s="1"/>
  <c r="M158" i="2"/>
  <c r="M159" i="2" s="1"/>
  <c r="M86" i="2"/>
  <c r="M87" i="2" s="1"/>
  <c r="J99" i="2"/>
  <c r="M122" i="2"/>
  <c r="M123" i="2" s="1"/>
  <c r="G76" i="4"/>
  <c r="G165" i="4" s="1"/>
  <c r="G625" i="2"/>
  <c r="K98" i="2"/>
  <c r="J154" i="2"/>
  <c r="K144" i="2"/>
  <c r="I136" i="2"/>
  <c r="J126" i="2"/>
  <c r="I128" i="2"/>
  <c r="K170" i="2"/>
  <c r="K171" i="2" s="1"/>
  <c r="L134" i="2"/>
  <c r="L135" i="2" s="1"/>
  <c r="K134" i="2"/>
  <c r="K135" i="2" s="1"/>
  <c r="I118" i="2"/>
  <c r="J108" i="2"/>
  <c r="I110" i="2"/>
  <c r="J153" i="2"/>
  <c r="J142" i="2" s="1"/>
  <c r="L116" i="2"/>
  <c r="L117" i="2" s="1"/>
  <c r="I172" i="2"/>
  <c r="J162" i="2"/>
  <c r="I164" i="2"/>
  <c r="L170" i="2"/>
  <c r="L171" i="2" s="1"/>
  <c r="N169" i="2"/>
  <c r="N151" i="2"/>
  <c r="N156" i="2"/>
  <c r="N138" i="2"/>
  <c r="N133" i="2"/>
  <c r="N115" i="2"/>
  <c r="N120" i="2"/>
  <c r="N102" i="2"/>
  <c r="K152" i="2"/>
  <c r="L152" i="2"/>
  <c r="L153" i="2" s="1"/>
  <c r="J171" i="2"/>
  <c r="J160" i="2" s="1"/>
  <c r="J117" i="2"/>
  <c r="J106" i="2" s="1"/>
  <c r="K116" i="2"/>
  <c r="J141" i="4"/>
  <c r="J146" i="4"/>
  <c r="N84" i="2"/>
  <c r="N97" i="2"/>
  <c r="L98" i="2"/>
  <c r="N489" i="2"/>
  <c r="N577" i="2"/>
  <c r="H114" i="10"/>
  <c r="H122" i="10"/>
  <c r="H106" i="4"/>
  <c r="H867" i="2" s="1"/>
  <c r="N45" i="1"/>
  <c r="N44" i="1"/>
  <c r="P197" i="4"/>
  <c r="P288" i="4"/>
  <c r="P246" i="4"/>
  <c r="P47" i="1"/>
  <c r="P50" i="1"/>
  <c r="P48" i="1"/>
  <c r="P49" i="1"/>
  <c r="Q43" i="1"/>
  <c r="S86" i="1"/>
  <c r="N59" i="1"/>
  <c r="J117" i="10"/>
  <c r="K111" i="10"/>
  <c r="J110" i="10"/>
  <c r="N590" i="2"/>
  <c r="N603" i="2"/>
  <c r="J21" i="4"/>
  <c r="N203" i="4"/>
  <c r="N252" i="4"/>
  <c r="N187" i="4"/>
  <c r="N236" i="4"/>
  <c r="N294" i="4"/>
  <c r="N12" i="2"/>
  <c r="N121" i="2" s="1"/>
  <c r="N14" i="2"/>
  <c r="N139" i="2" s="1"/>
  <c r="N13" i="2"/>
  <c r="N157" i="2" s="1"/>
  <c r="N497" i="2"/>
  <c r="N883" i="2"/>
  <c r="N595" i="2"/>
  <c r="S79" i="1"/>
  <c r="R81" i="1"/>
  <c r="N83" i="4"/>
  <c r="Q87" i="1"/>
  <c r="P91" i="1"/>
  <c r="O2" i="2"/>
  <c r="O2" i="10"/>
  <c r="O2" i="1"/>
  <c r="O45" i="1" s="1"/>
  <c r="O2" i="4"/>
  <c r="O92" i="4" s="1"/>
  <c r="P25" i="1"/>
  <c r="O2" i="5"/>
  <c r="I114" i="10"/>
  <c r="I106" i="4"/>
  <c r="I867" i="2" s="1"/>
  <c r="N247" i="4"/>
  <c r="K4" i="2"/>
  <c r="K42" i="2"/>
  <c r="N857" i="2"/>
  <c r="N856" i="2" s="1"/>
  <c r="M858" i="2"/>
  <c r="O849" i="2"/>
  <c r="O848" i="2" s="1"/>
  <c r="N850" i="2"/>
  <c r="M593" i="2"/>
  <c r="O54" i="1"/>
  <c r="N55" i="1"/>
  <c r="N53" i="1" s="1"/>
  <c r="P62" i="10"/>
  <c r="P57" i="10"/>
  <c r="L102" i="4"/>
  <c r="M125" i="10"/>
  <c r="L82" i="4"/>
  <c r="M97" i="10"/>
  <c r="L651" i="2"/>
  <c r="M650" i="2"/>
  <c r="N582" i="2"/>
  <c r="K491" i="2"/>
  <c r="K13" i="4" s="1"/>
  <c r="L487" i="2"/>
  <c r="L588" i="2"/>
  <c r="M124" i="10"/>
  <c r="L90" i="4"/>
  <c r="M93" i="10"/>
  <c r="L668" i="2"/>
  <c r="M667" i="2"/>
  <c r="L275" i="4"/>
  <c r="M123" i="1"/>
  <c r="M673" i="2"/>
  <c r="N672" i="2"/>
  <c r="N111" i="4"/>
  <c r="L627" i="2"/>
  <c r="M626" i="2"/>
  <c r="M140" i="1"/>
  <c r="M638" i="2"/>
  <c r="M639" i="2" s="1"/>
  <c r="M656" i="2"/>
  <c r="M657" i="2" s="1"/>
  <c r="L226" i="4"/>
  <c r="M120" i="1"/>
  <c r="L29" i="1"/>
  <c r="L28" i="1"/>
  <c r="L27" i="1"/>
  <c r="M26" i="1"/>
  <c r="M632" i="2"/>
  <c r="L86" i="4"/>
  <c r="M65" i="10"/>
  <c r="M606" i="2"/>
  <c r="K317" i="4"/>
  <c r="L146" i="1"/>
  <c r="M499" i="2"/>
  <c r="N495" i="2"/>
  <c r="L663" i="2"/>
  <c r="M662" i="2"/>
  <c r="M644" i="2"/>
  <c r="M645" i="2" s="1"/>
  <c r="G72" i="12"/>
  <c r="N72" i="12" s="1"/>
  <c r="D69" i="12"/>
  <c r="K80" i="2"/>
  <c r="K47" i="4"/>
  <c r="K38" i="1"/>
  <c r="K90" i="10"/>
  <c r="K174" i="4"/>
  <c r="K862" i="2"/>
  <c r="K222" i="4"/>
  <c r="K113" i="1"/>
  <c r="K102" i="10"/>
  <c r="K841" i="2"/>
  <c r="K4" i="5"/>
  <c r="K1" i="10"/>
  <c r="K68" i="1"/>
  <c r="K615" i="2"/>
  <c r="K1" i="5"/>
  <c r="K891" i="2"/>
  <c r="K313" i="4"/>
  <c r="K138" i="4"/>
  <c r="K14" i="1"/>
  <c r="K271" i="4"/>
  <c r="K1" i="1"/>
  <c r="K826" i="2"/>
  <c r="K682" i="2"/>
  <c r="K4" i="4"/>
  <c r="K1" i="2"/>
  <c r="K464" i="2"/>
  <c r="K37" i="4"/>
  <c r="K880" i="2"/>
  <c r="K332" i="2"/>
  <c r="K1" i="4"/>
  <c r="K73" i="4"/>
  <c r="K513" i="2"/>
  <c r="K119" i="4"/>
  <c r="K952" i="2"/>
  <c r="K55" i="10"/>
  <c r="J131" i="1"/>
  <c r="I178" i="4"/>
  <c r="J70" i="10"/>
  <c r="J14" i="4"/>
  <c r="H89" i="4"/>
  <c r="I84" i="10"/>
  <c r="I77" i="10"/>
  <c r="L316" i="2" l="1"/>
  <c r="L317" i="2" s="1"/>
  <c r="M304" i="2"/>
  <c r="M305" i="2" s="1"/>
  <c r="K243" i="2"/>
  <c r="K244" i="2" s="1"/>
  <c r="I90" i="2"/>
  <c r="I325" i="2" s="1"/>
  <c r="H100" i="2"/>
  <c r="H326" i="2" s="1"/>
  <c r="H961" i="2" s="1"/>
  <c r="G785" i="2"/>
  <c r="K768" i="2"/>
  <c r="L768" i="2" s="1"/>
  <c r="I822" i="2"/>
  <c r="O83" i="4"/>
  <c r="O108" i="4"/>
  <c r="O113" i="4"/>
  <c r="H799" i="2"/>
  <c r="H736" i="2"/>
  <c r="G781" i="2"/>
  <c r="H700" i="2"/>
  <c r="H822" i="2"/>
  <c r="J709" i="2"/>
  <c r="G88" i="4"/>
  <c r="G981" i="2"/>
  <c r="K601" i="2"/>
  <c r="L601" i="2" s="1"/>
  <c r="M601" i="2" s="1"/>
  <c r="N601" i="2" s="1"/>
  <c r="O601" i="2" s="1"/>
  <c r="J605" i="2"/>
  <c r="J15" i="4" s="1"/>
  <c r="O247" i="4"/>
  <c r="O59" i="1"/>
  <c r="O44" i="1"/>
  <c r="O103" i="4"/>
  <c r="O198" i="4"/>
  <c r="G973" i="2"/>
  <c r="H973" i="2"/>
  <c r="I973" i="2"/>
  <c r="H795" i="2"/>
  <c r="H732" i="2"/>
  <c r="G20" i="4"/>
  <c r="G145" i="4" s="1"/>
  <c r="H784" i="2"/>
  <c r="H705" i="2"/>
  <c r="K455" i="2"/>
  <c r="K631" i="2" s="1"/>
  <c r="K629" i="2" s="1"/>
  <c r="K80" i="4" s="1"/>
  <c r="M343" i="2"/>
  <c r="N343" i="2" s="1"/>
  <c r="L56" i="4"/>
  <c r="E51" i="7" s="1"/>
  <c r="H348" i="2"/>
  <c r="G459" i="2"/>
  <c r="G655" i="2" s="1"/>
  <c r="J454" i="2"/>
  <c r="J955" i="2" s="1"/>
  <c r="J321" i="4" s="1"/>
  <c r="M341" i="2"/>
  <c r="J414" i="2"/>
  <c r="K414" i="2" s="1"/>
  <c r="I418" i="2"/>
  <c r="M413" i="2"/>
  <c r="O422" i="2"/>
  <c r="O416" i="2"/>
  <c r="O409" i="2"/>
  <c r="O407" i="2"/>
  <c r="O411" i="2"/>
  <c r="N406" i="2"/>
  <c r="N413" i="2" s="1"/>
  <c r="I181" i="4"/>
  <c r="I278" i="4"/>
  <c r="K182" i="4"/>
  <c r="K229" i="4"/>
  <c r="K279" i="4"/>
  <c r="L790" i="2"/>
  <c r="L817" i="2" s="1"/>
  <c r="N708" i="2"/>
  <c r="N702" i="2"/>
  <c r="M804" i="2"/>
  <c r="M56" i="4" s="1"/>
  <c r="L52" i="4"/>
  <c r="E47" i="7" s="1"/>
  <c r="N767" i="2"/>
  <c r="N761" i="2"/>
  <c r="L818" i="2"/>
  <c r="N739" i="2"/>
  <c r="N733" i="2"/>
  <c r="J58" i="4"/>
  <c r="L962" i="2"/>
  <c r="N703" i="2"/>
  <c r="N783" i="2" s="1"/>
  <c r="O352" i="2"/>
  <c r="O257" i="2"/>
  <c r="O294" i="2"/>
  <c r="O221" i="2"/>
  <c r="O148" i="2"/>
  <c r="O239" i="2"/>
  <c r="O130" i="2"/>
  <c r="O276" i="2"/>
  <c r="O203" i="2"/>
  <c r="O112" i="2"/>
  <c r="O166" i="2"/>
  <c r="O94" i="2"/>
  <c r="O185" i="2"/>
  <c r="O312" i="2"/>
  <c r="O529" i="2"/>
  <c r="O750" i="2"/>
  <c r="O442" i="2"/>
  <c r="O548" i="2"/>
  <c r="O399" i="2"/>
  <c r="O378" i="2"/>
  <c r="O537" i="2"/>
  <c r="O521" i="2"/>
  <c r="O567" i="2"/>
  <c r="O722" i="2"/>
  <c r="O556" i="2"/>
  <c r="O692" i="2"/>
  <c r="P72" i="1"/>
  <c r="M797" i="2"/>
  <c r="E5" i="7"/>
  <c r="I143" i="4"/>
  <c r="I144" i="4"/>
  <c r="J944" i="2"/>
  <c r="J913" i="2"/>
  <c r="G871" i="2"/>
  <c r="G46" i="4" s="1"/>
  <c r="G963" i="2"/>
  <c r="J921" i="2"/>
  <c r="J938" i="2"/>
  <c r="J44" i="4" s="1"/>
  <c r="H872" i="2"/>
  <c r="H869" i="2"/>
  <c r="I872" i="2"/>
  <c r="I869" i="2"/>
  <c r="I873" i="2" s="1"/>
  <c r="I963" i="2" s="1"/>
  <c r="K922" i="2"/>
  <c r="M570" i="2"/>
  <c r="M600" i="2" s="1"/>
  <c r="M598" i="2" s="1"/>
  <c r="O924" i="2"/>
  <c r="O905" i="2"/>
  <c r="O931" i="2"/>
  <c r="O932" i="2" s="1"/>
  <c r="L902" i="2"/>
  <c r="M903" i="2"/>
  <c r="M904" i="2" s="1"/>
  <c r="N569" i="2"/>
  <c r="N565" i="2" s="1"/>
  <c r="N599" i="2" s="1"/>
  <c r="N558" i="2"/>
  <c r="N554" i="2" s="1"/>
  <c r="N559" i="2" s="1"/>
  <c r="K597" i="2"/>
  <c r="I42" i="4"/>
  <c r="M586" i="2"/>
  <c r="K608" i="2"/>
  <c r="J610" i="2"/>
  <c r="L597" i="2"/>
  <c r="K598" i="2"/>
  <c r="N550" i="2"/>
  <c r="N546" i="2" s="1"/>
  <c r="M551" i="2"/>
  <c r="M587" i="2" s="1"/>
  <c r="O568" i="2"/>
  <c r="L965" i="2"/>
  <c r="L585" i="2"/>
  <c r="J585" i="2"/>
  <c r="J597" i="2"/>
  <c r="K585" i="2"/>
  <c r="K965" i="2"/>
  <c r="O557" i="2"/>
  <c r="O549" i="2"/>
  <c r="N531" i="2"/>
  <c r="N527" i="2" s="1"/>
  <c r="N532" i="2" s="1"/>
  <c r="N523" i="2"/>
  <c r="N519" i="2" s="1"/>
  <c r="N524" i="2" s="1"/>
  <c r="M573" i="2"/>
  <c r="N539" i="2"/>
  <c r="N535" i="2" s="1"/>
  <c r="N540" i="2" s="1"/>
  <c r="M574" i="2"/>
  <c r="K572" i="2"/>
  <c r="K575" i="2"/>
  <c r="J579" i="2"/>
  <c r="J10" i="4" s="1"/>
  <c r="N427" i="2"/>
  <c r="N428" i="2" s="1"/>
  <c r="N435" i="2" s="1"/>
  <c r="N445" i="2" s="1"/>
  <c r="N446" i="2" s="1"/>
  <c r="L572" i="2"/>
  <c r="J584" i="2"/>
  <c r="K580" i="2"/>
  <c r="O538" i="2"/>
  <c r="O530" i="2"/>
  <c r="O522" i="2"/>
  <c r="G350" i="2"/>
  <c r="J346" i="2"/>
  <c r="J440" i="2"/>
  <c r="L436" i="2"/>
  <c r="M436" i="2" s="1"/>
  <c r="N436" i="2" s="1"/>
  <c r="O436" i="2" s="1"/>
  <c r="K440" i="2"/>
  <c r="O426" i="2"/>
  <c r="O438" i="2"/>
  <c r="O444" i="2"/>
  <c r="O431" i="2"/>
  <c r="O433" i="2"/>
  <c r="O429" i="2"/>
  <c r="M445" i="2"/>
  <c r="M446" i="2" s="1"/>
  <c r="K345" i="2"/>
  <c r="K355" i="2" s="1"/>
  <c r="N385" i="2"/>
  <c r="N392" i="2" s="1"/>
  <c r="N402" i="2" s="1"/>
  <c r="N403" i="2" s="1"/>
  <c r="N397" i="2" s="1"/>
  <c r="H372" i="2"/>
  <c r="H458" i="2" s="1"/>
  <c r="G649" i="2"/>
  <c r="G647" i="2" s="1"/>
  <c r="G97" i="4" s="1"/>
  <c r="J356" i="2"/>
  <c r="L339" i="2"/>
  <c r="N27" i="2"/>
  <c r="N35" i="2"/>
  <c r="M38" i="2"/>
  <c r="M336" i="2" s="1"/>
  <c r="M338" i="2" s="1"/>
  <c r="M451" i="2" s="1"/>
  <c r="N25" i="2"/>
  <c r="N22" i="2"/>
  <c r="N33" i="2"/>
  <c r="N26" i="2"/>
  <c r="N34" i="2"/>
  <c r="O390" i="2"/>
  <c r="O388" i="2"/>
  <c r="O386" i="2"/>
  <c r="O401" i="2"/>
  <c r="O393" i="2"/>
  <c r="O395" i="2"/>
  <c r="O17" i="2"/>
  <c r="O19" i="2"/>
  <c r="O20" i="2"/>
  <c r="O18" i="2"/>
  <c r="O21" i="2"/>
  <c r="M392" i="2"/>
  <c r="M30" i="2"/>
  <c r="N29" i="2"/>
  <c r="N37" i="2"/>
  <c r="N28" i="2"/>
  <c r="N36" i="2"/>
  <c r="N337" i="2"/>
  <c r="M793" i="2"/>
  <c r="M91" i="4" s="1"/>
  <c r="G376" i="2"/>
  <c r="O354" i="2"/>
  <c r="I382" i="2"/>
  <c r="I453" i="2" s="1"/>
  <c r="K371" i="2"/>
  <c r="K381" i="2" s="1"/>
  <c r="I955" i="2"/>
  <c r="I321" i="4" s="1"/>
  <c r="I449" i="2"/>
  <c r="I8" i="4" s="1"/>
  <c r="H374" i="2"/>
  <c r="H8" i="4"/>
  <c r="D7" i="7" s="1"/>
  <c r="G142" i="4"/>
  <c r="G167" i="4"/>
  <c r="G7" i="4"/>
  <c r="L367" i="2"/>
  <c r="L457" i="2" s="1"/>
  <c r="L365" i="2"/>
  <c r="N757" i="2"/>
  <c r="J382" i="2"/>
  <c r="L369" i="2"/>
  <c r="L456" i="2" s="1"/>
  <c r="O380" i="2"/>
  <c r="O364" i="2" s="1"/>
  <c r="J508" i="2"/>
  <c r="J41" i="4" s="1"/>
  <c r="J637" i="2"/>
  <c r="J635" i="2" s="1"/>
  <c r="J79" i="4" s="1"/>
  <c r="K481" i="2"/>
  <c r="K984" i="2"/>
  <c r="K332" i="4" s="1"/>
  <c r="K506" i="2"/>
  <c r="K985" i="2" s="1"/>
  <c r="K479" i="2"/>
  <c r="J643" i="2"/>
  <c r="J641" i="2" s="1"/>
  <c r="J78" i="4" s="1"/>
  <c r="J166" i="4" s="1"/>
  <c r="M472" i="2"/>
  <c r="M478" i="2" s="1"/>
  <c r="M503" i="2" s="1"/>
  <c r="M477" i="2"/>
  <c r="M768" i="2"/>
  <c r="N470" i="2"/>
  <c r="N471" i="2" s="1"/>
  <c r="N477" i="2" s="1"/>
  <c r="J984" i="2"/>
  <c r="J506" i="2"/>
  <c r="J985" i="2" s="1"/>
  <c r="L502" i="2"/>
  <c r="L476" i="2"/>
  <c r="J500" i="2"/>
  <c r="J483" i="2"/>
  <c r="J9" i="4" s="1"/>
  <c r="K476" i="2"/>
  <c r="K502" i="2"/>
  <c r="L984" i="2"/>
  <c r="L332" i="4" s="1"/>
  <c r="L506" i="2"/>
  <c r="L985" i="2" s="1"/>
  <c r="N758" i="2"/>
  <c r="N794" i="2" s="1"/>
  <c r="O744" i="2"/>
  <c r="O758" i="2" s="1"/>
  <c r="O474" i="2"/>
  <c r="O501" i="2"/>
  <c r="M740" i="2"/>
  <c r="J973" i="2"/>
  <c r="K973" i="2"/>
  <c r="N759" i="2"/>
  <c r="N760" i="2" s="1"/>
  <c r="N762" i="2"/>
  <c r="N763" i="2"/>
  <c r="N764" i="2" s="1"/>
  <c r="N698" i="2"/>
  <c r="N729" i="2"/>
  <c r="N727" i="2"/>
  <c r="O689" i="2"/>
  <c r="O698" i="2" s="1"/>
  <c r="O778" i="2" s="1"/>
  <c r="O716" i="2"/>
  <c r="N699" i="2"/>
  <c r="N779" i="2" s="1"/>
  <c r="M734" i="2"/>
  <c r="M798" i="2" s="1"/>
  <c r="K251" i="2"/>
  <c r="K272" i="2"/>
  <c r="L272" i="2" s="1"/>
  <c r="K197" i="2"/>
  <c r="J306" i="2"/>
  <c r="J310" i="2" s="1"/>
  <c r="K288" i="2"/>
  <c r="K292" i="2" s="1"/>
  <c r="M225" i="2"/>
  <c r="M226" i="2" s="1"/>
  <c r="L251" i="2"/>
  <c r="J292" i="2"/>
  <c r="J270" i="2"/>
  <c r="J274" i="2" s="1"/>
  <c r="K124" i="2"/>
  <c r="L124" i="2" s="1"/>
  <c r="M261" i="2"/>
  <c r="M262" i="2" s="1"/>
  <c r="M251" i="2" s="1"/>
  <c r="K306" i="2"/>
  <c r="L306" i="2" s="1"/>
  <c r="K160" i="2"/>
  <c r="L160" i="2" s="1"/>
  <c r="K215" i="2"/>
  <c r="L215" i="2" s="1"/>
  <c r="N177" i="2"/>
  <c r="N178" i="2" s="1"/>
  <c r="N304" i="2"/>
  <c r="N305" i="2" s="1"/>
  <c r="J90" i="2"/>
  <c r="J325" i="2" s="1"/>
  <c r="N195" i="2"/>
  <c r="N196" i="2" s="1"/>
  <c r="N231" i="2"/>
  <c r="N232" i="2" s="1"/>
  <c r="N286" i="2"/>
  <c r="N287" i="2" s="1"/>
  <c r="N268" i="2"/>
  <c r="N269" i="2" s="1"/>
  <c r="N213" i="2"/>
  <c r="N214" i="2" s="1"/>
  <c r="N249" i="2"/>
  <c r="N250" i="2" s="1"/>
  <c r="K235" i="2"/>
  <c r="K245" i="2" s="1"/>
  <c r="M269" i="2"/>
  <c r="J322" i="2"/>
  <c r="J255" i="2"/>
  <c r="H76" i="4"/>
  <c r="H165" i="4" s="1"/>
  <c r="L327" i="2"/>
  <c r="L954" i="2" s="1"/>
  <c r="L320" i="4" s="1"/>
  <c r="K300" i="2"/>
  <c r="L290" i="2"/>
  <c r="K318" i="2"/>
  <c r="L308" i="2"/>
  <c r="K281" i="2"/>
  <c r="O302" i="2"/>
  <c r="O315" i="2"/>
  <c r="O297" i="2"/>
  <c r="O284" i="2"/>
  <c r="O279" i="2"/>
  <c r="O266" i="2"/>
  <c r="J183" i="2"/>
  <c r="L299" i="2"/>
  <c r="M316" i="2"/>
  <c r="M317" i="2" s="1"/>
  <c r="H328" i="2"/>
  <c r="M298" i="2"/>
  <c r="M299" i="2" s="1"/>
  <c r="I619" i="2"/>
  <c r="I617" i="2" s="1"/>
  <c r="J88" i="2"/>
  <c r="M189" i="2"/>
  <c r="M190" i="2" s="1"/>
  <c r="K190" i="2"/>
  <c r="K179" i="2" s="1"/>
  <c r="J191" i="2"/>
  <c r="K181" i="2"/>
  <c r="J263" i="2"/>
  <c r="K253" i="2"/>
  <c r="L190" i="2"/>
  <c r="M243" i="2"/>
  <c r="M244" i="2" s="1"/>
  <c r="L208" i="2"/>
  <c r="L197" i="2" s="1"/>
  <c r="J209" i="2"/>
  <c r="K199" i="2"/>
  <c r="M207" i="2"/>
  <c r="M208" i="2" s="1"/>
  <c r="J237" i="2"/>
  <c r="J227" i="2"/>
  <c r="K217" i="2"/>
  <c r="O247" i="2"/>
  <c r="O242" i="2"/>
  <c r="O229" i="2"/>
  <c r="O260" i="2"/>
  <c r="O224" i="2"/>
  <c r="O211" i="2"/>
  <c r="O206" i="2"/>
  <c r="O175" i="2"/>
  <c r="O193" i="2"/>
  <c r="O188" i="2"/>
  <c r="J219" i="2"/>
  <c r="J201" i="2"/>
  <c r="N140" i="2"/>
  <c r="N141" i="2" s="1"/>
  <c r="N104" i="2"/>
  <c r="N105" i="2" s="1"/>
  <c r="N158" i="2"/>
  <c r="N122" i="2"/>
  <c r="N123" i="2" s="1"/>
  <c r="N86" i="2"/>
  <c r="N87" i="2" s="1"/>
  <c r="L141" i="4"/>
  <c r="L146" i="4"/>
  <c r="M134" i="2"/>
  <c r="M135" i="2" s="1"/>
  <c r="K141" i="4"/>
  <c r="K146" i="4"/>
  <c r="H625" i="2"/>
  <c r="J164" i="2"/>
  <c r="J110" i="2"/>
  <c r="J128" i="2"/>
  <c r="H39" i="4"/>
  <c r="D34" i="7" s="1"/>
  <c r="G623" i="2"/>
  <c r="G101" i="4"/>
  <c r="K99" i="2"/>
  <c r="M116" i="2"/>
  <c r="M117" i="2" s="1"/>
  <c r="J146" i="2"/>
  <c r="J136" i="2"/>
  <c r="K126" i="2"/>
  <c r="O156" i="2"/>
  <c r="O169" i="2"/>
  <c r="O120" i="2"/>
  <c r="O151" i="2"/>
  <c r="O115" i="2"/>
  <c r="O133" i="2"/>
  <c r="O102" i="2"/>
  <c r="O138" i="2"/>
  <c r="M152" i="2"/>
  <c r="M153" i="2" s="1"/>
  <c r="K153" i="2"/>
  <c r="J172" i="2"/>
  <c r="K162" i="2"/>
  <c r="K117" i="2"/>
  <c r="K106" i="2" s="1"/>
  <c r="L106" i="2" s="1"/>
  <c r="J118" i="2"/>
  <c r="K108" i="2"/>
  <c r="M170" i="2"/>
  <c r="M171" i="2" s="1"/>
  <c r="K154" i="2"/>
  <c r="L144" i="2"/>
  <c r="L99" i="2"/>
  <c r="J320" i="4"/>
  <c r="M98" i="2"/>
  <c r="O84" i="2"/>
  <c r="O97" i="2"/>
  <c r="I122" i="4"/>
  <c r="I109" i="4"/>
  <c r="T79" i="1"/>
  <c r="S81" i="1"/>
  <c r="O590" i="2"/>
  <c r="H109" i="4"/>
  <c r="H122" i="4"/>
  <c r="O497" i="2"/>
  <c r="J120" i="10"/>
  <c r="K107" i="10"/>
  <c r="K118" i="10" s="1"/>
  <c r="R43" i="1"/>
  <c r="Q48" i="1"/>
  <c r="Q197" i="4"/>
  <c r="Q47" i="1"/>
  <c r="Q50" i="1"/>
  <c r="Q49" i="1"/>
  <c r="Q288" i="4"/>
  <c r="Q246" i="4"/>
  <c r="I122" i="10"/>
  <c r="P2" i="5"/>
  <c r="P2" i="4"/>
  <c r="P2" i="2"/>
  <c r="P2" i="10"/>
  <c r="P2" i="1"/>
  <c r="P45" i="1" s="1"/>
  <c r="Q25" i="1"/>
  <c r="O595" i="2"/>
  <c r="P113" i="4"/>
  <c r="P103" i="4"/>
  <c r="R87" i="1"/>
  <c r="Q91" i="1"/>
  <c r="T86" i="1"/>
  <c r="O294" i="4"/>
  <c r="O203" i="4"/>
  <c r="O187" i="4"/>
  <c r="O252" i="4"/>
  <c r="O236" i="4"/>
  <c r="O603" i="2"/>
  <c r="O289" i="4"/>
  <c r="P289" i="4" s="1"/>
  <c r="O14" i="2"/>
  <c r="O139" i="2" s="1"/>
  <c r="O12" i="2"/>
  <c r="O121" i="2" s="1"/>
  <c r="O13" i="2"/>
  <c r="O157" i="2" s="1"/>
  <c r="O883" i="2"/>
  <c r="O577" i="2"/>
  <c r="O489" i="2"/>
  <c r="K112" i="10"/>
  <c r="L111" i="10" s="1"/>
  <c r="K116" i="10"/>
  <c r="K110" i="10"/>
  <c r="O850" i="2"/>
  <c r="P849" i="2"/>
  <c r="P848" i="2" s="1"/>
  <c r="N858" i="2"/>
  <c r="O857" i="2"/>
  <c r="O856" i="2" s="1"/>
  <c r="N593" i="2"/>
  <c r="P54" i="1"/>
  <c r="O55" i="1"/>
  <c r="O53" i="1" s="1"/>
  <c r="L47" i="4"/>
  <c r="E42" i="7" s="1"/>
  <c r="Q62" i="10"/>
  <c r="Q57" i="10"/>
  <c r="N632" i="2"/>
  <c r="N621" i="2"/>
  <c r="O111" i="4"/>
  <c r="M90" i="4"/>
  <c r="N93" i="10"/>
  <c r="M621" i="2"/>
  <c r="O582" i="2"/>
  <c r="L34" i="1"/>
  <c r="L55" i="2" s="1"/>
  <c r="M668" i="2"/>
  <c r="N667" i="2"/>
  <c r="L491" i="2"/>
  <c r="M487" i="2"/>
  <c r="M651" i="2"/>
  <c r="N650" i="2"/>
  <c r="N606" i="2"/>
  <c r="N656" i="2"/>
  <c r="N657" i="2" s="1"/>
  <c r="N638" i="2"/>
  <c r="N639" i="2" s="1"/>
  <c r="L592" i="2"/>
  <c r="M588" i="2"/>
  <c r="N140" i="1"/>
  <c r="N499" i="2"/>
  <c r="O495" i="2"/>
  <c r="M29" i="1"/>
  <c r="M28" i="1"/>
  <c r="N26" i="1"/>
  <c r="M27" i="1"/>
  <c r="M226" i="4"/>
  <c r="N120" i="1"/>
  <c r="M627" i="2"/>
  <c r="N626" i="2"/>
  <c r="M663" i="2"/>
  <c r="N662" i="2"/>
  <c r="M275" i="4"/>
  <c r="N123" i="1"/>
  <c r="M86" i="4"/>
  <c r="N65" i="10"/>
  <c r="M102" i="4"/>
  <c r="N125" i="10"/>
  <c r="N644" i="2"/>
  <c r="N645" i="2" s="1"/>
  <c r="L317" i="4"/>
  <c r="M146" i="1"/>
  <c r="M633" i="2"/>
  <c r="N673" i="2"/>
  <c r="O672" i="2"/>
  <c r="N124" i="10"/>
  <c r="M82" i="4"/>
  <c r="N97" i="10"/>
  <c r="I72" i="12"/>
  <c r="B80" i="12" s="1"/>
  <c r="H69" i="12"/>
  <c r="I69" i="12" s="1"/>
  <c r="D73" i="12"/>
  <c r="L72" i="12"/>
  <c r="J72" i="12"/>
  <c r="J178" i="4"/>
  <c r="K131" i="1"/>
  <c r="I78" i="10"/>
  <c r="I85" i="10"/>
  <c r="J71" i="10"/>
  <c r="J72" i="10" s="1"/>
  <c r="I92" i="2" l="1"/>
  <c r="K327" i="2"/>
  <c r="K954" i="2" s="1"/>
  <c r="K320" i="4" s="1"/>
  <c r="K233" i="2"/>
  <c r="L233" i="2" s="1"/>
  <c r="J143" i="4"/>
  <c r="I100" i="2"/>
  <c r="I326" i="2" s="1"/>
  <c r="I625" i="2" s="1"/>
  <c r="P247" i="4"/>
  <c r="P198" i="4"/>
  <c r="P83" i="4"/>
  <c r="N605" i="2"/>
  <c r="N15" i="4" s="1"/>
  <c r="H785" i="2"/>
  <c r="I704" i="2"/>
  <c r="G87" i="4"/>
  <c r="G93" i="4" s="1"/>
  <c r="G169" i="4" s="1"/>
  <c r="G979" i="2"/>
  <c r="G976" i="2" s="1"/>
  <c r="P108" i="4"/>
  <c r="K605" i="2"/>
  <c r="K15" i="4" s="1"/>
  <c r="M605" i="2"/>
  <c r="M15" i="4" s="1"/>
  <c r="L605" i="2"/>
  <c r="L15" i="4" s="1"/>
  <c r="H796" i="2"/>
  <c r="I731" i="2"/>
  <c r="J822" i="2"/>
  <c r="K709" i="2"/>
  <c r="H780" i="2"/>
  <c r="H20" i="4" s="1"/>
  <c r="H145" i="4" s="1"/>
  <c r="H701" i="2"/>
  <c r="H800" i="2"/>
  <c r="I735" i="2"/>
  <c r="J453" i="2"/>
  <c r="J964" i="2" s="1"/>
  <c r="H459" i="2"/>
  <c r="H655" i="2" s="1"/>
  <c r="I348" i="2"/>
  <c r="I350" i="2" s="1"/>
  <c r="G452" i="2"/>
  <c r="G450" i="2" s="1"/>
  <c r="G40" i="4" s="1"/>
  <c r="J418" i="2"/>
  <c r="K454" i="2"/>
  <c r="K955" i="2" s="1"/>
  <c r="K321" i="4" s="1"/>
  <c r="O343" i="2"/>
  <c r="P343" i="2" s="1"/>
  <c r="H350" i="2"/>
  <c r="N341" i="2"/>
  <c r="L455" i="2"/>
  <c r="L631" i="2" s="1"/>
  <c r="L629" i="2" s="1"/>
  <c r="L80" i="4" s="1"/>
  <c r="K346" i="2"/>
  <c r="L346" i="2" s="1"/>
  <c r="O406" i="2"/>
  <c r="L414" i="2"/>
  <c r="K418" i="2"/>
  <c r="P416" i="2"/>
  <c r="P422" i="2"/>
  <c r="P405" i="2"/>
  <c r="P407" i="2"/>
  <c r="P409" i="2"/>
  <c r="P411" i="2"/>
  <c r="M423" i="2"/>
  <c r="M424" i="2" s="1"/>
  <c r="N423" i="2"/>
  <c r="N424" i="2" s="1"/>
  <c r="M962" i="2"/>
  <c r="N804" i="2"/>
  <c r="N797" i="2"/>
  <c r="N790" i="2" s="1"/>
  <c r="N53" i="4" s="1"/>
  <c r="N789" i="2"/>
  <c r="J229" i="4"/>
  <c r="J279" i="4"/>
  <c r="J182" i="4"/>
  <c r="O708" i="2"/>
  <c r="O789" i="2" s="1"/>
  <c r="O702" i="2"/>
  <c r="O782" i="2" s="1"/>
  <c r="L53" i="4"/>
  <c r="M818" i="2"/>
  <c r="M968" i="2" s="1"/>
  <c r="M790" i="2"/>
  <c r="O739" i="2"/>
  <c r="O733" i="2"/>
  <c r="O767" i="2"/>
  <c r="O761" i="2"/>
  <c r="L968" i="2"/>
  <c r="P352" i="2"/>
  <c r="P257" i="2"/>
  <c r="P185" i="2"/>
  <c r="P312" i="2"/>
  <c r="P239" i="2"/>
  <c r="P276" i="2"/>
  <c r="P148" i="2"/>
  <c r="P166" i="2"/>
  <c r="P130" i="2"/>
  <c r="P294" i="2"/>
  <c r="P221" i="2"/>
  <c r="P112" i="2"/>
  <c r="P94" i="2"/>
  <c r="P203" i="2"/>
  <c r="P529" i="2"/>
  <c r="P442" i="2"/>
  <c r="P722" i="2"/>
  <c r="P750" i="2"/>
  <c r="P399" i="2"/>
  <c r="P378" i="2"/>
  <c r="P567" i="2"/>
  <c r="P556" i="2"/>
  <c r="P537" i="2"/>
  <c r="P521" i="2"/>
  <c r="P548" i="2"/>
  <c r="P692" i="2"/>
  <c r="Q72" i="1"/>
  <c r="N782" i="2"/>
  <c r="G1009" i="2"/>
  <c r="G1000" i="2"/>
  <c r="G997" i="2" s="1"/>
  <c r="G998" i="2" s="1"/>
  <c r="I7" i="4"/>
  <c r="G11" i="4"/>
  <c r="J939" i="2"/>
  <c r="J934" i="2" s="1"/>
  <c r="J181" i="4"/>
  <c r="J126" i="4"/>
  <c r="O569" i="2"/>
  <c r="O565" i="2" s="1"/>
  <c r="O570" i="2" s="1"/>
  <c r="O600" i="2" s="1"/>
  <c r="J278" i="4"/>
  <c r="N570" i="2"/>
  <c r="N600" i="2" s="1"/>
  <c r="N598" i="2" s="1"/>
  <c r="I26" i="4"/>
  <c r="I871" i="2"/>
  <c r="I46" i="4" s="1"/>
  <c r="H873" i="2"/>
  <c r="H871" i="2" s="1"/>
  <c r="H46" i="4" s="1"/>
  <c r="H1009" i="2" s="1"/>
  <c r="G972" i="2"/>
  <c r="J943" i="2"/>
  <c r="K912" i="2"/>
  <c r="K923" i="2"/>
  <c r="K938" i="2" s="1"/>
  <c r="K937" i="2"/>
  <c r="K21" i="4" s="1"/>
  <c r="H26" i="4"/>
  <c r="D21" i="7" s="1"/>
  <c r="M902" i="2"/>
  <c r="N903" i="2"/>
  <c r="P924" i="2"/>
  <c r="P905" i="2"/>
  <c r="P931" i="2"/>
  <c r="P932" i="2" s="1"/>
  <c r="N586" i="2"/>
  <c r="O558" i="2"/>
  <c r="O554" i="2" s="1"/>
  <c r="O559" i="2" s="1"/>
  <c r="N551" i="2"/>
  <c r="N587" i="2" s="1"/>
  <c r="O550" i="2"/>
  <c r="O546" i="2" s="1"/>
  <c r="O551" i="2" s="1"/>
  <c r="O539" i="2"/>
  <c r="O535" i="2" s="1"/>
  <c r="O540" i="2" s="1"/>
  <c r="M597" i="2"/>
  <c r="M965" i="2"/>
  <c r="L608" i="2"/>
  <c r="K610" i="2"/>
  <c r="L611" i="2"/>
  <c r="P568" i="2"/>
  <c r="M585" i="2"/>
  <c r="O523" i="2"/>
  <c r="O519" i="2" s="1"/>
  <c r="O524" i="2" s="1"/>
  <c r="O531" i="2"/>
  <c r="O527" i="2" s="1"/>
  <c r="O532" i="2" s="1"/>
  <c r="K611" i="2"/>
  <c r="J42" i="4"/>
  <c r="J611" i="2"/>
  <c r="P557" i="2"/>
  <c r="P549" i="2"/>
  <c r="N440" i="2"/>
  <c r="N573" i="2"/>
  <c r="M572" i="2"/>
  <c r="O427" i="2"/>
  <c r="O428" i="2" s="1"/>
  <c r="O435" i="2" s="1"/>
  <c r="K584" i="2"/>
  <c r="L580" i="2"/>
  <c r="L575" i="2"/>
  <c r="K579" i="2"/>
  <c r="K10" i="4" s="1"/>
  <c r="N574" i="2"/>
  <c r="P538" i="2"/>
  <c r="P530" i="2"/>
  <c r="P522" i="2"/>
  <c r="L345" i="2"/>
  <c r="L355" i="2" s="1"/>
  <c r="H649" i="2"/>
  <c r="H647" i="2" s="1"/>
  <c r="H97" i="4" s="1"/>
  <c r="M440" i="2"/>
  <c r="P426" i="2"/>
  <c r="P438" i="2"/>
  <c r="P436" i="2"/>
  <c r="P444" i="2"/>
  <c r="P433" i="2"/>
  <c r="P429" i="2"/>
  <c r="P431" i="2"/>
  <c r="L440" i="2"/>
  <c r="I372" i="2"/>
  <c r="I458" i="2" s="1"/>
  <c r="M339" i="2"/>
  <c r="O27" i="2"/>
  <c r="O35" i="2"/>
  <c r="O25" i="2"/>
  <c r="O22" i="2"/>
  <c r="O33" i="2"/>
  <c r="N38" i="2"/>
  <c r="N336" i="2" s="1"/>
  <c r="N338" i="2" s="1"/>
  <c r="N451" i="2" s="1"/>
  <c r="M402" i="2"/>
  <c r="M403" i="2" s="1"/>
  <c r="P390" i="2"/>
  <c r="P388" i="2"/>
  <c r="P386" i="2"/>
  <c r="P395" i="2"/>
  <c r="P393" i="2"/>
  <c r="P17" i="2"/>
  <c r="P19" i="2"/>
  <c r="P20" i="2"/>
  <c r="P401" i="2"/>
  <c r="P18" i="2"/>
  <c r="P21" i="2"/>
  <c r="O29" i="2"/>
  <c r="O37" i="2"/>
  <c r="O385" i="2"/>
  <c r="N30" i="2"/>
  <c r="O26" i="2"/>
  <c r="O34" i="2"/>
  <c r="O28" i="2"/>
  <c r="O36" i="2"/>
  <c r="O337" i="2"/>
  <c r="J449" i="2"/>
  <c r="J8" i="4" s="1"/>
  <c r="J142" i="4" s="1"/>
  <c r="K356" i="2"/>
  <c r="I964" i="2"/>
  <c r="P354" i="2"/>
  <c r="H142" i="4"/>
  <c r="H167" i="4"/>
  <c r="H7" i="4"/>
  <c r="H11" i="4" s="1"/>
  <c r="K382" i="2"/>
  <c r="G653" i="2"/>
  <c r="G675" i="2" s="1"/>
  <c r="G77" i="4"/>
  <c r="M365" i="2"/>
  <c r="L371" i="2"/>
  <c r="M367" i="2"/>
  <c r="M457" i="2" s="1"/>
  <c r="M369" i="2"/>
  <c r="M456" i="2" s="1"/>
  <c r="I374" i="2"/>
  <c r="H376" i="2"/>
  <c r="N793" i="2"/>
  <c r="I142" i="4"/>
  <c r="I167" i="4"/>
  <c r="O757" i="2"/>
  <c r="P380" i="2"/>
  <c r="P364" i="2" s="1"/>
  <c r="J144" i="4"/>
  <c r="K509" i="2"/>
  <c r="K986" i="2" s="1"/>
  <c r="K331" i="4" s="1"/>
  <c r="L509" i="2"/>
  <c r="L986" i="2" s="1"/>
  <c r="L331" i="4" s="1"/>
  <c r="N502" i="2"/>
  <c r="L500" i="2"/>
  <c r="N768" i="2"/>
  <c r="L504" i="2"/>
  <c r="L661" i="2" s="1"/>
  <c r="L659" i="2" s="1"/>
  <c r="L100" i="4" s="1"/>
  <c r="M984" i="2"/>
  <c r="M332" i="4" s="1"/>
  <c r="M506" i="2"/>
  <c r="M985" i="2" s="1"/>
  <c r="L481" i="2"/>
  <c r="K637" i="2"/>
  <c r="K635" i="2" s="1"/>
  <c r="K79" i="4" s="1"/>
  <c r="O699" i="2"/>
  <c r="O779" i="2" s="1"/>
  <c r="O755" i="2"/>
  <c r="J332" i="4"/>
  <c r="K500" i="2"/>
  <c r="K483" i="2"/>
  <c r="K9" i="4" s="1"/>
  <c r="M476" i="2"/>
  <c r="M502" i="2"/>
  <c r="O470" i="2"/>
  <c r="K504" i="2"/>
  <c r="K661" i="2" s="1"/>
  <c r="K659" i="2" s="1"/>
  <c r="K100" i="4" s="1"/>
  <c r="J509" i="2"/>
  <c r="J986" i="2" s="1"/>
  <c r="J331" i="4" s="1"/>
  <c r="L479" i="2"/>
  <c r="K643" i="2"/>
  <c r="K641" i="2" s="1"/>
  <c r="K78" i="4" s="1"/>
  <c r="K166" i="4" s="1"/>
  <c r="N671" i="2"/>
  <c r="N670" i="2" s="1"/>
  <c r="N98" i="4" s="1"/>
  <c r="N472" i="2"/>
  <c r="N478" i="2" s="1"/>
  <c r="N476" i="2" s="1"/>
  <c r="N500" i="2" s="1"/>
  <c r="P744" i="2"/>
  <c r="P758" i="2" s="1"/>
  <c r="P474" i="2"/>
  <c r="P501" i="2"/>
  <c r="M970" i="2"/>
  <c r="O697" i="2"/>
  <c r="N778" i="2"/>
  <c r="N740" i="2"/>
  <c r="P689" i="2"/>
  <c r="P698" i="2" s="1"/>
  <c r="P778" i="2" s="1"/>
  <c r="P716" i="2"/>
  <c r="O727" i="2"/>
  <c r="O729" i="2"/>
  <c r="O730" i="2"/>
  <c r="N734" i="2"/>
  <c r="K282" i="2"/>
  <c r="K201" i="2"/>
  <c r="M215" i="2"/>
  <c r="M197" i="2"/>
  <c r="M288" i="2"/>
  <c r="L179" i="2"/>
  <c r="M179" i="2" s="1"/>
  <c r="L310" i="2"/>
  <c r="M306" i="2"/>
  <c r="K310" i="2"/>
  <c r="M142" i="2"/>
  <c r="M233" i="2"/>
  <c r="L288" i="2"/>
  <c r="L292" i="2" s="1"/>
  <c r="M321" i="2"/>
  <c r="M6" i="4" s="1"/>
  <c r="K270" i="2"/>
  <c r="L270" i="2" s="1"/>
  <c r="L274" i="2" s="1"/>
  <c r="M106" i="2"/>
  <c r="K128" i="2"/>
  <c r="N280" i="2"/>
  <c r="N281" i="2" s="1"/>
  <c r="M160" i="2"/>
  <c r="M124" i="2"/>
  <c r="K142" i="2"/>
  <c r="L142" i="2" s="1"/>
  <c r="L146" i="2" s="1"/>
  <c r="O177" i="2"/>
  <c r="O178" i="2" s="1"/>
  <c r="O304" i="2"/>
  <c r="O305" i="2" s="1"/>
  <c r="O231" i="2"/>
  <c r="O232" i="2" s="1"/>
  <c r="O268" i="2"/>
  <c r="O269" i="2" s="1"/>
  <c r="O195" i="2"/>
  <c r="O196" i="2" s="1"/>
  <c r="J100" i="2"/>
  <c r="J326" i="2" s="1"/>
  <c r="J961" i="2" s="1"/>
  <c r="K90" i="2"/>
  <c r="K100" i="2" s="1"/>
  <c r="O286" i="2"/>
  <c r="O287" i="2" s="1"/>
  <c r="O213" i="2"/>
  <c r="O214" i="2" s="1"/>
  <c r="K237" i="2"/>
  <c r="L235" i="2"/>
  <c r="L245" i="2" s="1"/>
  <c r="M280" i="2"/>
  <c r="M327" i="2" s="1"/>
  <c r="M954" i="2" s="1"/>
  <c r="M320" i="4" s="1"/>
  <c r="O249" i="2"/>
  <c r="K322" i="2"/>
  <c r="I323" i="2"/>
  <c r="I328" i="2" s="1"/>
  <c r="L322" i="2"/>
  <c r="J92" i="2"/>
  <c r="J323" i="2" s="1"/>
  <c r="J39" i="4" s="1"/>
  <c r="J324" i="2"/>
  <c r="J619" i="2" s="1"/>
  <c r="J617" i="2" s="1"/>
  <c r="P315" i="2"/>
  <c r="P297" i="2"/>
  <c r="P279" i="2"/>
  <c r="P284" i="2"/>
  <c r="P302" i="2"/>
  <c r="P266" i="2"/>
  <c r="N316" i="2"/>
  <c r="N317" i="2" s="1"/>
  <c r="L282" i="2"/>
  <c r="M272" i="2"/>
  <c r="L318" i="2"/>
  <c r="M308" i="2"/>
  <c r="L300" i="2"/>
  <c r="M290" i="2"/>
  <c r="N298" i="2"/>
  <c r="N299" i="2" s="1"/>
  <c r="K88" i="2"/>
  <c r="I76" i="4"/>
  <c r="I165" i="4" s="1"/>
  <c r="K227" i="2"/>
  <c r="L217" i="2"/>
  <c r="N225" i="2"/>
  <c r="N226" i="2" s="1"/>
  <c r="K263" i="2"/>
  <c r="L253" i="2"/>
  <c r="K255" i="2"/>
  <c r="K219" i="2"/>
  <c r="N207" i="2"/>
  <c r="P260" i="2"/>
  <c r="P247" i="2"/>
  <c r="P229" i="2"/>
  <c r="P206" i="2"/>
  <c r="P224" i="2"/>
  <c r="P193" i="2"/>
  <c r="P211" i="2"/>
  <c r="P175" i="2"/>
  <c r="P242" i="2"/>
  <c r="P188" i="2"/>
  <c r="N243" i="2"/>
  <c r="N244" i="2" s="1"/>
  <c r="K209" i="2"/>
  <c r="L199" i="2"/>
  <c r="K191" i="2"/>
  <c r="L181" i="2"/>
  <c r="K183" i="2"/>
  <c r="N261" i="2"/>
  <c r="N189" i="2"/>
  <c r="N190" i="2" s="1"/>
  <c r="O104" i="2"/>
  <c r="O105" i="2" s="1"/>
  <c r="O140" i="2"/>
  <c r="O141" i="2" s="1"/>
  <c r="O122" i="2"/>
  <c r="O123" i="2" s="1"/>
  <c r="O158" i="2"/>
  <c r="O159" i="2" s="1"/>
  <c r="N159" i="2"/>
  <c r="O86" i="2"/>
  <c r="O87" i="2" s="1"/>
  <c r="I961" i="2"/>
  <c r="H623" i="2"/>
  <c r="H101" i="4"/>
  <c r="P577" i="2"/>
  <c r="I101" i="4"/>
  <c r="I623" i="2"/>
  <c r="K118" i="2"/>
  <c r="L108" i="2"/>
  <c r="L154" i="2"/>
  <c r="M144" i="2"/>
  <c r="K136" i="2"/>
  <c r="L126" i="2"/>
  <c r="N152" i="2"/>
  <c r="N153" i="2" s="1"/>
  <c r="K172" i="2"/>
  <c r="L162" i="2"/>
  <c r="K164" i="2"/>
  <c r="N134" i="2"/>
  <c r="N135" i="2" s="1"/>
  <c r="P169" i="2"/>
  <c r="P156" i="2"/>
  <c r="P138" i="2"/>
  <c r="P133" i="2"/>
  <c r="P151" i="2"/>
  <c r="P120" i="2"/>
  <c r="P115" i="2"/>
  <c r="P102" i="2"/>
  <c r="N116" i="2"/>
  <c r="N117" i="2" s="1"/>
  <c r="K110" i="2"/>
  <c r="M99" i="2"/>
  <c r="N98" i="2"/>
  <c r="P97" i="2"/>
  <c r="P84" i="2"/>
  <c r="P12" i="2"/>
  <c r="P121" i="2" s="1"/>
  <c r="P14" i="2"/>
  <c r="P139" i="2" s="1"/>
  <c r="P13" i="2"/>
  <c r="P157" i="2" s="1"/>
  <c r="K117" i="10"/>
  <c r="P883" i="2"/>
  <c r="P203" i="4"/>
  <c r="P252" i="4"/>
  <c r="P187" i="4"/>
  <c r="P236" i="4"/>
  <c r="F80" i="7" s="1"/>
  <c r="P294" i="4"/>
  <c r="P44" i="1"/>
  <c r="P489" i="2"/>
  <c r="J114" i="10"/>
  <c r="J122" i="10"/>
  <c r="P59" i="1"/>
  <c r="U79" i="1"/>
  <c r="T81" i="1"/>
  <c r="K120" i="10"/>
  <c r="L107" i="10"/>
  <c r="L118" i="10" s="1"/>
  <c r="S43" i="1"/>
  <c r="R246" i="4"/>
  <c r="R47" i="1"/>
  <c r="R50" i="1"/>
  <c r="R48" i="1"/>
  <c r="R49" i="1"/>
  <c r="R288" i="4"/>
  <c r="R197" i="4"/>
  <c r="P603" i="2"/>
  <c r="P595" i="2"/>
  <c r="P497" i="2"/>
  <c r="P590" i="2"/>
  <c r="P92" i="4"/>
  <c r="L112" i="10"/>
  <c r="L117" i="10" s="1"/>
  <c r="L116" i="10"/>
  <c r="U86" i="1"/>
  <c r="S87" i="1"/>
  <c r="R91" i="1"/>
  <c r="R25" i="1"/>
  <c r="Q2" i="2"/>
  <c r="Q2" i="1"/>
  <c r="Q45" i="1" s="1"/>
  <c r="Q2" i="5"/>
  <c r="Q2" i="10"/>
  <c r="Q2" i="4"/>
  <c r="L4" i="2"/>
  <c r="L42" i="2"/>
  <c r="O593" i="2"/>
  <c r="P850" i="2"/>
  <c r="Q849" i="2"/>
  <c r="Q848" i="2" s="1"/>
  <c r="O858" i="2"/>
  <c r="P857" i="2"/>
  <c r="P856" i="2" s="1"/>
  <c r="Q54" i="1"/>
  <c r="P55" i="1"/>
  <c r="P53" i="1" s="1"/>
  <c r="R57" i="10"/>
  <c r="R62" i="10"/>
  <c r="N82" i="4"/>
  <c r="O97" i="10"/>
  <c r="N102" i="4"/>
  <c r="O125" i="10"/>
  <c r="N275" i="4"/>
  <c r="O123" i="1"/>
  <c r="M592" i="2"/>
  <c r="M14" i="4" s="1"/>
  <c r="N588" i="2"/>
  <c r="N651" i="2"/>
  <c r="O650" i="2"/>
  <c r="N90" i="4"/>
  <c r="O93" i="10"/>
  <c r="O644" i="2"/>
  <c r="O645" i="2" s="1"/>
  <c r="N86" i="4"/>
  <c r="O65" i="10"/>
  <c r="N663" i="2"/>
  <c r="O662" i="2"/>
  <c r="M34" i="1"/>
  <c r="M55" i="2" s="1"/>
  <c r="O499" i="2"/>
  <c r="P495" i="2"/>
  <c r="L14" i="4"/>
  <c r="E12" i="7" s="1"/>
  <c r="O606" i="2"/>
  <c r="P582" i="2"/>
  <c r="N627" i="2"/>
  <c r="O626" i="2"/>
  <c r="O124" i="10"/>
  <c r="O673" i="2"/>
  <c r="P672" i="2"/>
  <c r="N226" i="4"/>
  <c r="O120" i="1"/>
  <c r="M491" i="2"/>
  <c r="M13" i="4" s="1"/>
  <c r="N487" i="2"/>
  <c r="K178" i="4"/>
  <c r="L131" i="1"/>
  <c r="P601" i="2"/>
  <c r="O638" i="2"/>
  <c r="O639" i="2" s="1"/>
  <c r="L13" i="4"/>
  <c r="M47" i="4"/>
  <c r="P111" i="4"/>
  <c r="O632" i="2"/>
  <c r="O633" i="2" s="1"/>
  <c r="N29" i="1"/>
  <c r="N28" i="1"/>
  <c r="N27" i="1"/>
  <c r="O26" i="1"/>
  <c r="O140" i="1"/>
  <c r="N668" i="2"/>
  <c r="O667" i="2"/>
  <c r="M317" i="4"/>
  <c r="N146" i="1"/>
  <c r="O656" i="2"/>
  <c r="L4" i="5"/>
  <c r="L1" i="5"/>
  <c r="L73" i="4"/>
  <c r="L222" i="4"/>
  <c r="L271" i="4"/>
  <c r="L4" i="4"/>
  <c r="L313" i="4"/>
  <c r="L1" i="4"/>
  <c r="L119" i="4"/>
  <c r="L37" i="4"/>
  <c r="L174" i="4"/>
  <c r="L138" i="4"/>
  <c r="L841" i="2"/>
  <c r="L952" i="2"/>
  <c r="L862" i="2"/>
  <c r="L682" i="2"/>
  <c r="L1" i="10"/>
  <c r="L880" i="2"/>
  <c r="L513" i="2"/>
  <c r="L464" i="2"/>
  <c r="L102" i="10"/>
  <c r="L113" i="1"/>
  <c r="L615" i="2"/>
  <c r="L1" i="1"/>
  <c r="L826" i="2"/>
  <c r="L68" i="1"/>
  <c r="L14" i="1"/>
  <c r="L80" i="2"/>
  <c r="L38" i="1"/>
  <c r="L332" i="2"/>
  <c r="L1" i="2"/>
  <c r="L90" i="10"/>
  <c r="L55" i="10"/>
  <c r="L891" i="2"/>
  <c r="O621" i="2"/>
  <c r="N633" i="2"/>
  <c r="G80" i="12"/>
  <c r="D77" i="12"/>
  <c r="H73" i="12"/>
  <c r="G73" i="12" s="1"/>
  <c r="N73" i="12" s="1"/>
  <c r="B77" i="12"/>
  <c r="J69" i="12"/>
  <c r="I79" i="10"/>
  <c r="I86" i="10"/>
  <c r="K70" i="10"/>
  <c r="E13" i="7" l="1"/>
  <c r="Q59" i="1"/>
  <c r="I799" i="2"/>
  <c r="I736" i="2"/>
  <c r="I795" i="2"/>
  <c r="I732" i="2"/>
  <c r="D17" i="7"/>
  <c r="I784" i="2"/>
  <c r="I705" i="2"/>
  <c r="Q92" i="4"/>
  <c r="I700" i="2"/>
  <c r="H781" i="2"/>
  <c r="K822" i="2"/>
  <c r="L709" i="2"/>
  <c r="G977" i="2"/>
  <c r="G978" i="2" s="1"/>
  <c r="G329" i="4" s="1"/>
  <c r="G16" i="4"/>
  <c r="G148" i="4" s="1"/>
  <c r="G330" i="4"/>
  <c r="H981" i="2"/>
  <c r="H88" i="4"/>
  <c r="L110" i="10"/>
  <c r="L120" i="10" s="1"/>
  <c r="M111" i="10"/>
  <c r="M112" i="10" s="1"/>
  <c r="M117" i="10" s="1"/>
  <c r="I459" i="2"/>
  <c r="I655" i="2" s="1"/>
  <c r="J348" i="2"/>
  <c r="J350" i="2" s="1"/>
  <c r="P406" i="2"/>
  <c r="P413" i="2" s="1"/>
  <c r="P423" i="2" s="1"/>
  <c r="P424" i="2" s="1"/>
  <c r="M455" i="2"/>
  <c r="M631" i="2" s="1"/>
  <c r="M629" i="2" s="1"/>
  <c r="M80" i="4" s="1"/>
  <c r="H452" i="2"/>
  <c r="H450" i="2" s="1"/>
  <c r="K453" i="2"/>
  <c r="O341" i="2"/>
  <c r="M414" i="2"/>
  <c r="L418" i="2"/>
  <c r="Q416" i="2"/>
  <c r="Q422" i="2"/>
  <c r="Q407" i="2"/>
  <c r="Q405" i="2"/>
  <c r="Q411" i="2"/>
  <c r="Q409" i="2"/>
  <c r="O413" i="2"/>
  <c r="O776" i="2"/>
  <c r="Q312" i="2"/>
  <c r="Q276" i="2"/>
  <c r="Q203" i="2"/>
  <c r="Q130" i="2"/>
  <c r="Q221" i="2"/>
  <c r="Q352" i="2"/>
  <c r="Q185" i="2"/>
  <c r="Q94" i="2"/>
  <c r="Q257" i="2"/>
  <c r="Q239" i="2"/>
  <c r="Q148" i="2"/>
  <c r="Q294" i="2"/>
  <c r="Q112" i="2"/>
  <c r="Q166" i="2"/>
  <c r="Q442" i="2"/>
  <c r="Q548" i="2"/>
  <c r="Q750" i="2"/>
  <c r="Q722" i="2"/>
  <c r="Q567" i="2"/>
  <c r="Q556" i="2"/>
  <c r="Q537" i="2"/>
  <c r="Q521" i="2"/>
  <c r="Q692" i="2"/>
  <c r="Q399" i="2"/>
  <c r="Q378" i="2"/>
  <c r="Q529" i="2"/>
  <c r="R72" i="1"/>
  <c r="L973" i="2"/>
  <c r="N56" i="4"/>
  <c r="N818" i="2"/>
  <c r="N776" i="2"/>
  <c r="P739" i="2"/>
  <c r="P733" i="2"/>
  <c r="P708" i="2"/>
  <c r="P702" i="2"/>
  <c r="P782" i="2" s="1"/>
  <c r="P767" i="2"/>
  <c r="P761" i="2"/>
  <c r="O797" i="2"/>
  <c r="O818" i="2" s="1"/>
  <c r="O968" i="2" s="1"/>
  <c r="L58" i="4"/>
  <c r="E48" i="7"/>
  <c r="M817" i="2"/>
  <c r="M53" i="4"/>
  <c r="M58" i="4" s="1"/>
  <c r="O804" i="2"/>
  <c r="O962" i="2" s="1"/>
  <c r="N962" i="2"/>
  <c r="J945" i="2"/>
  <c r="L922" i="2"/>
  <c r="L937" i="2" s="1"/>
  <c r="L21" i="4" s="1"/>
  <c r="E18" i="7" s="1"/>
  <c r="J106" i="4"/>
  <c r="D41" i="7"/>
  <c r="G999" i="2"/>
  <c r="G333" i="4" s="1"/>
  <c r="G334" i="4"/>
  <c r="M146" i="4"/>
  <c r="K143" i="4"/>
  <c r="D10" i="7"/>
  <c r="I11" i="4"/>
  <c r="D6" i="7"/>
  <c r="P569" i="2"/>
  <c r="P565" i="2" s="1"/>
  <c r="P570" i="2" s="1"/>
  <c r="P600" i="2" s="1"/>
  <c r="O599" i="2"/>
  <c r="O605" i="2" s="1"/>
  <c r="O15" i="4" s="1"/>
  <c r="G958" i="2"/>
  <c r="G974" i="2"/>
  <c r="K921" i="2"/>
  <c r="H963" i="2"/>
  <c r="H1000" i="2"/>
  <c r="H997" i="2" s="1"/>
  <c r="H998" i="2" s="1"/>
  <c r="H999" i="2" s="1"/>
  <c r="H333" i="4" s="1"/>
  <c r="K913" i="2"/>
  <c r="K944" i="2"/>
  <c r="Q924" i="2"/>
  <c r="Q905" i="2"/>
  <c r="Q931" i="2"/>
  <c r="Q932" i="2" s="1"/>
  <c r="N585" i="2"/>
  <c r="P558" i="2"/>
  <c r="P554" i="2" s="1"/>
  <c r="P559" i="2" s="1"/>
  <c r="N904" i="2"/>
  <c r="O587" i="2"/>
  <c r="P550" i="2"/>
  <c r="P546" i="2" s="1"/>
  <c r="P551" i="2" s="1"/>
  <c r="O586" i="2"/>
  <c r="P539" i="2"/>
  <c r="P535" i="2" s="1"/>
  <c r="P540" i="2" s="1"/>
  <c r="K42" i="4"/>
  <c r="P531" i="2"/>
  <c r="P527" i="2" s="1"/>
  <c r="P532" i="2" s="1"/>
  <c r="O573" i="2"/>
  <c r="N597" i="2"/>
  <c r="M608" i="2"/>
  <c r="L610" i="2"/>
  <c r="O574" i="2"/>
  <c r="P523" i="2"/>
  <c r="P519" i="2" s="1"/>
  <c r="P524" i="2" s="1"/>
  <c r="M611" i="2"/>
  <c r="Q568" i="2"/>
  <c r="Q557" i="2"/>
  <c r="Q549" i="2"/>
  <c r="N572" i="2"/>
  <c r="P427" i="2"/>
  <c r="P428" i="2" s="1"/>
  <c r="P435" i="2" s="1"/>
  <c r="P445" i="2" s="1"/>
  <c r="P446" i="2" s="1"/>
  <c r="P440" i="2" s="1"/>
  <c r="M580" i="2"/>
  <c r="L584" i="2"/>
  <c r="N965" i="2"/>
  <c r="M575" i="2"/>
  <c r="L579" i="2"/>
  <c r="L10" i="4" s="1"/>
  <c r="L143" i="4" s="1"/>
  <c r="Q530" i="2"/>
  <c r="Q522" i="2"/>
  <c r="Q538" i="2"/>
  <c r="L356" i="2"/>
  <c r="I649" i="2"/>
  <c r="I647" i="2" s="1"/>
  <c r="I97" i="4" s="1"/>
  <c r="M345" i="2"/>
  <c r="M355" i="2" s="1"/>
  <c r="O445" i="2"/>
  <c r="O446" i="2" s="1"/>
  <c r="O440" i="2" s="1"/>
  <c r="Q438" i="2"/>
  <c r="Q436" i="2"/>
  <c r="Q444" i="2"/>
  <c r="Q429" i="2"/>
  <c r="Q426" i="2"/>
  <c r="Q433" i="2"/>
  <c r="Q431" i="2"/>
  <c r="J372" i="2"/>
  <c r="N339" i="2"/>
  <c r="M397" i="2"/>
  <c r="P26" i="2"/>
  <c r="P34" i="2"/>
  <c r="O38" i="2"/>
  <c r="O336" i="2" s="1"/>
  <c r="O338" i="2" s="1"/>
  <c r="O451" i="2" s="1"/>
  <c r="P28" i="2"/>
  <c r="P36" i="2"/>
  <c r="P385" i="2"/>
  <c r="P392" i="2" s="1"/>
  <c r="O30" i="2"/>
  <c r="Q395" i="2"/>
  <c r="Q393" i="2"/>
  <c r="Q386" i="2"/>
  <c r="Q17" i="2"/>
  <c r="Q19" i="2"/>
  <c r="Q401" i="2"/>
  <c r="Q388" i="2"/>
  <c r="Q21" i="2"/>
  <c r="Q390" i="2"/>
  <c r="Q18" i="2"/>
  <c r="Q20" i="2"/>
  <c r="P25" i="2"/>
  <c r="P22" i="2"/>
  <c r="P33" i="2"/>
  <c r="P27" i="2"/>
  <c r="P35" i="2"/>
  <c r="O392" i="2"/>
  <c r="P29" i="2"/>
  <c r="P37" i="2"/>
  <c r="J167" i="4"/>
  <c r="P337" i="2"/>
  <c r="J7" i="4"/>
  <c r="J11" i="4" s="1"/>
  <c r="K449" i="2"/>
  <c r="K8" i="4" s="1"/>
  <c r="K7" i="4" s="1"/>
  <c r="K11" i="4" s="1"/>
  <c r="I972" i="2"/>
  <c r="I958" i="2" s="1"/>
  <c r="I324" i="4" s="1"/>
  <c r="M346" i="2"/>
  <c r="K348" i="2"/>
  <c r="Q354" i="2"/>
  <c r="Q343" i="2"/>
  <c r="L381" i="2"/>
  <c r="L454" i="2" s="1"/>
  <c r="M371" i="2"/>
  <c r="M381" i="2" s="1"/>
  <c r="N365" i="2"/>
  <c r="N369" i="2"/>
  <c r="N456" i="2" s="1"/>
  <c r="O793" i="2"/>
  <c r="O91" i="4" s="1"/>
  <c r="O768" i="2"/>
  <c r="G1005" i="2"/>
  <c r="H77" i="4"/>
  <c r="H653" i="2"/>
  <c r="H675" i="2" s="1"/>
  <c r="N367" i="2"/>
  <c r="N457" i="2" s="1"/>
  <c r="J374" i="2"/>
  <c r="I376" i="2"/>
  <c r="I452" i="2" s="1"/>
  <c r="O762" i="2"/>
  <c r="O763" i="2"/>
  <c r="O764" i="2" s="1"/>
  <c r="Q380" i="2"/>
  <c r="Q364" i="2" s="1"/>
  <c r="O759" i="2"/>
  <c r="O760" i="2" s="1"/>
  <c r="P755" i="2"/>
  <c r="P762" i="2" s="1"/>
  <c r="P470" i="2"/>
  <c r="P471" i="2" s="1"/>
  <c r="P477" i="2" s="1"/>
  <c r="O471" i="2"/>
  <c r="O477" i="2" s="1"/>
  <c r="M509" i="2"/>
  <c r="M986" i="2" s="1"/>
  <c r="M331" i="4" s="1"/>
  <c r="L483" i="2"/>
  <c r="L9" i="4" s="1"/>
  <c r="E8" i="7" s="1"/>
  <c r="K508" i="2"/>
  <c r="K41" i="4" s="1"/>
  <c r="L508" i="2"/>
  <c r="L41" i="4" s="1"/>
  <c r="N504" i="2"/>
  <c r="N661" i="2" s="1"/>
  <c r="N659" i="2" s="1"/>
  <c r="N100" i="4" s="1"/>
  <c r="N503" i="2"/>
  <c r="P757" i="2"/>
  <c r="K144" i="4"/>
  <c r="M504" i="2"/>
  <c r="M661" i="2" s="1"/>
  <c r="M659" i="2" s="1"/>
  <c r="M100" i="4" s="1"/>
  <c r="M479" i="2"/>
  <c r="L643" i="2"/>
  <c r="L641" i="2" s="1"/>
  <c r="L78" i="4" s="1"/>
  <c r="L166" i="4" s="1"/>
  <c r="M500" i="2"/>
  <c r="M481" i="2"/>
  <c r="L637" i="2"/>
  <c r="L635" i="2" s="1"/>
  <c r="L79" i="4" s="1"/>
  <c r="Q744" i="2"/>
  <c r="Q755" i="2" s="1"/>
  <c r="Q501" i="2"/>
  <c r="Q474" i="2"/>
  <c r="P697" i="2"/>
  <c r="P703" i="2" s="1"/>
  <c r="P783" i="2" s="1"/>
  <c r="N798" i="2"/>
  <c r="N970" i="2" s="1"/>
  <c r="O794" i="2"/>
  <c r="O671" i="2" s="1"/>
  <c r="O670" i="2" s="1"/>
  <c r="O98" i="4" s="1"/>
  <c r="P699" i="2"/>
  <c r="P779" i="2" s="1"/>
  <c r="O703" i="2"/>
  <c r="O783" i="2" s="1"/>
  <c r="N91" i="4"/>
  <c r="M973" i="2"/>
  <c r="O740" i="2"/>
  <c r="O734" i="2"/>
  <c r="P727" i="2"/>
  <c r="P730" i="2"/>
  <c r="P729" i="2"/>
  <c r="Q689" i="2"/>
  <c r="Q697" i="2" s="1"/>
  <c r="Q716" i="2"/>
  <c r="M141" i="4"/>
  <c r="L183" i="2"/>
  <c r="K274" i="2"/>
  <c r="K146" i="2"/>
  <c r="N306" i="2"/>
  <c r="N270" i="2"/>
  <c r="N233" i="2"/>
  <c r="N106" i="2"/>
  <c r="N179" i="2"/>
  <c r="N124" i="2"/>
  <c r="O170" i="2"/>
  <c r="O171" i="2" s="1"/>
  <c r="O225" i="2"/>
  <c r="N142" i="2"/>
  <c r="N288" i="2"/>
  <c r="N215" i="2"/>
  <c r="O243" i="2"/>
  <c r="O244" i="2" s="1"/>
  <c r="N170" i="2"/>
  <c r="N171" i="2" s="1"/>
  <c r="P177" i="2"/>
  <c r="P178" i="2" s="1"/>
  <c r="P231" i="2"/>
  <c r="P232" i="2" s="1"/>
  <c r="P304" i="2"/>
  <c r="P305" i="2" s="1"/>
  <c r="L237" i="2"/>
  <c r="P268" i="2"/>
  <c r="P269" i="2" s="1"/>
  <c r="L90" i="2"/>
  <c r="L100" i="2" s="1"/>
  <c r="P195" i="2"/>
  <c r="P196" i="2" s="1"/>
  <c r="K325" i="2"/>
  <c r="P249" i="2"/>
  <c r="P250" i="2" s="1"/>
  <c r="M235" i="2"/>
  <c r="M237" i="2" s="1"/>
  <c r="M281" i="2"/>
  <c r="M322" i="2" s="1"/>
  <c r="P286" i="2"/>
  <c r="P287" i="2" s="1"/>
  <c r="P213" i="2"/>
  <c r="P214" i="2" s="1"/>
  <c r="O250" i="2"/>
  <c r="I39" i="4"/>
  <c r="N321" i="2"/>
  <c r="N6" i="4" s="1"/>
  <c r="N141" i="4" s="1"/>
  <c r="K92" i="2"/>
  <c r="K324" i="2"/>
  <c r="K619" i="2" s="1"/>
  <c r="K617" i="2" s="1"/>
  <c r="K326" i="2"/>
  <c r="M318" i="2"/>
  <c r="N308" i="2"/>
  <c r="M282" i="2"/>
  <c r="N272" i="2"/>
  <c r="O280" i="2"/>
  <c r="O281" i="2" s="1"/>
  <c r="O298" i="2"/>
  <c r="O299" i="2" s="1"/>
  <c r="M300" i="2"/>
  <c r="N290" i="2"/>
  <c r="M292" i="2"/>
  <c r="O316" i="2"/>
  <c r="O317" i="2" s="1"/>
  <c r="Q315" i="2"/>
  <c r="Q302" i="2"/>
  <c r="Q279" i="2"/>
  <c r="Q284" i="2"/>
  <c r="Q297" i="2"/>
  <c r="Q266" i="2"/>
  <c r="M310" i="2"/>
  <c r="L88" i="2"/>
  <c r="L324" i="2" s="1"/>
  <c r="J76" i="4"/>
  <c r="J165" i="4" s="1"/>
  <c r="N262" i="2"/>
  <c r="N251" i="2" s="1"/>
  <c r="L191" i="2"/>
  <c r="M181" i="2"/>
  <c r="N208" i="2"/>
  <c r="N197" i="2" s="1"/>
  <c r="L263" i="2"/>
  <c r="M253" i="2"/>
  <c r="L255" i="2"/>
  <c r="O207" i="2"/>
  <c r="O208" i="2" s="1"/>
  <c r="P140" i="2"/>
  <c r="P141" i="2" s="1"/>
  <c r="Q260" i="2"/>
  <c r="Q242" i="2"/>
  <c r="Q224" i="2"/>
  <c r="Q229" i="2"/>
  <c r="Q188" i="2"/>
  <c r="Q211" i="2"/>
  <c r="Q206" i="2"/>
  <c r="Q193" i="2"/>
  <c r="Q175" i="2"/>
  <c r="Q247" i="2"/>
  <c r="L209" i="2"/>
  <c r="M199" i="2"/>
  <c r="L201" i="2"/>
  <c r="L227" i="2"/>
  <c r="M217" i="2"/>
  <c r="L219" i="2"/>
  <c r="O189" i="2"/>
  <c r="O190" i="2" s="1"/>
  <c r="P104" i="2"/>
  <c r="P105" i="2" s="1"/>
  <c r="P122" i="2"/>
  <c r="P123" i="2" s="1"/>
  <c r="P86" i="2"/>
  <c r="P87" i="2" s="1"/>
  <c r="P158" i="2"/>
  <c r="P159" i="2" s="1"/>
  <c r="J625" i="2"/>
  <c r="J101" i="4" s="1"/>
  <c r="J328" i="2"/>
  <c r="L118" i="2"/>
  <c r="M108" i="2"/>
  <c r="L110" i="2"/>
  <c r="O134" i="2"/>
  <c r="O135" i="2" s="1"/>
  <c r="Q169" i="2"/>
  <c r="Q151" i="2"/>
  <c r="Q156" i="2"/>
  <c r="Q138" i="2"/>
  <c r="Q102" i="2"/>
  <c r="Q120" i="2"/>
  <c r="Q133" i="2"/>
  <c r="Q115" i="2"/>
  <c r="L172" i="2"/>
  <c r="M162" i="2"/>
  <c r="L164" i="2"/>
  <c r="O152" i="2"/>
  <c r="O153" i="2" s="1"/>
  <c r="M154" i="2"/>
  <c r="N144" i="2"/>
  <c r="M146" i="2"/>
  <c r="O116" i="2"/>
  <c r="O117" i="2" s="1"/>
  <c r="L136" i="2"/>
  <c r="M126" i="2"/>
  <c r="L128" i="2"/>
  <c r="N99" i="2"/>
  <c r="Q97" i="2"/>
  <c r="Q84" i="2"/>
  <c r="O98" i="2"/>
  <c r="Q603" i="2"/>
  <c r="Q590" i="2"/>
  <c r="Q489" i="2"/>
  <c r="Q883" i="2"/>
  <c r="Q577" i="2"/>
  <c r="Q497" i="2"/>
  <c r="S25" i="1"/>
  <c r="R2" i="5"/>
  <c r="R2" i="4"/>
  <c r="R2" i="2"/>
  <c r="R2" i="10"/>
  <c r="R2" i="1"/>
  <c r="R45" i="1" s="1"/>
  <c r="Q187" i="4"/>
  <c r="Q252" i="4"/>
  <c r="Q203" i="4"/>
  <c r="Q236" i="4"/>
  <c r="Q294" i="4"/>
  <c r="Q198" i="4"/>
  <c r="Q113" i="4"/>
  <c r="Q247" i="4"/>
  <c r="Q108" i="4"/>
  <c r="T87" i="1"/>
  <c r="S91" i="1"/>
  <c r="Q103" i="4"/>
  <c r="K114" i="10"/>
  <c r="K122" i="10"/>
  <c r="R59" i="1"/>
  <c r="Q289" i="4"/>
  <c r="Q83" i="4"/>
  <c r="M107" i="10"/>
  <c r="M118" i="10" s="1"/>
  <c r="M116" i="10"/>
  <c r="Q595" i="2"/>
  <c r="S48" i="1"/>
  <c r="S49" i="1"/>
  <c r="S197" i="4"/>
  <c r="S288" i="4"/>
  <c r="S246" i="4"/>
  <c r="S47" i="1"/>
  <c r="T43" i="1"/>
  <c r="S50" i="1"/>
  <c r="V86" i="1"/>
  <c r="U81" i="1"/>
  <c r="V79" i="1"/>
  <c r="Q44" i="1"/>
  <c r="R44" i="1" s="1"/>
  <c r="K44" i="4"/>
  <c r="Q13" i="2"/>
  <c r="Q157" i="2" s="1"/>
  <c r="Q12" i="2"/>
  <c r="Q121" i="2" s="1"/>
  <c r="Q14" i="2"/>
  <c r="Q139" i="2" s="1"/>
  <c r="M4" i="2"/>
  <c r="M42" i="2"/>
  <c r="P593" i="2"/>
  <c r="Q857" i="2"/>
  <c r="Q856" i="2" s="1"/>
  <c r="P858" i="2"/>
  <c r="R849" i="2"/>
  <c r="R848" i="2" s="1"/>
  <c r="Q850" i="2"/>
  <c r="R54" i="1"/>
  <c r="Q55" i="1"/>
  <c r="Q53" i="1" s="1"/>
  <c r="S57" i="10"/>
  <c r="S62" i="10"/>
  <c r="L178" i="4"/>
  <c r="M131" i="1"/>
  <c r="O668" i="2"/>
  <c r="P667" i="2"/>
  <c r="P140" i="1"/>
  <c r="O226" i="4"/>
  <c r="P120" i="1"/>
  <c r="O651" i="2"/>
  <c r="P650" i="2"/>
  <c r="O275" i="4"/>
  <c r="P123" i="1"/>
  <c r="O82" i="4"/>
  <c r="P97" i="10"/>
  <c r="P621" i="2"/>
  <c r="O29" i="1"/>
  <c r="O28" i="1"/>
  <c r="P26" i="1"/>
  <c r="O27" i="1"/>
  <c r="O86" i="4"/>
  <c r="P65" i="10"/>
  <c r="P656" i="2"/>
  <c r="P657" i="2" s="1"/>
  <c r="P673" i="2"/>
  <c r="Q672" i="2"/>
  <c r="P499" i="2"/>
  <c r="Q495" i="2"/>
  <c r="N317" i="4"/>
  <c r="O146" i="1"/>
  <c r="N34" i="1"/>
  <c r="N55" i="2" s="1"/>
  <c r="Q111" i="4"/>
  <c r="N491" i="2"/>
  <c r="O487" i="2"/>
  <c r="O627" i="2"/>
  <c r="P626" i="2"/>
  <c r="N47" i="4"/>
  <c r="O90" i="4"/>
  <c r="P93" i="10"/>
  <c r="O102" i="4"/>
  <c r="P125" i="10"/>
  <c r="N592" i="2"/>
  <c r="O588" i="2"/>
  <c r="Q601" i="2"/>
  <c r="Q582" i="2"/>
  <c r="M4" i="5"/>
  <c r="M1" i="5"/>
  <c r="M313" i="4"/>
  <c r="M119" i="4"/>
  <c r="M37" i="4"/>
  <c r="M271" i="4"/>
  <c r="M4" i="4"/>
  <c r="M174" i="4"/>
  <c r="M138" i="4"/>
  <c r="M73" i="4"/>
  <c r="M1" i="4"/>
  <c r="M222" i="4"/>
  <c r="M615" i="2"/>
  <c r="M102" i="10"/>
  <c r="M891" i="2"/>
  <c r="M841" i="2"/>
  <c r="M880" i="2"/>
  <c r="M513" i="2"/>
  <c r="M464" i="2"/>
  <c r="M952" i="2"/>
  <c r="M862" i="2"/>
  <c r="M90" i="10"/>
  <c r="M55" i="10"/>
  <c r="M1" i="10"/>
  <c r="M113" i="1"/>
  <c r="M80" i="2"/>
  <c r="M68" i="1"/>
  <c r="M826" i="2"/>
  <c r="M1" i="1"/>
  <c r="M682" i="2"/>
  <c r="M332" i="2"/>
  <c r="M1" i="2"/>
  <c r="M38" i="1"/>
  <c r="M14" i="1"/>
  <c r="P644" i="2"/>
  <c r="P645" i="2" s="1"/>
  <c r="P632" i="2"/>
  <c r="P633" i="2" s="1"/>
  <c r="P638" i="2"/>
  <c r="P639" i="2" s="1"/>
  <c r="P124" i="10"/>
  <c r="O657" i="2"/>
  <c r="P606" i="2"/>
  <c r="O663" i="2"/>
  <c r="P662" i="2"/>
  <c r="I73" i="12"/>
  <c r="H77" i="12"/>
  <c r="I77" i="12" s="1"/>
  <c r="B85" i="12" s="1"/>
  <c r="D81" i="12"/>
  <c r="H81" i="12" s="1"/>
  <c r="I80" i="12"/>
  <c r="N80" i="12"/>
  <c r="K71" i="10"/>
  <c r="K72" i="10" s="1"/>
  <c r="L70" i="10" s="1"/>
  <c r="I89" i="4"/>
  <c r="J84" i="10"/>
  <c r="J77" i="10"/>
  <c r="R103" i="4" l="1"/>
  <c r="R92" i="4"/>
  <c r="G17" i="4"/>
  <c r="G22" i="4" s="1"/>
  <c r="I780" i="2"/>
  <c r="I20" i="4" s="1"/>
  <c r="I145" i="4" s="1"/>
  <c r="I701" i="2"/>
  <c r="I796" i="2"/>
  <c r="J731" i="2"/>
  <c r="I800" i="2"/>
  <c r="J735" i="2"/>
  <c r="R108" i="4"/>
  <c r="L822" i="2"/>
  <c r="M709" i="2"/>
  <c r="H87" i="4"/>
  <c r="H93" i="4" s="1"/>
  <c r="H169" i="4" s="1"/>
  <c r="H979" i="2"/>
  <c r="H976" i="2" s="1"/>
  <c r="I785" i="2"/>
  <c r="J704" i="2"/>
  <c r="M110" i="10"/>
  <c r="J459" i="2"/>
  <c r="J655" i="2" s="1"/>
  <c r="M454" i="2"/>
  <c r="P341" i="2"/>
  <c r="N455" i="2"/>
  <c r="N631" i="2" s="1"/>
  <c r="N629" i="2" s="1"/>
  <c r="N80" i="4" s="1"/>
  <c r="Q406" i="2"/>
  <c r="Q413" i="2" s="1"/>
  <c r="J458" i="2"/>
  <c r="J649" i="2" s="1"/>
  <c r="J647" i="2" s="1"/>
  <c r="J97" i="4" s="1"/>
  <c r="O423" i="2"/>
  <c r="O424" i="2" s="1"/>
  <c r="R416" i="2"/>
  <c r="R422" i="2"/>
  <c r="R405" i="2"/>
  <c r="R409" i="2"/>
  <c r="R407" i="2"/>
  <c r="R411" i="2"/>
  <c r="N414" i="2"/>
  <c r="M418" i="2"/>
  <c r="J867" i="2"/>
  <c r="J872" i="2" s="1"/>
  <c r="J26" i="4" s="1"/>
  <c r="P804" i="2"/>
  <c r="L279" i="4"/>
  <c r="L182" i="4"/>
  <c r="L229" i="4"/>
  <c r="E73" i="7" s="1"/>
  <c r="E53" i="7"/>
  <c r="Q739" i="2"/>
  <c r="Q733" i="2"/>
  <c r="M182" i="4"/>
  <c r="M279" i="4"/>
  <c r="M229" i="4"/>
  <c r="O790" i="2"/>
  <c r="O53" i="4" s="1"/>
  <c r="P797" i="2"/>
  <c r="P790" i="2" s="1"/>
  <c r="P53" i="4" s="1"/>
  <c r="O56" i="4"/>
  <c r="Q767" i="2"/>
  <c r="Q761" i="2"/>
  <c r="Q708" i="2"/>
  <c r="Q789" i="2" s="1"/>
  <c r="Q702" i="2"/>
  <c r="Q782" i="2" s="1"/>
  <c r="Q776" i="2" s="1"/>
  <c r="Q52" i="4" s="1"/>
  <c r="N968" i="2"/>
  <c r="N973" i="2" s="1"/>
  <c r="P776" i="2"/>
  <c r="P52" i="4" s="1"/>
  <c r="R312" i="2"/>
  <c r="R239" i="2"/>
  <c r="R294" i="2"/>
  <c r="R352" i="2"/>
  <c r="R276" i="2"/>
  <c r="R148" i="2"/>
  <c r="R112" i="2"/>
  <c r="R203" i="2"/>
  <c r="R166" i="2"/>
  <c r="R221" i="2"/>
  <c r="R185" i="2"/>
  <c r="R257" i="2"/>
  <c r="R130" i="2"/>
  <c r="R94" i="2"/>
  <c r="R750" i="2"/>
  <c r="R722" i="2"/>
  <c r="R399" i="2"/>
  <c r="R548" i="2"/>
  <c r="R378" i="2"/>
  <c r="R529" i="2"/>
  <c r="R521" i="2"/>
  <c r="R537" i="2"/>
  <c r="R567" i="2"/>
  <c r="R692" i="2"/>
  <c r="R556" i="2"/>
  <c r="R442" i="2"/>
  <c r="S72" i="1"/>
  <c r="O52" i="4"/>
  <c r="N817" i="2"/>
  <c r="N52" i="4"/>
  <c r="P789" i="2"/>
  <c r="J109" i="4"/>
  <c r="L923" i="2"/>
  <c r="M922" i="2" s="1"/>
  <c r="M937" i="2" s="1"/>
  <c r="M21" i="4" s="1"/>
  <c r="J122" i="4"/>
  <c r="E9" i="7"/>
  <c r="E36" i="7"/>
  <c r="G121" i="4"/>
  <c r="G123" i="4" s="1"/>
  <c r="O598" i="2"/>
  <c r="P599" i="2"/>
  <c r="P605" i="2" s="1"/>
  <c r="P15" i="4" s="1"/>
  <c r="F13" i="7" s="1"/>
  <c r="Q569" i="2"/>
  <c r="Q565" i="2" s="1"/>
  <c r="Q599" i="2" s="1"/>
  <c r="Q605" i="2" s="1"/>
  <c r="Q15" i="4" s="1"/>
  <c r="K939" i="2"/>
  <c r="K106" i="4" s="1"/>
  <c r="Q550" i="2"/>
  <c r="Q546" i="2" s="1"/>
  <c r="Q551" i="2" s="1"/>
  <c r="L912" i="2"/>
  <c r="K943" i="2"/>
  <c r="N611" i="2"/>
  <c r="H334" i="4"/>
  <c r="H972" i="2"/>
  <c r="H958" i="2" s="1"/>
  <c r="G959" i="2"/>
  <c r="G960" i="2" s="1"/>
  <c r="G323" i="4" s="1"/>
  <c r="G324" i="4"/>
  <c r="G81" i="4"/>
  <c r="L938" i="2"/>
  <c r="L44" i="4" s="1"/>
  <c r="E39" i="7" s="1"/>
  <c r="N902" i="2"/>
  <c r="O965" i="2"/>
  <c r="R924" i="2"/>
  <c r="R905" i="2"/>
  <c r="R931" i="2"/>
  <c r="R932" i="2" s="1"/>
  <c r="O903" i="2"/>
  <c r="Q558" i="2"/>
  <c r="Q554" i="2" s="1"/>
  <c r="Q559" i="2" s="1"/>
  <c r="P587" i="2"/>
  <c r="O585" i="2"/>
  <c r="Q539" i="2"/>
  <c r="Q535" i="2" s="1"/>
  <c r="Q540" i="2" s="1"/>
  <c r="P574" i="2"/>
  <c r="O597" i="2"/>
  <c r="Q531" i="2"/>
  <c r="Q527" i="2" s="1"/>
  <c r="Q532" i="2" s="1"/>
  <c r="P586" i="2"/>
  <c r="P573" i="2"/>
  <c r="Q523" i="2"/>
  <c r="Q519" i="2" s="1"/>
  <c r="Q524" i="2" s="1"/>
  <c r="O572" i="2"/>
  <c r="L42" i="4"/>
  <c r="E37" i="7" s="1"/>
  <c r="N608" i="2"/>
  <c r="M610" i="2"/>
  <c r="R568" i="2"/>
  <c r="R557" i="2"/>
  <c r="R549" i="2"/>
  <c r="Q427" i="2"/>
  <c r="Q428" i="2" s="1"/>
  <c r="Q435" i="2" s="1"/>
  <c r="M584" i="2"/>
  <c r="N580" i="2"/>
  <c r="N575" i="2"/>
  <c r="M579" i="2"/>
  <c r="M10" i="4" s="1"/>
  <c r="R538" i="2"/>
  <c r="R530" i="2"/>
  <c r="R522" i="2"/>
  <c r="J376" i="2"/>
  <c r="J452" i="2" s="1"/>
  <c r="K372" i="2"/>
  <c r="M356" i="2"/>
  <c r="R438" i="2"/>
  <c r="R436" i="2"/>
  <c r="R444" i="2"/>
  <c r="R433" i="2"/>
  <c r="R431" i="2"/>
  <c r="R429" i="2"/>
  <c r="R426" i="2"/>
  <c r="Q385" i="2"/>
  <c r="Q392" i="2" s="1"/>
  <c r="Q402" i="2" s="1"/>
  <c r="Q403" i="2" s="1"/>
  <c r="Q397" i="2" s="1"/>
  <c r="O339" i="2"/>
  <c r="N345" i="2"/>
  <c r="N355" i="2" s="1"/>
  <c r="Q25" i="2"/>
  <c r="Q22" i="2"/>
  <c r="Q33" i="2"/>
  <c r="O402" i="2"/>
  <c r="O403" i="2" s="1"/>
  <c r="O397" i="2" s="1"/>
  <c r="Q26" i="2"/>
  <c r="Q34" i="2"/>
  <c r="Q29" i="2"/>
  <c r="Q37" i="2"/>
  <c r="R395" i="2"/>
  <c r="R393" i="2"/>
  <c r="R401" i="2"/>
  <c r="R390" i="2"/>
  <c r="R388" i="2"/>
  <c r="R386" i="2"/>
  <c r="R17" i="2"/>
  <c r="R20" i="2"/>
  <c r="R19" i="2"/>
  <c r="R18" i="2"/>
  <c r="R21" i="2"/>
  <c r="P38" i="2"/>
  <c r="P336" i="2" s="1"/>
  <c r="P338" i="2" s="1"/>
  <c r="P451" i="2" s="1"/>
  <c r="Q28" i="2"/>
  <c r="Q36" i="2"/>
  <c r="P402" i="2"/>
  <c r="P403" i="2" s="1"/>
  <c r="P397" i="2" s="1"/>
  <c r="P30" i="2"/>
  <c r="Q27" i="2"/>
  <c r="Q35" i="2"/>
  <c r="Q337" i="2"/>
  <c r="I959" i="2"/>
  <c r="N346" i="2"/>
  <c r="I450" i="2"/>
  <c r="L348" i="2"/>
  <c r="K350" i="2"/>
  <c r="R354" i="2"/>
  <c r="R343" i="2"/>
  <c r="O472" i="2"/>
  <c r="O478" i="2" s="1"/>
  <c r="O503" i="2" s="1"/>
  <c r="O984" i="2" s="1"/>
  <c r="O332" i="4" s="1"/>
  <c r="P759" i="2"/>
  <c r="P760" i="2" s="1"/>
  <c r="Q759" i="2" s="1"/>
  <c r="Q760" i="2" s="1"/>
  <c r="P768" i="2"/>
  <c r="O367" i="2"/>
  <c r="O457" i="2" s="1"/>
  <c r="K964" i="2"/>
  <c r="H40" i="4"/>
  <c r="D35" i="7" s="1"/>
  <c r="H460" i="2"/>
  <c r="H25" i="4" s="1"/>
  <c r="O369" i="2"/>
  <c r="O456" i="2" s="1"/>
  <c r="O365" i="2"/>
  <c r="N371" i="2"/>
  <c r="K142" i="4"/>
  <c r="K167" i="4"/>
  <c r="P763" i="2"/>
  <c r="P764" i="2" s="1"/>
  <c r="Q763" i="2" s="1"/>
  <c r="Q764" i="2" s="1"/>
  <c r="I77" i="4"/>
  <c r="I653" i="2"/>
  <c r="I675" i="2" s="1"/>
  <c r="M382" i="2"/>
  <c r="L382" i="2"/>
  <c r="L453" i="2" s="1"/>
  <c r="G1007" i="2"/>
  <c r="G1008" i="2" s="1"/>
  <c r="G1002" i="2" s="1"/>
  <c r="K374" i="2"/>
  <c r="K459" i="2" s="1"/>
  <c r="L955" i="2"/>
  <c r="L449" i="2"/>
  <c r="R380" i="2"/>
  <c r="Q470" i="2"/>
  <c r="Q471" i="2" s="1"/>
  <c r="O798" i="2"/>
  <c r="O970" i="2" s="1"/>
  <c r="M483" i="2"/>
  <c r="M9" i="4" s="1"/>
  <c r="L144" i="4"/>
  <c r="M508" i="2"/>
  <c r="M41" i="4" s="1"/>
  <c r="N508" i="2"/>
  <c r="N41" i="4" s="1"/>
  <c r="Q758" i="2"/>
  <c r="Q757" i="2"/>
  <c r="M637" i="2"/>
  <c r="M635" i="2" s="1"/>
  <c r="M79" i="4" s="1"/>
  <c r="N481" i="2"/>
  <c r="O502" i="2"/>
  <c r="P502" i="2"/>
  <c r="N984" i="2"/>
  <c r="N506" i="2"/>
  <c r="N985" i="2" s="1"/>
  <c r="N479" i="2"/>
  <c r="M643" i="2"/>
  <c r="M641" i="2" s="1"/>
  <c r="M78" i="4" s="1"/>
  <c r="M166" i="4" s="1"/>
  <c r="P472" i="2"/>
  <c r="P478" i="2" s="1"/>
  <c r="P503" i="2" s="1"/>
  <c r="R744" i="2"/>
  <c r="R755" i="2" s="1"/>
  <c r="R474" i="2"/>
  <c r="R501" i="2"/>
  <c r="Q698" i="2"/>
  <c r="Q778" i="2" s="1"/>
  <c r="P794" i="2"/>
  <c r="P671" i="2" s="1"/>
  <c r="P670" i="2" s="1"/>
  <c r="P98" i="4" s="1"/>
  <c r="P793" i="2"/>
  <c r="P91" i="4" s="1"/>
  <c r="Q699" i="2"/>
  <c r="Q779" i="2" s="1"/>
  <c r="Q762" i="2"/>
  <c r="P740" i="2"/>
  <c r="P734" i="2"/>
  <c r="P798" i="2" s="1"/>
  <c r="P970" i="2" s="1"/>
  <c r="Q727" i="2"/>
  <c r="Q730" i="2"/>
  <c r="Q729" i="2"/>
  <c r="R689" i="2"/>
  <c r="R699" i="2" s="1"/>
  <c r="R779" i="2" s="1"/>
  <c r="R716" i="2"/>
  <c r="Q703" i="2"/>
  <c r="Q783" i="2" s="1"/>
  <c r="Q177" i="2"/>
  <c r="Q178" i="2" s="1"/>
  <c r="O233" i="2"/>
  <c r="O306" i="2"/>
  <c r="K323" i="2"/>
  <c r="K39" i="4" s="1"/>
  <c r="N327" i="2"/>
  <c r="N954" i="2" s="1"/>
  <c r="O226" i="2"/>
  <c r="O215" i="2" s="1"/>
  <c r="N310" i="2"/>
  <c r="O179" i="2"/>
  <c r="O261" i="2"/>
  <c r="O262" i="2" s="1"/>
  <c r="P243" i="2"/>
  <c r="P244" i="2" s="1"/>
  <c r="O270" i="2"/>
  <c r="M270" i="2"/>
  <c r="M274" i="2" s="1"/>
  <c r="O142" i="2"/>
  <c r="O197" i="2"/>
  <c r="O106" i="2"/>
  <c r="O288" i="2"/>
  <c r="N160" i="2"/>
  <c r="O124" i="2"/>
  <c r="O160" i="2"/>
  <c r="Q304" i="2"/>
  <c r="Q305" i="2" s="1"/>
  <c r="L325" i="2"/>
  <c r="Q231" i="2"/>
  <c r="Q232" i="2" s="1"/>
  <c r="Q195" i="2"/>
  <c r="Q196" i="2" s="1"/>
  <c r="Q268" i="2"/>
  <c r="Q269" i="2" s="1"/>
  <c r="K625" i="2"/>
  <c r="K101" i="4" s="1"/>
  <c r="M90" i="2"/>
  <c r="M100" i="2" s="1"/>
  <c r="Q286" i="2"/>
  <c r="Q287" i="2" s="1"/>
  <c r="N235" i="2"/>
  <c r="N237" i="2" s="1"/>
  <c r="Q249" i="2"/>
  <c r="Q250" i="2" s="1"/>
  <c r="M245" i="2"/>
  <c r="Q213" i="2"/>
  <c r="Q214" i="2" s="1"/>
  <c r="O321" i="2"/>
  <c r="O6" i="4" s="1"/>
  <c r="L326" i="2"/>
  <c r="N322" i="2"/>
  <c r="P321" i="2"/>
  <c r="P6" i="4" s="1"/>
  <c r="I1000" i="2"/>
  <c r="I997" i="2" s="1"/>
  <c r="I1009" i="2"/>
  <c r="P298" i="2"/>
  <c r="P299" i="2" s="1"/>
  <c r="R315" i="2"/>
  <c r="R302" i="2"/>
  <c r="R297" i="2"/>
  <c r="R279" i="2"/>
  <c r="R266" i="2"/>
  <c r="R284" i="2"/>
  <c r="N282" i="2"/>
  <c r="O272" i="2"/>
  <c r="N300" i="2"/>
  <c r="O290" i="2"/>
  <c r="N292" i="2"/>
  <c r="P316" i="2"/>
  <c r="P317" i="2" s="1"/>
  <c r="N318" i="2"/>
  <c r="O308" i="2"/>
  <c r="P280" i="2"/>
  <c r="P281" i="2" s="1"/>
  <c r="L619" i="2"/>
  <c r="L617" i="2" s="1"/>
  <c r="M88" i="2"/>
  <c r="L92" i="2"/>
  <c r="Q140" i="2"/>
  <c r="Q141" i="2" s="1"/>
  <c r="K76" i="4"/>
  <c r="K165" i="4" s="1"/>
  <c r="M191" i="2"/>
  <c r="N181" i="2"/>
  <c r="M183" i="2"/>
  <c r="M227" i="2"/>
  <c r="N217" i="2"/>
  <c r="M219" i="2"/>
  <c r="P225" i="2"/>
  <c r="P226" i="2" s="1"/>
  <c r="R260" i="2"/>
  <c r="R247" i="2"/>
  <c r="R224" i="2"/>
  <c r="R229" i="2"/>
  <c r="R242" i="2"/>
  <c r="R188" i="2"/>
  <c r="R211" i="2"/>
  <c r="R206" i="2"/>
  <c r="R193" i="2"/>
  <c r="R175" i="2"/>
  <c r="P261" i="2"/>
  <c r="M209" i="2"/>
  <c r="N199" i="2"/>
  <c r="M201" i="2"/>
  <c r="M263" i="2"/>
  <c r="N253" i="2"/>
  <c r="M255" i="2"/>
  <c r="P207" i="2"/>
  <c r="P208" i="2" s="1"/>
  <c r="P189" i="2"/>
  <c r="P190" i="2" s="1"/>
  <c r="Q104" i="2"/>
  <c r="Q105" i="2" s="1"/>
  <c r="Q122" i="2"/>
  <c r="Q123" i="2" s="1"/>
  <c r="N146" i="4"/>
  <c r="Q86" i="2"/>
  <c r="Q87" i="2" s="1"/>
  <c r="Q158" i="2"/>
  <c r="Q159" i="2" s="1"/>
  <c r="J623" i="2"/>
  <c r="K961" i="2"/>
  <c r="R169" i="2"/>
  <c r="R156" i="2"/>
  <c r="R151" i="2"/>
  <c r="R115" i="2"/>
  <c r="R138" i="2"/>
  <c r="R133" i="2"/>
  <c r="R102" i="2"/>
  <c r="R120" i="2"/>
  <c r="M118" i="2"/>
  <c r="N108" i="2"/>
  <c r="M110" i="2"/>
  <c r="N154" i="2"/>
  <c r="O144" i="2"/>
  <c r="N146" i="2"/>
  <c r="P116" i="2"/>
  <c r="P117" i="2" s="1"/>
  <c r="P170" i="2"/>
  <c r="P171" i="2" s="1"/>
  <c r="M172" i="2"/>
  <c r="N162" i="2"/>
  <c r="M164" i="2"/>
  <c r="M136" i="2"/>
  <c r="N126" i="2"/>
  <c r="M128" i="2"/>
  <c r="P134" i="2"/>
  <c r="P135" i="2" s="1"/>
  <c r="P152" i="2"/>
  <c r="P153" i="2" s="1"/>
  <c r="O99" i="2"/>
  <c r="P98" i="2"/>
  <c r="R97" i="2"/>
  <c r="R84" i="2"/>
  <c r="Q593" i="2"/>
  <c r="R603" i="2"/>
  <c r="R577" i="2"/>
  <c r="K126" i="4"/>
  <c r="K181" i="4"/>
  <c r="K278" i="4"/>
  <c r="N111" i="10"/>
  <c r="L114" i="10"/>
  <c r="L122" i="10"/>
  <c r="U87" i="1"/>
  <c r="T91" i="1"/>
  <c r="R590" i="2"/>
  <c r="R252" i="4"/>
  <c r="R294" i="4"/>
  <c r="R236" i="4"/>
  <c r="R203" i="4"/>
  <c r="R187" i="4"/>
  <c r="V81" i="1"/>
  <c r="W79" i="1"/>
  <c r="R489" i="2"/>
  <c r="R83" i="4"/>
  <c r="R883" i="2"/>
  <c r="R247" i="4"/>
  <c r="W86" i="1"/>
  <c r="R595" i="2"/>
  <c r="R289" i="4"/>
  <c r="R113" i="4"/>
  <c r="S2" i="1"/>
  <c r="S45" i="1" s="1"/>
  <c r="S2" i="4"/>
  <c r="S103" i="4" s="1"/>
  <c r="S2" i="5"/>
  <c r="S2" i="10"/>
  <c r="S2" i="2"/>
  <c r="T25" i="1"/>
  <c r="N107" i="10"/>
  <c r="N118" i="10" s="1"/>
  <c r="M120" i="10"/>
  <c r="R12" i="2"/>
  <c r="R121" i="2" s="1"/>
  <c r="R14" i="2"/>
  <c r="R139" i="2" s="1"/>
  <c r="R13" i="2"/>
  <c r="R157" i="2" s="1"/>
  <c r="R497" i="2"/>
  <c r="T197" i="4"/>
  <c r="T246" i="4"/>
  <c r="T288" i="4"/>
  <c r="T47" i="1"/>
  <c r="U43" i="1"/>
  <c r="T48" i="1"/>
  <c r="T50" i="1"/>
  <c r="T49" i="1"/>
  <c r="R198" i="4"/>
  <c r="S198" i="4" s="1"/>
  <c r="N4" i="2"/>
  <c r="N42" i="2"/>
  <c r="S849" i="2"/>
  <c r="S848" i="2" s="1"/>
  <c r="R850" i="2"/>
  <c r="R857" i="2"/>
  <c r="R856" i="2" s="1"/>
  <c r="Q858" i="2"/>
  <c r="S54" i="1"/>
  <c r="R55" i="1"/>
  <c r="R53" i="1" s="1"/>
  <c r="O47" i="4"/>
  <c r="T57" i="10"/>
  <c r="T62" i="10"/>
  <c r="Q632" i="2"/>
  <c r="Q633" i="2" s="1"/>
  <c r="R582" i="2"/>
  <c r="P90" i="4"/>
  <c r="Q93" i="10"/>
  <c r="O491" i="2"/>
  <c r="O13" i="4" s="1"/>
  <c r="P487" i="2"/>
  <c r="N4" i="5"/>
  <c r="N1" i="5"/>
  <c r="N1" i="4"/>
  <c r="N174" i="4"/>
  <c r="N138" i="4"/>
  <c r="N222" i="4"/>
  <c r="N119" i="4"/>
  <c r="N37" i="4"/>
  <c r="N271" i="4"/>
  <c r="N73" i="4"/>
  <c r="N4" i="4"/>
  <c r="N313" i="4"/>
  <c r="N880" i="2"/>
  <c r="N513" i="2"/>
  <c r="N464" i="2"/>
  <c r="N862" i="2"/>
  <c r="N1" i="2"/>
  <c r="N1" i="10"/>
  <c r="N682" i="2"/>
  <c r="N102" i="10"/>
  <c r="N952" i="2"/>
  <c r="N113" i="1"/>
  <c r="N14" i="1"/>
  <c r="N841" i="2"/>
  <c r="N90" i="10"/>
  <c r="N826" i="2"/>
  <c r="N891" i="2"/>
  <c r="N615" i="2"/>
  <c r="N68" i="1"/>
  <c r="N38" i="1"/>
  <c r="N80" i="2"/>
  <c r="N332" i="2"/>
  <c r="N55" i="10"/>
  <c r="N1" i="1"/>
  <c r="Q656" i="2"/>
  <c r="P651" i="2"/>
  <c r="Q650" i="2"/>
  <c r="Q606" i="2"/>
  <c r="N13" i="4"/>
  <c r="Q673" i="2"/>
  <c r="R672" i="2"/>
  <c r="O34" i="1"/>
  <c r="O55" i="2" s="1"/>
  <c r="Q621" i="2"/>
  <c r="Q124" i="10"/>
  <c r="Q644" i="2"/>
  <c r="Q645" i="2" s="1"/>
  <c r="P627" i="2"/>
  <c r="Q626" i="2"/>
  <c r="P86" i="4"/>
  <c r="Q65" i="10"/>
  <c r="P82" i="4"/>
  <c r="Q97" i="10"/>
  <c r="P668" i="2"/>
  <c r="Q667" i="2"/>
  <c r="M178" i="4"/>
  <c r="N131" i="1"/>
  <c r="Q140" i="1"/>
  <c r="Q638" i="2"/>
  <c r="Q639" i="2" s="1"/>
  <c r="O592" i="2"/>
  <c r="O14" i="4" s="1"/>
  <c r="P588" i="2"/>
  <c r="R601" i="2"/>
  <c r="P29" i="1"/>
  <c r="P28" i="1"/>
  <c r="Q26" i="1"/>
  <c r="P27" i="1"/>
  <c r="Q499" i="2"/>
  <c r="R495" i="2"/>
  <c r="P226" i="4"/>
  <c r="Q120" i="1"/>
  <c r="L71" i="10"/>
  <c r="L72" i="10" s="1"/>
  <c r="P663" i="2"/>
  <c r="Q662" i="2"/>
  <c r="N14" i="4"/>
  <c r="P102" i="4"/>
  <c r="Q125" i="10"/>
  <c r="R111" i="4"/>
  <c r="O317" i="4"/>
  <c r="P146" i="1"/>
  <c r="P275" i="4"/>
  <c r="Q123" i="1"/>
  <c r="J80" i="12"/>
  <c r="B88" i="12"/>
  <c r="L80" i="12"/>
  <c r="J77" i="12"/>
  <c r="B81" i="12"/>
  <c r="J85" i="10"/>
  <c r="J78" i="10"/>
  <c r="G189" i="4" l="1"/>
  <c r="G161" i="4"/>
  <c r="G152" i="4"/>
  <c r="G238" i="4"/>
  <c r="S44" i="1"/>
  <c r="S108" i="4"/>
  <c r="J784" i="2"/>
  <c r="J705" i="2"/>
  <c r="H330" i="4"/>
  <c r="H977" i="2"/>
  <c r="H978" i="2" s="1"/>
  <c r="H329" i="4" s="1"/>
  <c r="H16" i="4"/>
  <c r="M822" i="2"/>
  <c r="N709" i="2"/>
  <c r="I88" i="4"/>
  <c r="I981" i="2"/>
  <c r="S289" i="4"/>
  <c r="S59" i="1"/>
  <c r="J799" i="2"/>
  <c r="J736" i="2"/>
  <c r="J795" i="2"/>
  <c r="J732" i="2"/>
  <c r="I781" i="2"/>
  <c r="J700" i="2"/>
  <c r="O455" i="2"/>
  <c r="O631" i="2" s="1"/>
  <c r="O629" i="2" s="1"/>
  <c r="O80" i="4" s="1"/>
  <c r="Q341" i="2"/>
  <c r="K458" i="2"/>
  <c r="K649" i="2" s="1"/>
  <c r="K647" i="2" s="1"/>
  <c r="K97" i="4" s="1"/>
  <c r="J450" i="2"/>
  <c r="J460" i="2" s="1"/>
  <c r="J25" i="4" s="1"/>
  <c r="M453" i="2"/>
  <c r="M964" i="2" s="1"/>
  <c r="S422" i="2"/>
  <c r="S416" i="2"/>
  <c r="S407" i="2"/>
  <c r="S409" i="2"/>
  <c r="S411" i="2"/>
  <c r="J869" i="2"/>
  <c r="J873" i="2" s="1"/>
  <c r="J963" i="2" s="1"/>
  <c r="O414" i="2"/>
  <c r="P414" i="2" s="1"/>
  <c r="N418" i="2"/>
  <c r="Q423" i="2"/>
  <c r="Q424" i="2" s="1"/>
  <c r="R406" i="2"/>
  <c r="R413" i="2" s="1"/>
  <c r="K867" i="2"/>
  <c r="K872" i="2" s="1"/>
  <c r="K26" i="4" s="1"/>
  <c r="F48" i="7"/>
  <c r="P962" i="2"/>
  <c r="O817" i="2"/>
  <c r="O58" i="4"/>
  <c r="O182" i="4" s="1"/>
  <c r="O973" i="2"/>
  <c r="P818" i="2"/>
  <c r="P968" i="2" s="1"/>
  <c r="P973" i="2" s="1"/>
  <c r="Q797" i="2"/>
  <c r="P817" i="2"/>
  <c r="Q804" i="2"/>
  <c r="Q962" i="2" s="1"/>
  <c r="R739" i="2"/>
  <c r="R733" i="2"/>
  <c r="R767" i="2"/>
  <c r="R761" i="2"/>
  <c r="P56" i="4"/>
  <c r="F51" i="7" s="1"/>
  <c r="R708" i="2"/>
  <c r="R789" i="2" s="1"/>
  <c r="R702" i="2"/>
  <c r="R782" i="2" s="1"/>
  <c r="S294" i="2"/>
  <c r="S352" i="2"/>
  <c r="S257" i="2"/>
  <c r="S185" i="2"/>
  <c r="S112" i="2"/>
  <c r="S94" i="2"/>
  <c r="S221" i="2"/>
  <c r="S203" i="2"/>
  <c r="S166" i="2"/>
  <c r="S312" i="2"/>
  <c r="S130" i="2"/>
  <c r="S239" i="2"/>
  <c r="S276" i="2"/>
  <c r="S148" i="2"/>
  <c r="S722" i="2"/>
  <c r="S567" i="2"/>
  <c r="S692" i="2"/>
  <c r="S548" i="2"/>
  <c r="S521" i="2"/>
  <c r="S399" i="2"/>
  <c r="S378" i="2"/>
  <c r="S556" i="2"/>
  <c r="S537" i="2"/>
  <c r="S529" i="2"/>
  <c r="S442" i="2"/>
  <c r="S750" i="2"/>
  <c r="T72" i="1"/>
  <c r="F47" i="7"/>
  <c r="N58" i="4"/>
  <c r="M923" i="2"/>
  <c r="N922" i="2" s="1"/>
  <c r="N923" i="2" s="1"/>
  <c r="N921" i="2" s="1"/>
  <c r="L921" i="2"/>
  <c r="L939" i="2" s="1"/>
  <c r="K122" i="4"/>
  <c r="K109" i="4"/>
  <c r="F5" i="7"/>
  <c r="G28" i="4"/>
  <c r="M143" i="4"/>
  <c r="M144" i="4"/>
  <c r="Q570" i="2"/>
  <c r="Q600" i="2" s="1"/>
  <c r="Q598" i="2" s="1"/>
  <c r="R569" i="2"/>
  <c r="R565" i="2" s="1"/>
  <c r="R599" i="2" s="1"/>
  <c r="R605" i="2" s="1"/>
  <c r="P598" i="2"/>
  <c r="R550" i="2"/>
  <c r="R546" i="2" s="1"/>
  <c r="R551" i="2" s="1"/>
  <c r="K934" i="2"/>
  <c r="K945" i="2"/>
  <c r="K869" i="2"/>
  <c r="K873" i="2" s="1"/>
  <c r="K963" i="2" s="1"/>
  <c r="K972" i="2" s="1"/>
  <c r="R558" i="2"/>
  <c r="R554" i="2" s="1"/>
  <c r="R559" i="2" s="1"/>
  <c r="P965" i="2"/>
  <c r="H959" i="2"/>
  <c r="H960" i="2" s="1"/>
  <c r="H323" i="4" s="1"/>
  <c r="H324" i="4"/>
  <c r="Q587" i="2"/>
  <c r="L278" i="4"/>
  <c r="L126" i="4"/>
  <c r="L181" i="4"/>
  <c r="H974" i="2"/>
  <c r="P585" i="2"/>
  <c r="L944" i="2"/>
  <c r="L913" i="2"/>
  <c r="Q586" i="2"/>
  <c r="O611" i="2"/>
  <c r="O904" i="2"/>
  <c r="S931" i="2"/>
  <c r="S932" i="2" s="1"/>
  <c r="S924" i="2"/>
  <c r="S905" i="2"/>
  <c r="P572" i="2"/>
  <c r="R539" i="2"/>
  <c r="R535" i="2" s="1"/>
  <c r="R540" i="2" s="1"/>
  <c r="Q574" i="2"/>
  <c r="R531" i="2"/>
  <c r="R527" i="2" s="1"/>
  <c r="R532" i="2" s="1"/>
  <c r="P597" i="2"/>
  <c r="Q573" i="2"/>
  <c r="R523" i="2"/>
  <c r="R519" i="2" s="1"/>
  <c r="R524" i="2" s="1"/>
  <c r="M42" i="4"/>
  <c r="O608" i="2"/>
  <c r="N610" i="2"/>
  <c r="S568" i="2"/>
  <c r="R427" i="2"/>
  <c r="R428" i="2" s="1"/>
  <c r="R435" i="2" s="1"/>
  <c r="R445" i="2" s="1"/>
  <c r="R446" i="2" s="1"/>
  <c r="R440" i="2" s="1"/>
  <c r="S557" i="2"/>
  <c r="S549" i="2"/>
  <c r="L372" i="2"/>
  <c r="O575" i="2"/>
  <c r="N579" i="2"/>
  <c r="N10" i="4" s="1"/>
  <c r="N143" i="4" s="1"/>
  <c r="N584" i="2"/>
  <c r="O580" i="2"/>
  <c r="S538" i="2"/>
  <c r="S530" i="2"/>
  <c r="S522" i="2"/>
  <c r="Q445" i="2"/>
  <c r="Q446" i="2" s="1"/>
  <c r="Q440" i="2" s="1"/>
  <c r="O345" i="2"/>
  <c r="O355" i="2" s="1"/>
  <c r="S444" i="2"/>
  <c r="S438" i="2"/>
  <c r="S436" i="2"/>
  <c r="S431" i="2"/>
  <c r="S429" i="2"/>
  <c r="S426" i="2"/>
  <c r="S433" i="2"/>
  <c r="N356" i="2"/>
  <c r="P339" i="2"/>
  <c r="S401" i="2"/>
  <c r="S385" i="2" s="1"/>
  <c r="S18" i="2"/>
  <c r="S21" i="2"/>
  <c r="S393" i="2"/>
  <c r="S20" i="2"/>
  <c r="S17" i="2"/>
  <c r="S395" i="2"/>
  <c r="S386" i="2"/>
  <c r="S388" i="2"/>
  <c r="S19" i="2"/>
  <c r="S390" i="2"/>
  <c r="R28" i="2"/>
  <c r="R36" i="2"/>
  <c r="R25" i="2"/>
  <c r="R33" i="2"/>
  <c r="R22" i="2"/>
  <c r="R29" i="2"/>
  <c r="R37" i="2"/>
  <c r="R385" i="2"/>
  <c r="Q38" i="2"/>
  <c r="Q336" i="2" s="1"/>
  <c r="Q338" i="2" s="1"/>
  <c r="Q451" i="2" s="1"/>
  <c r="R26" i="2"/>
  <c r="R34" i="2"/>
  <c r="R27" i="2"/>
  <c r="R35" i="2"/>
  <c r="Q30" i="2"/>
  <c r="R337" i="2"/>
  <c r="O506" i="2"/>
  <c r="O985" i="2" s="1"/>
  <c r="I40" i="4"/>
  <c r="I460" i="2"/>
  <c r="I25" i="4" s="1"/>
  <c r="M348" i="2"/>
  <c r="L350" i="2"/>
  <c r="O346" i="2"/>
  <c r="S354" i="2"/>
  <c r="S343" i="2"/>
  <c r="Q768" i="2"/>
  <c r="O476" i="2"/>
  <c r="O500" i="2" s="1"/>
  <c r="Q793" i="2"/>
  <c r="Q91" i="4" s="1"/>
  <c r="H1006" i="2"/>
  <c r="G336" i="4"/>
  <c r="G1003" i="2"/>
  <c r="G1004" i="2" s="1"/>
  <c r="G335" i="4" s="1"/>
  <c r="R470" i="2"/>
  <c r="R471" i="2" s="1"/>
  <c r="P367" i="2"/>
  <c r="P457" i="2" s="1"/>
  <c r="L321" i="4"/>
  <c r="P365" i="2"/>
  <c r="O371" i="2"/>
  <c r="L8" i="4"/>
  <c r="E7" i="7" s="1"/>
  <c r="M955" i="2"/>
  <c r="M321" i="4" s="1"/>
  <c r="M449" i="2"/>
  <c r="J77" i="4"/>
  <c r="J653" i="2"/>
  <c r="J675" i="2" s="1"/>
  <c r="N381" i="2"/>
  <c r="N454" i="2" s="1"/>
  <c r="R758" i="2"/>
  <c r="R364" i="2"/>
  <c r="L374" i="2"/>
  <c r="L459" i="2" s="1"/>
  <c r="K655" i="2"/>
  <c r="K376" i="2"/>
  <c r="K452" i="2" s="1"/>
  <c r="P369" i="2"/>
  <c r="P456" i="2" s="1"/>
  <c r="H1005" i="2"/>
  <c r="S380" i="2"/>
  <c r="N509" i="2"/>
  <c r="N986" i="2" s="1"/>
  <c r="N331" i="4" s="1"/>
  <c r="P476" i="2"/>
  <c r="P500" i="2" s="1"/>
  <c r="Q472" i="2"/>
  <c r="Q478" i="2" s="1"/>
  <c r="Q503" i="2" s="1"/>
  <c r="Q477" i="2"/>
  <c r="O504" i="2"/>
  <c r="O661" i="2" s="1"/>
  <c r="O659" i="2" s="1"/>
  <c r="O100" i="4" s="1"/>
  <c r="N637" i="2"/>
  <c r="N635" i="2" s="1"/>
  <c r="N79" i="4" s="1"/>
  <c r="O481" i="2"/>
  <c r="R757" i="2"/>
  <c r="P984" i="2"/>
  <c r="P332" i="4" s="1"/>
  <c r="P506" i="2"/>
  <c r="P985" i="2" s="1"/>
  <c r="N332" i="4"/>
  <c r="N483" i="2"/>
  <c r="N9" i="4" s="1"/>
  <c r="O479" i="2"/>
  <c r="N643" i="2"/>
  <c r="N641" i="2" s="1"/>
  <c r="N78" i="4" s="1"/>
  <c r="N166" i="4" s="1"/>
  <c r="P504" i="2"/>
  <c r="P661" i="2" s="1"/>
  <c r="P659" i="2" s="1"/>
  <c r="P100" i="4" s="1"/>
  <c r="S744" i="2"/>
  <c r="S755" i="2" s="1"/>
  <c r="S474" i="2"/>
  <c r="S501" i="2"/>
  <c r="Q794" i="2"/>
  <c r="Q671" i="2" s="1"/>
  <c r="Q670" i="2" s="1"/>
  <c r="Q98" i="4" s="1"/>
  <c r="R698" i="2"/>
  <c r="R778" i="2" s="1"/>
  <c r="R697" i="2"/>
  <c r="R703" i="2" s="1"/>
  <c r="R783" i="2" s="1"/>
  <c r="R762" i="2"/>
  <c r="R763" i="2"/>
  <c r="R764" i="2" s="1"/>
  <c r="R759" i="2"/>
  <c r="R760" i="2" s="1"/>
  <c r="Q740" i="2"/>
  <c r="Q734" i="2"/>
  <c r="S689" i="2"/>
  <c r="S697" i="2" s="1"/>
  <c r="S716" i="2"/>
  <c r="R727" i="2"/>
  <c r="R729" i="2"/>
  <c r="R730" i="2"/>
  <c r="R177" i="2"/>
  <c r="R178" i="2" s="1"/>
  <c r="K328" i="2"/>
  <c r="O251" i="2"/>
  <c r="P124" i="2"/>
  <c r="N274" i="2"/>
  <c r="R304" i="2"/>
  <c r="R305" i="2" s="1"/>
  <c r="O327" i="2"/>
  <c r="O954" i="2" s="1"/>
  <c r="O320" i="4" s="1"/>
  <c r="P270" i="2"/>
  <c r="P142" i="2"/>
  <c r="O322" i="2"/>
  <c r="P233" i="2"/>
  <c r="P306" i="2"/>
  <c r="Q261" i="2"/>
  <c r="Q262" i="2" s="1"/>
  <c r="L625" i="2"/>
  <c r="L623" i="2" s="1"/>
  <c r="P197" i="2"/>
  <c r="P160" i="2"/>
  <c r="Q189" i="2"/>
  <c r="Q190" i="2" s="1"/>
  <c r="P215" i="2"/>
  <c r="M324" i="2"/>
  <c r="M619" i="2" s="1"/>
  <c r="M617" i="2" s="1"/>
  <c r="Q225" i="2"/>
  <c r="Q226" i="2" s="1"/>
  <c r="P179" i="2"/>
  <c r="P288" i="2"/>
  <c r="P106" i="2"/>
  <c r="R195" i="2"/>
  <c r="R196" i="2" s="1"/>
  <c r="N90" i="2"/>
  <c r="O90" i="2" s="1"/>
  <c r="O100" i="2" s="1"/>
  <c r="O146" i="4"/>
  <c r="R231" i="2"/>
  <c r="R232" i="2" s="1"/>
  <c r="R268" i="2"/>
  <c r="R269" i="2" s="1"/>
  <c r="K623" i="2"/>
  <c r="R286" i="2"/>
  <c r="R287" i="2" s="1"/>
  <c r="O235" i="2"/>
  <c r="P235" i="2" s="1"/>
  <c r="N245" i="2"/>
  <c r="R249" i="2"/>
  <c r="R250" i="2" s="1"/>
  <c r="M325" i="2"/>
  <c r="R213" i="2"/>
  <c r="R214" i="2" s="1"/>
  <c r="O141" i="4"/>
  <c r="M326" i="2"/>
  <c r="I998" i="2"/>
  <c r="I999" i="2" s="1"/>
  <c r="I333" i="4" s="1"/>
  <c r="I334" i="4"/>
  <c r="L323" i="2"/>
  <c r="L39" i="4" s="1"/>
  <c r="E34" i="7" s="1"/>
  <c r="P327" i="2"/>
  <c r="P954" i="2" s="1"/>
  <c r="P320" i="4" s="1"/>
  <c r="R140" i="2"/>
  <c r="R141" i="2" s="1"/>
  <c r="Q321" i="2"/>
  <c r="Q6" i="4" s="1"/>
  <c r="Q298" i="2"/>
  <c r="Q299" i="2" s="1"/>
  <c r="O300" i="2"/>
  <c r="P290" i="2"/>
  <c r="S297" i="2"/>
  <c r="S315" i="2"/>
  <c r="S302" i="2"/>
  <c r="S279" i="2"/>
  <c r="S266" i="2"/>
  <c r="S284" i="2"/>
  <c r="Q316" i="2"/>
  <c r="Q317" i="2" s="1"/>
  <c r="O318" i="2"/>
  <c r="P308" i="2"/>
  <c r="O310" i="2"/>
  <c r="Q280" i="2"/>
  <c r="Q281" i="2" s="1"/>
  <c r="O282" i="2"/>
  <c r="P272" i="2"/>
  <c r="O274" i="2"/>
  <c r="O292" i="2"/>
  <c r="N88" i="2"/>
  <c r="N324" i="2" s="1"/>
  <c r="M92" i="2"/>
  <c r="L76" i="4"/>
  <c r="L165" i="4" s="1"/>
  <c r="N191" i="2"/>
  <c r="O181" i="2"/>
  <c r="N183" i="2"/>
  <c r="N263" i="2"/>
  <c r="O253" i="2"/>
  <c r="N255" i="2"/>
  <c r="S247" i="2"/>
  <c r="S242" i="2"/>
  <c r="S260" i="2"/>
  <c r="S229" i="2"/>
  <c r="S211" i="2"/>
  <c r="S206" i="2"/>
  <c r="S193" i="2"/>
  <c r="S224" i="2"/>
  <c r="S188" i="2"/>
  <c r="S175" i="2"/>
  <c r="P262" i="2"/>
  <c r="P251" i="2" s="1"/>
  <c r="N209" i="2"/>
  <c r="O199" i="2"/>
  <c r="N201" i="2"/>
  <c r="Q243" i="2"/>
  <c r="Q244" i="2" s="1"/>
  <c r="Q207" i="2"/>
  <c r="Q208" i="2" s="1"/>
  <c r="N227" i="2"/>
  <c r="O217" i="2"/>
  <c r="N219" i="2"/>
  <c r="R104" i="2"/>
  <c r="R105" i="2" s="1"/>
  <c r="R122" i="2"/>
  <c r="R123" i="2" s="1"/>
  <c r="R86" i="2"/>
  <c r="R87" i="2" s="1"/>
  <c r="R158" i="2"/>
  <c r="R159" i="2" s="1"/>
  <c r="L961" i="2"/>
  <c r="P141" i="4"/>
  <c r="P146" i="4"/>
  <c r="O154" i="2"/>
  <c r="P144" i="2"/>
  <c r="N136" i="2"/>
  <c r="O126" i="2"/>
  <c r="N128" i="2"/>
  <c r="Q134" i="2"/>
  <c r="Q135" i="2" s="1"/>
  <c r="N172" i="2"/>
  <c r="O162" i="2"/>
  <c r="N164" i="2"/>
  <c r="S151" i="2"/>
  <c r="S156" i="2"/>
  <c r="S138" i="2"/>
  <c r="S133" i="2"/>
  <c r="S115" i="2"/>
  <c r="S169" i="2"/>
  <c r="S120" i="2"/>
  <c r="S102" i="2"/>
  <c r="Q116" i="2"/>
  <c r="Q117" i="2" s="1"/>
  <c r="Q170" i="2"/>
  <c r="Q171" i="2" s="1"/>
  <c r="Q152" i="2"/>
  <c r="Q153" i="2" s="1"/>
  <c r="N118" i="2"/>
  <c r="O108" i="2"/>
  <c r="N110" i="2"/>
  <c r="O146" i="2"/>
  <c r="N320" i="4"/>
  <c r="R593" i="2"/>
  <c r="S593" i="2" s="1"/>
  <c r="P99" i="2"/>
  <c r="Q98" i="2"/>
  <c r="S84" i="2"/>
  <c r="S97" i="2"/>
  <c r="T2" i="4"/>
  <c r="T103" i="4" s="1"/>
  <c r="T2" i="2"/>
  <c r="T2" i="10"/>
  <c r="T2" i="1"/>
  <c r="T45" i="1" s="1"/>
  <c r="U25" i="1"/>
  <c r="T2" i="5"/>
  <c r="S247" i="4"/>
  <c r="S590" i="2"/>
  <c r="S603" i="2"/>
  <c r="S92" i="4"/>
  <c r="W81" i="1"/>
  <c r="X79" i="1"/>
  <c r="S883" i="2"/>
  <c r="S577" i="2"/>
  <c r="U49" i="1"/>
  <c r="U48" i="1"/>
  <c r="U197" i="4"/>
  <c r="U288" i="4"/>
  <c r="U50" i="1"/>
  <c r="U246" i="4"/>
  <c r="U47" i="1"/>
  <c r="V43" i="1"/>
  <c r="S497" i="2"/>
  <c r="S83" i="4"/>
  <c r="T83" i="4" s="1"/>
  <c r="X86" i="1"/>
  <c r="N112" i="10"/>
  <c r="N117" i="10" s="1"/>
  <c r="N116" i="10"/>
  <c r="O111" i="10"/>
  <c r="M114" i="10"/>
  <c r="M122" i="10"/>
  <c r="S236" i="4"/>
  <c r="S294" i="4"/>
  <c r="S252" i="4"/>
  <c r="S203" i="4"/>
  <c r="S187" i="4"/>
  <c r="S13" i="2"/>
  <c r="S157" i="2" s="1"/>
  <c r="S12" i="2"/>
  <c r="S121" i="2" s="1"/>
  <c r="S14" i="2"/>
  <c r="S139" i="2" s="1"/>
  <c r="T198" i="4"/>
  <c r="S113" i="4"/>
  <c r="T113" i="4" s="1"/>
  <c r="S595" i="2"/>
  <c r="S489" i="2"/>
  <c r="V87" i="1"/>
  <c r="U91" i="1"/>
  <c r="O4" i="2"/>
  <c r="O42" i="2"/>
  <c r="R858" i="2"/>
  <c r="S857" i="2"/>
  <c r="S856" i="2" s="1"/>
  <c r="S850" i="2"/>
  <c r="T849" i="2"/>
  <c r="T848" i="2" s="1"/>
  <c r="T54" i="1"/>
  <c r="S55" i="1"/>
  <c r="S53" i="1" s="1"/>
  <c r="P47" i="4"/>
  <c r="F42" i="7" s="1"/>
  <c r="U57" i="10"/>
  <c r="U62" i="10"/>
  <c r="M70" i="10"/>
  <c r="Q82" i="4"/>
  <c r="R97" i="10"/>
  <c r="Q86" i="4"/>
  <c r="R65" i="10"/>
  <c r="R638" i="2"/>
  <c r="R639" i="2" s="1"/>
  <c r="S582" i="2"/>
  <c r="P592" i="2"/>
  <c r="Q588" i="2"/>
  <c r="P317" i="4"/>
  <c r="Q146" i="1"/>
  <c r="P34" i="1"/>
  <c r="P55" i="2" s="1"/>
  <c r="N178" i="4"/>
  <c r="O131" i="1"/>
  <c r="Q627" i="2"/>
  <c r="R626" i="2"/>
  <c r="R124" i="10"/>
  <c r="R656" i="2"/>
  <c r="R657" i="2" s="1"/>
  <c r="Q90" i="4"/>
  <c r="R93" i="10"/>
  <c r="O1" i="5"/>
  <c r="O4" i="5"/>
  <c r="O73" i="4"/>
  <c r="O222" i="4"/>
  <c r="O313" i="4"/>
  <c r="O119" i="4"/>
  <c r="O37" i="4"/>
  <c r="O4" i="4"/>
  <c r="O1" i="4"/>
  <c r="O174" i="4"/>
  <c r="O271" i="4"/>
  <c r="O138" i="4"/>
  <c r="O615" i="2"/>
  <c r="O841" i="2"/>
  <c r="O880" i="2"/>
  <c r="O513" i="2"/>
  <c r="O464" i="2"/>
  <c r="O102" i="10"/>
  <c r="O862" i="2"/>
  <c r="O80" i="2"/>
  <c r="O891" i="2"/>
  <c r="O55" i="10"/>
  <c r="O682" i="2"/>
  <c r="O826" i="2"/>
  <c r="O90" i="10"/>
  <c r="O113" i="1"/>
  <c r="O68" i="1"/>
  <c r="O14" i="1"/>
  <c r="O1" i="1"/>
  <c r="O1" i="10"/>
  <c r="O38" i="1"/>
  <c r="O332" i="2"/>
  <c r="O952" i="2"/>
  <c r="O1" i="2"/>
  <c r="Q102" i="4"/>
  <c r="R125" i="10"/>
  <c r="R499" i="2"/>
  <c r="S495" i="2"/>
  <c r="S601" i="2"/>
  <c r="R644" i="2"/>
  <c r="R645" i="2" s="1"/>
  <c r="R606" i="2"/>
  <c r="Q657" i="2"/>
  <c r="R632" i="2"/>
  <c r="R633" i="2" s="1"/>
  <c r="Q29" i="1"/>
  <c r="Q28" i="1"/>
  <c r="Q27" i="1"/>
  <c r="R26" i="1"/>
  <c r="R673" i="2"/>
  <c r="S672" i="2"/>
  <c r="P491" i="2"/>
  <c r="Q487" i="2"/>
  <c r="Q275" i="4"/>
  <c r="R123" i="1"/>
  <c r="S111" i="4"/>
  <c r="Q663" i="2"/>
  <c r="R662" i="2"/>
  <c r="Q226" i="4"/>
  <c r="R120" i="1"/>
  <c r="R140" i="1"/>
  <c r="Q668" i="2"/>
  <c r="R667" i="2"/>
  <c r="Q651" i="2"/>
  <c r="R650" i="2"/>
  <c r="G81" i="12"/>
  <c r="N81" i="12" s="1"/>
  <c r="G88" i="12"/>
  <c r="D85" i="12"/>
  <c r="J79" i="10"/>
  <c r="J86" i="10"/>
  <c r="T92" i="4" l="1"/>
  <c r="T108" i="4"/>
  <c r="I979" i="2"/>
  <c r="I976" i="2" s="1"/>
  <c r="I87" i="4"/>
  <c r="I93" i="4" s="1"/>
  <c r="I169" i="4" s="1"/>
  <c r="J785" i="2"/>
  <c r="K704" i="2"/>
  <c r="T289" i="4"/>
  <c r="J780" i="2"/>
  <c r="J20" i="4" s="1"/>
  <c r="J145" i="4" s="1"/>
  <c r="J701" i="2"/>
  <c r="J796" i="2"/>
  <c r="J981" i="2" s="1"/>
  <c r="K731" i="2"/>
  <c r="J800" i="2"/>
  <c r="K735" i="2"/>
  <c r="N822" i="2"/>
  <c r="O709" i="2"/>
  <c r="H148" i="4"/>
  <c r="H17" i="4"/>
  <c r="N937" i="2"/>
  <c r="J871" i="2"/>
  <c r="J46" i="4" s="1"/>
  <c r="J1009" i="2" s="1"/>
  <c r="J40" i="4"/>
  <c r="J1005" i="2" s="1"/>
  <c r="P455" i="2"/>
  <c r="P631" i="2" s="1"/>
  <c r="P629" i="2" s="1"/>
  <c r="P80" i="4" s="1"/>
  <c r="M938" i="2"/>
  <c r="M44" i="4" s="1"/>
  <c r="M278" i="4" s="1"/>
  <c r="O229" i="4"/>
  <c r="O279" i="4"/>
  <c r="L458" i="2"/>
  <c r="L649" i="2" s="1"/>
  <c r="L647" i="2" s="1"/>
  <c r="L97" i="4" s="1"/>
  <c r="R341" i="2"/>
  <c r="M921" i="2"/>
  <c r="M939" i="2" s="1"/>
  <c r="M934" i="2" s="1"/>
  <c r="T422" i="2"/>
  <c r="T405" i="2"/>
  <c r="T416" i="2"/>
  <c r="T409" i="2"/>
  <c r="T407" i="2"/>
  <c r="T411" i="2"/>
  <c r="S406" i="2"/>
  <c r="S413" i="2" s="1"/>
  <c r="R423" i="2"/>
  <c r="R424" i="2" s="1"/>
  <c r="Q414" i="2"/>
  <c r="R414" i="2" s="1"/>
  <c r="S414" i="2" s="1"/>
  <c r="T414" i="2" s="1"/>
  <c r="P418" i="2"/>
  <c r="O418" i="2"/>
  <c r="K871" i="2"/>
  <c r="K46" i="4" s="1"/>
  <c r="K1009" i="2" s="1"/>
  <c r="Q56" i="4"/>
  <c r="R797" i="2"/>
  <c r="R790" i="2" s="1"/>
  <c r="R53" i="4" s="1"/>
  <c r="T294" i="2"/>
  <c r="T221" i="2"/>
  <c r="T276" i="2"/>
  <c r="T312" i="2"/>
  <c r="T203" i="2"/>
  <c r="T185" i="2"/>
  <c r="T166" i="2"/>
  <c r="T352" i="2"/>
  <c r="T239" i="2"/>
  <c r="T148" i="2"/>
  <c r="T94" i="2"/>
  <c r="T112" i="2"/>
  <c r="T257" i="2"/>
  <c r="T130" i="2"/>
  <c r="T548" i="2"/>
  <c r="T399" i="2"/>
  <c r="T378" i="2"/>
  <c r="T567" i="2"/>
  <c r="T556" i="2"/>
  <c r="T537" i="2"/>
  <c r="T521" i="2"/>
  <c r="T692" i="2"/>
  <c r="T442" i="2"/>
  <c r="T750" i="2"/>
  <c r="T529" i="2"/>
  <c r="T722" i="2"/>
  <c r="U72" i="1"/>
  <c r="S739" i="2"/>
  <c r="S733" i="2"/>
  <c r="R804" i="2"/>
  <c r="R56" i="4" s="1"/>
  <c r="S767" i="2"/>
  <c r="S761" i="2"/>
  <c r="R776" i="2"/>
  <c r="P58" i="4"/>
  <c r="N229" i="4"/>
  <c r="N279" i="4"/>
  <c r="N182" i="4"/>
  <c r="S708" i="2"/>
  <c r="S789" i="2" s="1"/>
  <c r="S702" i="2"/>
  <c r="S782" i="2" s="1"/>
  <c r="Q818" i="2"/>
  <c r="Q968" i="2" s="1"/>
  <c r="Q790" i="2"/>
  <c r="L106" i="4"/>
  <c r="L867" i="2" s="1"/>
  <c r="L934" i="2"/>
  <c r="L945" i="2"/>
  <c r="S569" i="2"/>
  <c r="S565" i="2" s="1"/>
  <c r="S599" i="2" s="1"/>
  <c r="I1005" i="2"/>
  <c r="G991" i="2"/>
  <c r="S550" i="2"/>
  <c r="S546" i="2" s="1"/>
  <c r="S551" i="2" s="1"/>
  <c r="R570" i="2"/>
  <c r="R600" i="2" s="1"/>
  <c r="R598" i="2" s="1"/>
  <c r="R587" i="2"/>
  <c r="S558" i="2"/>
  <c r="S554" i="2" s="1"/>
  <c r="S559" i="2" s="1"/>
  <c r="P611" i="2"/>
  <c r="N21" i="4"/>
  <c r="N939" i="2"/>
  <c r="N934" i="2" s="1"/>
  <c r="R586" i="2"/>
  <c r="O922" i="2"/>
  <c r="N938" i="2"/>
  <c r="Q585" i="2"/>
  <c r="Q597" i="2"/>
  <c r="I960" i="2"/>
  <c r="I323" i="4" s="1"/>
  <c r="Q572" i="2"/>
  <c r="Q965" i="2"/>
  <c r="J972" i="2"/>
  <c r="J958" i="2" s="1"/>
  <c r="H81" i="4"/>
  <c r="I974" i="2"/>
  <c r="J1000" i="2"/>
  <c r="J997" i="2" s="1"/>
  <c r="L943" i="2"/>
  <c r="M912" i="2"/>
  <c r="O902" i="2"/>
  <c r="P903" i="2"/>
  <c r="T924" i="2"/>
  <c r="T905" i="2"/>
  <c r="T931" i="2"/>
  <c r="T932" i="2" s="1"/>
  <c r="S539" i="2"/>
  <c r="S535" i="2" s="1"/>
  <c r="S540" i="2" s="1"/>
  <c r="S531" i="2"/>
  <c r="S527" i="2" s="1"/>
  <c r="S532" i="2" s="1"/>
  <c r="R574" i="2"/>
  <c r="M372" i="2"/>
  <c r="N42" i="4"/>
  <c r="R573" i="2"/>
  <c r="S523" i="2"/>
  <c r="S519" i="2" s="1"/>
  <c r="S524" i="2" s="1"/>
  <c r="P608" i="2"/>
  <c r="O610" i="2"/>
  <c r="T568" i="2"/>
  <c r="S427" i="2"/>
  <c r="S428" i="2" s="1"/>
  <c r="S435" i="2" s="1"/>
  <c r="T557" i="2"/>
  <c r="T549" i="2"/>
  <c r="O584" i="2"/>
  <c r="P580" i="2"/>
  <c r="P575" i="2"/>
  <c r="O579" i="2"/>
  <c r="O10" i="4" s="1"/>
  <c r="T538" i="2"/>
  <c r="T530" i="2"/>
  <c r="T522" i="2"/>
  <c r="O356" i="2"/>
  <c r="P345" i="2"/>
  <c r="P355" i="2" s="1"/>
  <c r="T444" i="2"/>
  <c r="T436" i="2"/>
  <c r="T438" i="2"/>
  <c r="T429" i="2"/>
  <c r="T426" i="2"/>
  <c r="T433" i="2"/>
  <c r="T431" i="2"/>
  <c r="S392" i="2"/>
  <c r="S402" i="2" s="1"/>
  <c r="S403" i="2" s="1"/>
  <c r="S397" i="2" s="1"/>
  <c r="Q339" i="2"/>
  <c r="S29" i="2"/>
  <c r="S37" i="2"/>
  <c r="S27" i="2"/>
  <c r="S35" i="2"/>
  <c r="S26" i="2"/>
  <c r="S34" i="2"/>
  <c r="R38" i="2"/>
  <c r="R336" i="2" s="1"/>
  <c r="R338" i="2" s="1"/>
  <c r="R451" i="2" s="1"/>
  <c r="R30" i="2"/>
  <c r="S28" i="2"/>
  <c r="S36" i="2"/>
  <c r="R392" i="2"/>
  <c r="T401" i="2"/>
  <c r="T17" i="2"/>
  <c r="T19" i="2"/>
  <c r="T21" i="2"/>
  <c r="T390" i="2"/>
  <c r="T20" i="2"/>
  <c r="T386" i="2"/>
  <c r="T18" i="2"/>
  <c r="T388" i="2"/>
  <c r="T395" i="2"/>
  <c r="T393" i="2"/>
  <c r="S25" i="2"/>
  <c r="S22" i="2"/>
  <c r="S33" i="2"/>
  <c r="S337" i="2"/>
  <c r="K958" i="2"/>
  <c r="K324" i="4" s="1"/>
  <c r="O509" i="2"/>
  <c r="O986" i="2" s="1"/>
  <c r="O331" i="4" s="1"/>
  <c r="N348" i="2"/>
  <c r="M350" i="2"/>
  <c r="P346" i="2"/>
  <c r="T354" i="2"/>
  <c r="T343" i="2"/>
  <c r="R768" i="2"/>
  <c r="K77" i="4"/>
  <c r="K653" i="2"/>
  <c r="K675" i="2" s="1"/>
  <c r="L655" i="2"/>
  <c r="M374" i="2"/>
  <c r="M459" i="2" s="1"/>
  <c r="L142" i="4"/>
  <c r="L167" i="4"/>
  <c r="L7" i="4"/>
  <c r="K450" i="2"/>
  <c r="S758" i="2"/>
  <c r="M8" i="4"/>
  <c r="H1007" i="2"/>
  <c r="H1008" i="2" s="1"/>
  <c r="H1002" i="2" s="1"/>
  <c r="N382" i="2"/>
  <c r="N453" i="2" s="1"/>
  <c r="O381" i="2"/>
  <c r="O454" i="2" s="1"/>
  <c r="Q367" i="2"/>
  <c r="Q457" i="2" s="1"/>
  <c r="Q369" i="2"/>
  <c r="Q456" i="2" s="1"/>
  <c r="N955" i="2"/>
  <c r="N321" i="4" s="1"/>
  <c r="N449" i="2"/>
  <c r="P371" i="2"/>
  <c r="P381" i="2" s="1"/>
  <c r="Q365" i="2"/>
  <c r="L376" i="2"/>
  <c r="L452" i="2" s="1"/>
  <c r="S470" i="2"/>
  <c r="S471" i="2" s="1"/>
  <c r="S364" i="2"/>
  <c r="L964" i="2"/>
  <c r="S757" i="2"/>
  <c r="T380" i="2"/>
  <c r="O508" i="2"/>
  <c r="O41" i="4" s="1"/>
  <c r="O483" i="2"/>
  <c r="O9" i="4" s="1"/>
  <c r="P508" i="2"/>
  <c r="P41" i="4" s="1"/>
  <c r="R472" i="2"/>
  <c r="R478" i="2" s="1"/>
  <c r="R503" i="2" s="1"/>
  <c r="R477" i="2"/>
  <c r="P509" i="2"/>
  <c r="P986" i="2" s="1"/>
  <c r="P331" i="4" s="1"/>
  <c r="N144" i="4"/>
  <c r="Q476" i="2"/>
  <c r="Q502" i="2"/>
  <c r="P479" i="2"/>
  <c r="O643" i="2"/>
  <c r="O641" i="2" s="1"/>
  <c r="O78" i="4" s="1"/>
  <c r="O166" i="4" s="1"/>
  <c r="P481" i="2"/>
  <c r="O637" i="2"/>
  <c r="O635" i="2" s="1"/>
  <c r="O79" i="4" s="1"/>
  <c r="Q984" i="2"/>
  <c r="Q506" i="2"/>
  <c r="Q985" i="2" s="1"/>
  <c r="T744" i="2"/>
  <c r="T758" i="2" s="1"/>
  <c r="T474" i="2"/>
  <c r="T501" i="2"/>
  <c r="R793" i="2"/>
  <c r="R91" i="4" s="1"/>
  <c r="Q798" i="2"/>
  <c r="Q970" i="2" s="1"/>
  <c r="R794" i="2"/>
  <c r="R671" i="2" s="1"/>
  <c r="R670" i="2" s="1"/>
  <c r="R98" i="4" s="1"/>
  <c r="S762" i="2"/>
  <c r="S763" i="2"/>
  <c r="S764" i="2" s="1"/>
  <c r="S759" i="2"/>
  <c r="S760" i="2" s="1"/>
  <c r="S698" i="2"/>
  <c r="S778" i="2" s="1"/>
  <c r="S699" i="2"/>
  <c r="S779" i="2" s="1"/>
  <c r="T689" i="2"/>
  <c r="T697" i="2" s="1"/>
  <c r="T716" i="2"/>
  <c r="R734" i="2"/>
  <c r="S727" i="2"/>
  <c r="S729" i="2"/>
  <c r="S730" i="2"/>
  <c r="R740" i="2"/>
  <c r="S177" i="2"/>
  <c r="S178" i="2" s="1"/>
  <c r="S703" i="2"/>
  <c r="S783" i="2" s="1"/>
  <c r="Q142" i="2"/>
  <c r="S304" i="2"/>
  <c r="S305" i="2" s="1"/>
  <c r="Q160" i="2"/>
  <c r="P146" i="2"/>
  <c r="Q288" i="2"/>
  <c r="S195" i="2"/>
  <c r="S196" i="2" s="1"/>
  <c r="Q179" i="2"/>
  <c r="Q215" i="2"/>
  <c r="Q270" i="2"/>
  <c r="Q197" i="2"/>
  <c r="R225" i="2"/>
  <c r="R226" i="2" s="1"/>
  <c r="L101" i="4"/>
  <c r="Q251" i="2"/>
  <c r="Q124" i="2"/>
  <c r="Q306" i="2"/>
  <c r="R170" i="2"/>
  <c r="R171" i="2" s="1"/>
  <c r="R207" i="2"/>
  <c r="R208" i="2" s="1"/>
  <c r="Q233" i="2"/>
  <c r="Q106" i="2"/>
  <c r="S231" i="2"/>
  <c r="S232" i="2" s="1"/>
  <c r="P90" i="2"/>
  <c r="Q90" i="2" s="1"/>
  <c r="N100" i="2"/>
  <c r="N326" i="2" s="1"/>
  <c r="N961" i="2" s="1"/>
  <c r="N325" i="2"/>
  <c r="S268" i="2"/>
  <c r="S269" i="2" s="1"/>
  <c r="O237" i="2"/>
  <c r="S286" i="2"/>
  <c r="S287" i="2" s="1"/>
  <c r="S249" i="2"/>
  <c r="S250" i="2" s="1"/>
  <c r="O245" i="2"/>
  <c r="M625" i="2"/>
  <c r="M101" i="4" s="1"/>
  <c r="S213" i="2"/>
  <c r="S214" i="2" s="1"/>
  <c r="L328" i="2"/>
  <c r="O325" i="2"/>
  <c r="P322" i="2"/>
  <c r="R321" i="2"/>
  <c r="R6" i="4" s="1"/>
  <c r="S140" i="2"/>
  <c r="S141" i="2" s="1"/>
  <c r="M323" i="2"/>
  <c r="M328" i="2" s="1"/>
  <c r="Q327" i="2"/>
  <c r="Q954" i="2" s="1"/>
  <c r="Q320" i="4" s="1"/>
  <c r="T297" i="2"/>
  <c r="T284" i="2"/>
  <c r="T302" i="2"/>
  <c r="T315" i="2"/>
  <c r="T279" i="2"/>
  <c r="T266" i="2"/>
  <c r="R316" i="2"/>
  <c r="R317" i="2" s="1"/>
  <c r="R280" i="2"/>
  <c r="R298" i="2"/>
  <c r="R299" i="2" s="1"/>
  <c r="P300" i="2"/>
  <c r="Q290" i="2"/>
  <c r="P282" i="2"/>
  <c r="Q272" i="2"/>
  <c r="P274" i="2"/>
  <c r="P318" i="2"/>
  <c r="Q308" i="2"/>
  <c r="P310" i="2"/>
  <c r="P292" i="2"/>
  <c r="N619" i="2"/>
  <c r="N617" i="2" s="1"/>
  <c r="N92" i="2"/>
  <c r="O88" i="2"/>
  <c r="O324" i="2" s="1"/>
  <c r="M76" i="4"/>
  <c r="M165" i="4" s="1"/>
  <c r="T247" i="2"/>
  <c r="T242" i="2"/>
  <c r="T229" i="2"/>
  <c r="T260" i="2"/>
  <c r="T206" i="2"/>
  <c r="T211" i="2"/>
  <c r="T193" i="2"/>
  <c r="T224" i="2"/>
  <c r="T188" i="2"/>
  <c r="T175" i="2"/>
  <c r="O263" i="2"/>
  <c r="P253" i="2"/>
  <c r="O255" i="2"/>
  <c r="R261" i="2"/>
  <c r="R262" i="2" s="1"/>
  <c r="O191" i="2"/>
  <c r="P181" i="2"/>
  <c r="O183" i="2"/>
  <c r="R243" i="2"/>
  <c r="R244" i="2" s="1"/>
  <c r="O209" i="2"/>
  <c r="P199" i="2"/>
  <c r="O201" i="2"/>
  <c r="O227" i="2"/>
  <c r="P217" i="2"/>
  <c r="O219" i="2"/>
  <c r="R189" i="2"/>
  <c r="R190" i="2" s="1"/>
  <c r="P245" i="2"/>
  <c r="Q235" i="2"/>
  <c r="P237" i="2"/>
  <c r="S104" i="2"/>
  <c r="S105" i="2" s="1"/>
  <c r="S122" i="2"/>
  <c r="S123" i="2" s="1"/>
  <c r="T577" i="2"/>
  <c r="S86" i="2"/>
  <c r="S87" i="2" s="1"/>
  <c r="S158" i="2"/>
  <c r="S159" i="2" s="1"/>
  <c r="M961" i="2"/>
  <c r="T169" i="2"/>
  <c r="T156" i="2"/>
  <c r="T151" i="2"/>
  <c r="T138" i="2"/>
  <c r="T120" i="2"/>
  <c r="T133" i="2"/>
  <c r="T115" i="2"/>
  <c r="T102" i="2"/>
  <c r="O136" i="2"/>
  <c r="P126" i="2"/>
  <c r="O128" i="2"/>
  <c r="O118" i="2"/>
  <c r="P108" i="2"/>
  <c r="O110" i="2"/>
  <c r="O172" i="2"/>
  <c r="P162" i="2"/>
  <c r="O164" i="2"/>
  <c r="R134" i="2"/>
  <c r="R135" i="2" s="1"/>
  <c r="R152" i="2"/>
  <c r="R153" i="2" s="1"/>
  <c r="R116" i="2"/>
  <c r="R117" i="2" s="1"/>
  <c r="P154" i="2"/>
  <c r="Q144" i="2"/>
  <c r="Q141" i="4"/>
  <c r="Q146" i="4"/>
  <c r="T97" i="2"/>
  <c r="T84" i="2"/>
  <c r="Q99" i="2"/>
  <c r="Q322" i="2" s="1"/>
  <c r="R98" i="2"/>
  <c r="T590" i="2"/>
  <c r="T489" i="2"/>
  <c r="T595" i="2"/>
  <c r="W87" i="1"/>
  <c r="V91" i="1"/>
  <c r="O116" i="10"/>
  <c r="O112" i="10"/>
  <c r="O117" i="10" s="1"/>
  <c r="X81" i="1"/>
  <c r="Y79" i="1"/>
  <c r="N110" i="10"/>
  <c r="T883" i="2"/>
  <c r="T603" i="2"/>
  <c r="T59" i="1"/>
  <c r="Y86" i="1"/>
  <c r="T497" i="2"/>
  <c r="T247" i="4"/>
  <c r="U2" i="5"/>
  <c r="U2" i="4"/>
  <c r="U103" i="4" s="1"/>
  <c r="U2" i="2"/>
  <c r="U2" i="1"/>
  <c r="U45" i="1" s="1"/>
  <c r="U2" i="10"/>
  <c r="V25" i="1"/>
  <c r="W43" i="1"/>
  <c r="V50" i="1"/>
  <c r="V288" i="4"/>
  <c r="V246" i="4"/>
  <c r="V197" i="4"/>
  <c r="V47" i="1"/>
  <c r="V48" i="1"/>
  <c r="V49" i="1"/>
  <c r="T14" i="2"/>
  <c r="T139" i="2" s="1"/>
  <c r="T13" i="2"/>
  <c r="T157" i="2" s="1"/>
  <c r="T12" i="2"/>
  <c r="T121" i="2" s="1"/>
  <c r="T44" i="1"/>
  <c r="T203" i="4"/>
  <c r="T187" i="4"/>
  <c r="T252" i="4"/>
  <c r="T294" i="4"/>
  <c r="T236" i="4"/>
  <c r="G80" i="7" s="1"/>
  <c r="P4" i="2"/>
  <c r="P42" i="2"/>
  <c r="U849" i="2"/>
  <c r="U848" i="2" s="1"/>
  <c r="T850" i="2"/>
  <c r="S858" i="2"/>
  <c r="T857" i="2"/>
  <c r="T856" i="2" s="1"/>
  <c r="U54" i="1"/>
  <c r="T55" i="1"/>
  <c r="T53" i="1" s="1"/>
  <c r="Q47" i="4"/>
  <c r="V57" i="10"/>
  <c r="V62" i="10"/>
  <c r="P4" i="5"/>
  <c r="P1" i="5"/>
  <c r="P271" i="4"/>
  <c r="P4" i="4"/>
  <c r="P1" i="4"/>
  <c r="P138" i="4"/>
  <c r="P73" i="4"/>
  <c r="P174" i="4"/>
  <c r="P313" i="4"/>
  <c r="P119" i="4"/>
  <c r="P615" i="2"/>
  <c r="P841" i="2"/>
  <c r="P1" i="10"/>
  <c r="P222" i="4"/>
  <c r="P826" i="2"/>
  <c r="P37" i="4"/>
  <c r="P464" i="2"/>
  <c r="P102" i="10"/>
  <c r="P862" i="2"/>
  <c r="P891" i="2"/>
  <c r="P113" i="1"/>
  <c r="P14" i="1"/>
  <c r="P90" i="10"/>
  <c r="P55" i="10"/>
  <c r="P952" i="2"/>
  <c r="P682" i="2"/>
  <c r="P513" i="2"/>
  <c r="P332" i="2"/>
  <c r="P68" i="1"/>
  <c r="P38" i="1"/>
  <c r="P880" i="2"/>
  <c r="P80" i="2"/>
  <c r="P1" i="2"/>
  <c r="P1" i="1"/>
  <c r="Q592" i="2"/>
  <c r="Q14" i="4" s="1"/>
  <c r="R588" i="2"/>
  <c r="T582" i="2"/>
  <c r="R668" i="2"/>
  <c r="S667" i="2"/>
  <c r="R29" i="1"/>
  <c r="R28" i="1"/>
  <c r="S26" i="1"/>
  <c r="R27" i="1"/>
  <c r="P14" i="4"/>
  <c r="F12" i="7" s="1"/>
  <c r="S621" i="2"/>
  <c r="R275" i="4"/>
  <c r="S123" i="1"/>
  <c r="S606" i="2"/>
  <c r="R102" i="4"/>
  <c r="S125" i="10"/>
  <c r="R90" i="4"/>
  <c r="S93" i="10"/>
  <c r="M71" i="10"/>
  <c r="M72" i="10" s="1"/>
  <c r="R621" i="2"/>
  <c r="R663" i="2"/>
  <c r="S662" i="2"/>
  <c r="Q34" i="1"/>
  <c r="Q55" i="2" s="1"/>
  <c r="S124" i="10"/>
  <c r="P13" i="4"/>
  <c r="R15" i="4"/>
  <c r="S656" i="2"/>
  <c r="S657" i="2" s="1"/>
  <c r="R82" i="4"/>
  <c r="S97" i="10"/>
  <c r="R226" i="4"/>
  <c r="S120" i="1"/>
  <c r="T111" i="4"/>
  <c r="O178" i="4"/>
  <c r="P131" i="1"/>
  <c r="R86" i="4"/>
  <c r="S65" i="10"/>
  <c r="Q491" i="2"/>
  <c r="Q13" i="4" s="1"/>
  <c r="R487" i="2"/>
  <c r="T601" i="2"/>
  <c r="R651" i="2"/>
  <c r="S650" i="2"/>
  <c r="S140" i="1"/>
  <c r="S673" i="2"/>
  <c r="T672" i="2"/>
  <c r="S632" i="2"/>
  <c r="S633" i="2" s="1"/>
  <c r="Q317" i="4"/>
  <c r="R146" i="1"/>
  <c r="S638" i="2"/>
  <c r="S639" i="2" s="1"/>
  <c r="T593" i="2"/>
  <c r="S499" i="2"/>
  <c r="T495" i="2"/>
  <c r="S644" i="2"/>
  <c r="S645" i="2" s="1"/>
  <c r="R627" i="2"/>
  <c r="S626" i="2"/>
  <c r="D89" i="12"/>
  <c r="H89" i="12" s="1"/>
  <c r="H85" i="12"/>
  <c r="I85" i="12" s="1"/>
  <c r="J85" i="12" s="1"/>
  <c r="I88" i="12"/>
  <c r="N88" i="12"/>
  <c r="I81" i="12"/>
  <c r="J88" i="4"/>
  <c r="K77" i="10"/>
  <c r="J89" i="4"/>
  <c r="K84" i="10"/>
  <c r="U59" i="1" l="1"/>
  <c r="U289" i="4"/>
  <c r="P111" i="10"/>
  <c r="K799" i="2"/>
  <c r="K736" i="2"/>
  <c r="K795" i="2"/>
  <c r="K732" i="2"/>
  <c r="K784" i="2"/>
  <c r="K705" i="2"/>
  <c r="U113" i="4"/>
  <c r="H121" i="4"/>
  <c r="H123" i="4" s="1"/>
  <c r="H161" i="4"/>
  <c r="H22" i="4"/>
  <c r="H238" i="4"/>
  <c r="D14" i="7"/>
  <c r="H189" i="4"/>
  <c r="H152" i="4"/>
  <c r="P709" i="2"/>
  <c r="O822" i="2"/>
  <c r="Q709" i="2"/>
  <c r="Q822" i="2" s="1"/>
  <c r="I330" i="4"/>
  <c r="I977" i="2"/>
  <c r="I978" i="2" s="1"/>
  <c r="I329" i="4" s="1"/>
  <c r="I16" i="4"/>
  <c r="J781" i="2"/>
  <c r="K700" i="2"/>
  <c r="M181" i="4"/>
  <c r="M126" i="4"/>
  <c r="O110" i="10"/>
  <c r="P107" i="10" s="1"/>
  <c r="P118" i="10" s="1"/>
  <c r="R418" i="2"/>
  <c r="P454" i="2"/>
  <c r="Q455" i="2"/>
  <c r="Q631" i="2" s="1"/>
  <c r="Q629" i="2" s="1"/>
  <c r="Q80" i="4" s="1"/>
  <c r="M458" i="2"/>
  <c r="M649" i="2" s="1"/>
  <c r="M647" i="2" s="1"/>
  <c r="M97" i="4" s="1"/>
  <c r="S341" i="2"/>
  <c r="R818" i="2"/>
  <c r="R968" i="2" s="1"/>
  <c r="T406" i="2"/>
  <c r="T413" i="2" s="1"/>
  <c r="U405" i="2"/>
  <c r="U414" i="2"/>
  <c r="U411" i="2"/>
  <c r="U422" i="2"/>
  <c r="U416" i="2"/>
  <c r="U407" i="2"/>
  <c r="U409" i="2"/>
  <c r="S423" i="2"/>
  <c r="S424" i="2" s="1"/>
  <c r="S418" i="2" s="1"/>
  <c r="Q418" i="2"/>
  <c r="K1000" i="2"/>
  <c r="K997" i="2" s="1"/>
  <c r="K334" i="4" s="1"/>
  <c r="R962" i="2"/>
  <c r="S804" i="2"/>
  <c r="S56" i="4" s="1"/>
  <c r="U276" i="2"/>
  <c r="U312" i="2"/>
  <c r="U239" i="2"/>
  <c r="U166" i="2"/>
  <c r="U221" i="2"/>
  <c r="U203" i="2"/>
  <c r="U185" i="2"/>
  <c r="U112" i="2"/>
  <c r="U94" i="2"/>
  <c r="U352" i="2"/>
  <c r="U130" i="2"/>
  <c r="U294" i="2"/>
  <c r="U148" i="2"/>
  <c r="U257" i="2"/>
  <c r="U399" i="2"/>
  <c r="U378" i="2"/>
  <c r="U529" i="2"/>
  <c r="U567" i="2"/>
  <c r="U556" i="2"/>
  <c r="U537" i="2"/>
  <c r="U521" i="2"/>
  <c r="U692" i="2"/>
  <c r="U750" i="2"/>
  <c r="U722" i="2"/>
  <c r="U548" i="2"/>
  <c r="U442" i="2"/>
  <c r="V72" i="1"/>
  <c r="T767" i="2"/>
  <c r="T761" i="2"/>
  <c r="Q817" i="2"/>
  <c r="Q53" i="4"/>
  <c r="Q58" i="4" s="1"/>
  <c r="T708" i="2"/>
  <c r="T789" i="2" s="1"/>
  <c r="T702" i="2"/>
  <c r="T782" i="2" s="1"/>
  <c r="P229" i="4"/>
  <c r="F73" i="7" s="1"/>
  <c r="P279" i="4"/>
  <c r="P182" i="4"/>
  <c r="Q973" i="2"/>
  <c r="S776" i="2"/>
  <c r="F53" i="7"/>
  <c r="S797" i="2"/>
  <c r="S790" i="2" s="1"/>
  <c r="S53" i="4" s="1"/>
  <c r="T739" i="2"/>
  <c r="T733" i="2"/>
  <c r="R52" i="4"/>
  <c r="R58" i="4" s="1"/>
  <c r="R817" i="2"/>
  <c r="L109" i="4"/>
  <c r="L122" i="4"/>
  <c r="F36" i="7"/>
  <c r="S570" i="2"/>
  <c r="S600" i="2" s="1"/>
  <c r="S598" i="2" s="1"/>
  <c r="T569" i="2"/>
  <c r="T565" i="2" s="1"/>
  <c r="T599" i="2" s="1"/>
  <c r="L11" i="4"/>
  <c r="E10" i="7" s="1"/>
  <c r="E6" i="7"/>
  <c r="O143" i="4"/>
  <c r="G327" i="4"/>
  <c r="G994" i="2"/>
  <c r="G995" i="2" s="1"/>
  <c r="G988" i="2" s="1"/>
  <c r="R965" i="2"/>
  <c r="T550" i="2"/>
  <c r="T546" i="2" s="1"/>
  <c r="T551" i="2" s="1"/>
  <c r="R585" i="2"/>
  <c r="M945" i="2"/>
  <c r="R597" i="2"/>
  <c r="T558" i="2"/>
  <c r="T554" i="2" s="1"/>
  <c r="T559" i="2" s="1"/>
  <c r="S586" i="2"/>
  <c r="S587" i="2"/>
  <c r="M106" i="4"/>
  <c r="N945" i="2"/>
  <c r="N44" i="4"/>
  <c r="O937" i="2"/>
  <c r="O21" i="4" s="1"/>
  <c r="O923" i="2"/>
  <c r="O921" i="2" s="1"/>
  <c r="Q611" i="2"/>
  <c r="T531" i="2"/>
  <c r="T527" i="2" s="1"/>
  <c r="T532" i="2" s="1"/>
  <c r="T539" i="2"/>
  <c r="T535" i="2" s="1"/>
  <c r="T540" i="2" s="1"/>
  <c r="M944" i="2"/>
  <c r="M913" i="2"/>
  <c r="I81" i="4"/>
  <c r="J974" i="2"/>
  <c r="S574" i="2"/>
  <c r="J998" i="2"/>
  <c r="J334" i="4"/>
  <c r="R572" i="2"/>
  <c r="J324" i="4"/>
  <c r="J959" i="2"/>
  <c r="J960" i="2" s="1"/>
  <c r="J323" i="4" s="1"/>
  <c r="U924" i="2"/>
  <c r="U905" i="2"/>
  <c r="U931" i="2"/>
  <c r="U932" i="2" s="1"/>
  <c r="P904" i="2"/>
  <c r="Q903" i="2" s="1"/>
  <c r="N372" i="2"/>
  <c r="T523" i="2"/>
  <c r="T519" i="2" s="1"/>
  <c r="O42" i="4"/>
  <c r="T427" i="2"/>
  <c r="T428" i="2" s="1"/>
  <c r="T435" i="2" s="1"/>
  <c r="S573" i="2"/>
  <c r="Q608" i="2"/>
  <c r="P610" i="2"/>
  <c r="S605" i="2"/>
  <c r="S15" i="4" s="1"/>
  <c r="U568" i="2"/>
  <c r="U549" i="2"/>
  <c r="U557" i="2"/>
  <c r="Q575" i="2"/>
  <c r="P579" i="2"/>
  <c r="P10" i="4" s="1"/>
  <c r="P143" i="4" s="1"/>
  <c r="Q580" i="2"/>
  <c r="P584" i="2"/>
  <c r="U522" i="2"/>
  <c r="U530" i="2"/>
  <c r="U538" i="2"/>
  <c r="Q345" i="2"/>
  <c r="Q355" i="2" s="1"/>
  <c r="P356" i="2"/>
  <c r="U426" i="2"/>
  <c r="U444" i="2"/>
  <c r="U436" i="2"/>
  <c r="U438" i="2"/>
  <c r="U431" i="2"/>
  <c r="U433" i="2"/>
  <c r="U429" i="2"/>
  <c r="S445" i="2"/>
  <c r="S446" i="2" s="1"/>
  <c r="S440" i="2" s="1"/>
  <c r="R339" i="2"/>
  <c r="T385" i="2"/>
  <c r="T392" i="2" s="1"/>
  <c r="S30" i="2"/>
  <c r="T29" i="2"/>
  <c r="T37" i="2"/>
  <c r="T27" i="2"/>
  <c r="T35" i="2"/>
  <c r="T25" i="2"/>
  <c r="T33" i="2"/>
  <c r="T22" i="2"/>
  <c r="T26" i="2"/>
  <c r="T34" i="2"/>
  <c r="U18" i="2"/>
  <c r="U17" i="2"/>
  <c r="U393" i="2"/>
  <c r="U390" i="2"/>
  <c r="U21" i="2"/>
  <c r="U401" i="2"/>
  <c r="U395" i="2"/>
  <c r="U386" i="2"/>
  <c r="U388" i="2"/>
  <c r="U20" i="2"/>
  <c r="U19" i="2"/>
  <c r="S38" i="2"/>
  <c r="S336" i="2" s="1"/>
  <c r="S338" i="2" s="1"/>
  <c r="S451" i="2" s="1"/>
  <c r="T28" i="2"/>
  <c r="T36" i="2"/>
  <c r="R402" i="2"/>
  <c r="R403" i="2" s="1"/>
  <c r="R397" i="2" s="1"/>
  <c r="K959" i="2"/>
  <c r="T337" i="2"/>
  <c r="T755" i="2"/>
  <c r="T762" i="2" s="1"/>
  <c r="T757" i="2"/>
  <c r="I1006" i="2"/>
  <c r="I1007" i="2" s="1"/>
  <c r="I1008" i="2" s="1"/>
  <c r="I1002" i="2" s="1"/>
  <c r="I1003" i="2" s="1"/>
  <c r="Q346" i="2"/>
  <c r="O348" i="2"/>
  <c r="N350" i="2"/>
  <c r="S793" i="2"/>
  <c r="S91" i="4" s="1"/>
  <c r="L450" i="2"/>
  <c r="L40" i="4" s="1"/>
  <c r="U354" i="2"/>
  <c r="U343" i="2"/>
  <c r="S768" i="2"/>
  <c r="S794" i="2"/>
  <c r="S671" i="2" s="1"/>
  <c r="S670" i="2" s="1"/>
  <c r="S98" i="4" s="1"/>
  <c r="O382" i="2"/>
  <c r="O453" i="2" s="1"/>
  <c r="T470" i="2"/>
  <c r="T471" i="2" s="1"/>
  <c r="R367" i="2"/>
  <c r="R457" i="2" s="1"/>
  <c r="H1003" i="2"/>
  <c r="H1004" i="2" s="1"/>
  <c r="H335" i="4" s="1"/>
  <c r="H336" i="4"/>
  <c r="R365" i="2"/>
  <c r="Q371" i="2"/>
  <c r="Q381" i="2" s="1"/>
  <c r="K40" i="4"/>
  <c r="K460" i="2"/>
  <c r="K25" i="4" s="1"/>
  <c r="P382" i="2"/>
  <c r="N8" i="4"/>
  <c r="O955" i="2"/>
  <c r="O321" i="4" s="1"/>
  <c r="O449" i="2"/>
  <c r="M142" i="4"/>
  <c r="M167" i="4"/>
  <c r="M7" i="4"/>
  <c r="T364" i="2"/>
  <c r="M655" i="2"/>
  <c r="N374" i="2"/>
  <c r="N459" i="2" s="1"/>
  <c r="M376" i="2"/>
  <c r="M452" i="2" s="1"/>
  <c r="L77" i="4"/>
  <c r="L653" i="2"/>
  <c r="L675" i="2" s="1"/>
  <c r="R369" i="2"/>
  <c r="R456" i="2" s="1"/>
  <c r="Q509" i="2"/>
  <c r="Q986" i="2" s="1"/>
  <c r="Q331" i="4" s="1"/>
  <c r="U380" i="2"/>
  <c r="O144" i="4"/>
  <c r="Q332" i="4"/>
  <c r="P637" i="2"/>
  <c r="P635" i="2" s="1"/>
  <c r="P79" i="4" s="1"/>
  <c r="Q481" i="2"/>
  <c r="R984" i="2"/>
  <c r="R332" i="4" s="1"/>
  <c r="R506" i="2"/>
  <c r="R985" i="2" s="1"/>
  <c r="Q500" i="2"/>
  <c r="R476" i="2"/>
  <c r="R502" i="2"/>
  <c r="Q504" i="2"/>
  <c r="Q661" i="2" s="1"/>
  <c r="Q659" i="2" s="1"/>
  <c r="Q100" i="4" s="1"/>
  <c r="S472" i="2"/>
  <c r="S478" i="2" s="1"/>
  <c r="S503" i="2" s="1"/>
  <c r="S477" i="2"/>
  <c r="Q479" i="2"/>
  <c r="P483" i="2"/>
  <c r="P9" i="4" s="1"/>
  <c r="F8" i="7" s="1"/>
  <c r="P643" i="2"/>
  <c r="P641" i="2" s="1"/>
  <c r="P78" i="4" s="1"/>
  <c r="P166" i="4" s="1"/>
  <c r="U744" i="2"/>
  <c r="U758" i="2" s="1"/>
  <c r="U501" i="2"/>
  <c r="U474" i="2"/>
  <c r="T699" i="2"/>
  <c r="T779" i="2" s="1"/>
  <c r="T698" i="2"/>
  <c r="T778" i="2" s="1"/>
  <c r="R798" i="2"/>
  <c r="R970" i="2" s="1"/>
  <c r="R973" i="2" s="1"/>
  <c r="S740" i="2"/>
  <c r="U689" i="2"/>
  <c r="U697" i="2" s="1"/>
  <c r="U716" i="2"/>
  <c r="T727" i="2"/>
  <c r="T729" i="2"/>
  <c r="T730" i="2"/>
  <c r="S734" i="2"/>
  <c r="T231" i="2"/>
  <c r="T232" i="2" s="1"/>
  <c r="T177" i="2"/>
  <c r="T178" i="2" s="1"/>
  <c r="T703" i="2"/>
  <c r="T783" i="2" s="1"/>
  <c r="T304" i="2"/>
  <c r="T305" i="2" s="1"/>
  <c r="P100" i="2"/>
  <c r="Q292" i="2"/>
  <c r="R160" i="2"/>
  <c r="T195" i="2"/>
  <c r="T196" i="2" s="1"/>
  <c r="R215" i="2"/>
  <c r="R124" i="2"/>
  <c r="R197" i="2"/>
  <c r="R142" i="2"/>
  <c r="R288" i="2"/>
  <c r="R233" i="2"/>
  <c r="R179" i="2"/>
  <c r="R106" i="2"/>
  <c r="R306" i="2"/>
  <c r="R251" i="2"/>
  <c r="T268" i="2"/>
  <c r="T269" i="2" s="1"/>
  <c r="M623" i="2"/>
  <c r="T286" i="2"/>
  <c r="T287" i="2" s="1"/>
  <c r="T249" i="2"/>
  <c r="T250" i="2" s="1"/>
  <c r="T213" i="2"/>
  <c r="T214" i="2" s="1"/>
  <c r="P325" i="2"/>
  <c r="O326" i="2"/>
  <c r="O625" i="2" s="1"/>
  <c r="N323" i="2"/>
  <c r="N39" i="4" s="1"/>
  <c r="S321" i="2"/>
  <c r="S6" i="4" s="1"/>
  <c r="T140" i="2"/>
  <c r="T141" i="2" s="1"/>
  <c r="M39" i="4"/>
  <c r="R327" i="2"/>
  <c r="R954" i="2" s="1"/>
  <c r="R320" i="4" s="1"/>
  <c r="S298" i="2"/>
  <c r="S299" i="2" s="1"/>
  <c r="R281" i="2"/>
  <c r="R270" i="2" s="1"/>
  <c r="U315" i="2"/>
  <c r="U302" i="2"/>
  <c r="U297" i="2"/>
  <c r="U284" i="2"/>
  <c r="U279" i="2"/>
  <c r="U266" i="2"/>
  <c r="Q300" i="2"/>
  <c r="R290" i="2"/>
  <c r="S316" i="2"/>
  <c r="S280" i="2"/>
  <c r="S281" i="2" s="1"/>
  <c r="Q282" i="2"/>
  <c r="R272" i="2"/>
  <c r="Q318" i="2"/>
  <c r="R308" i="2"/>
  <c r="Q310" i="2"/>
  <c r="Q274" i="2"/>
  <c r="N76" i="4"/>
  <c r="N165" i="4" s="1"/>
  <c r="O619" i="2"/>
  <c r="O617" i="2" s="1"/>
  <c r="O92" i="2"/>
  <c r="P88" i="2"/>
  <c r="P324" i="2" s="1"/>
  <c r="T158" i="2"/>
  <c r="T159" i="2" s="1"/>
  <c r="S189" i="2"/>
  <c r="U247" i="2"/>
  <c r="U260" i="2"/>
  <c r="U224" i="2"/>
  <c r="U242" i="2"/>
  <c r="U193" i="2"/>
  <c r="U229" i="2"/>
  <c r="U211" i="2"/>
  <c r="U206" i="2"/>
  <c r="U188" i="2"/>
  <c r="U175" i="2"/>
  <c r="S207" i="2"/>
  <c r="S208" i="2" s="1"/>
  <c r="P209" i="2"/>
  <c r="Q199" i="2"/>
  <c r="P201" i="2"/>
  <c r="P263" i="2"/>
  <c r="Q253" i="2"/>
  <c r="P191" i="2"/>
  <c r="Q181" i="2"/>
  <c r="P183" i="2"/>
  <c r="P255" i="2"/>
  <c r="P227" i="2"/>
  <c r="Q217" i="2"/>
  <c r="P219" i="2"/>
  <c r="S225" i="2"/>
  <c r="Q245" i="2"/>
  <c r="R235" i="2"/>
  <c r="Q237" i="2"/>
  <c r="S261" i="2"/>
  <c r="S262" i="2" s="1"/>
  <c r="S243" i="2"/>
  <c r="S244" i="2" s="1"/>
  <c r="T104" i="2"/>
  <c r="T105" i="2" s="1"/>
  <c r="T122" i="2"/>
  <c r="T123" i="2" s="1"/>
  <c r="T86" i="2"/>
  <c r="T87" i="2" s="1"/>
  <c r="N625" i="2"/>
  <c r="N623" i="2" s="1"/>
  <c r="S134" i="2"/>
  <c r="S135" i="2" s="1"/>
  <c r="S116" i="2"/>
  <c r="S117" i="2" s="1"/>
  <c r="S170" i="2"/>
  <c r="P118" i="2"/>
  <c r="Q108" i="2"/>
  <c r="P110" i="2"/>
  <c r="U169" i="2"/>
  <c r="U151" i="2"/>
  <c r="U156" i="2"/>
  <c r="U120" i="2"/>
  <c r="U133" i="2"/>
  <c r="U138" i="2"/>
  <c r="U102" i="2"/>
  <c r="U115" i="2"/>
  <c r="S152" i="2"/>
  <c r="P136" i="2"/>
  <c r="Q126" i="2"/>
  <c r="P128" i="2"/>
  <c r="Q154" i="2"/>
  <c r="R144" i="2"/>
  <c r="P172" i="2"/>
  <c r="Q162" i="2"/>
  <c r="P164" i="2"/>
  <c r="Q146" i="2"/>
  <c r="R141" i="4"/>
  <c r="R146" i="4"/>
  <c r="Q100" i="2"/>
  <c r="R90" i="2"/>
  <c r="U84" i="2"/>
  <c r="U97" i="2"/>
  <c r="S98" i="2"/>
  <c r="R99" i="2"/>
  <c r="U590" i="2"/>
  <c r="U603" i="2"/>
  <c r="U577" i="2"/>
  <c r="U883" i="2"/>
  <c r="U247" i="4"/>
  <c r="P116" i="10"/>
  <c r="P112" i="10"/>
  <c r="P117" i="10" s="1"/>
  <c r="U198" i="4"/>
  <c r="U12" i="2"/>
  <c r="U121" i="2" s="1"/>
  <c r="U14" i="2"/>
  <c r="U139" i="2" s="1"/>
  <c r="U13" i="2"/>
  <c r="U157" i="2" s="1"/>
  <c r="U497" i="2"/>
  <c r="U595" i="2"/>
  <c r="N120" i="10"/>
  <c r="O107" i="10"/>
  <c r="O118" i="10" s="1"/>
  <c r="Y81" i="1"/>
  <c r="Z79" i="1"/>
  <c r="O120" i="10"/>
  <c r="U252" i="4"/>
  <c r="U187" i="4"/>
  <c r="U236" i="4"/>
  <c r="U203" i="4"/>
  <c r="U294" i="4"/>
  <c r="U44" i="1"/>
  <c r="U92" i="4"/>
  <c r="U489" i="2"/>
  <c r="X87" i="1"/>
  <c r="W91" i="1"/>
  <c r="Z86" i="1"/>
  <c r="X43" i="1"/>
  <c r="W48" i="1"/>
  <c r="W50" i="1"/>
  <c r="W49" i="1"/>
  <c r="W288" i="4"/>
  <c r="W246" i="4"/>
  <c r="W197" i="4"/>
  <c r="W47" i="1"/>
  <c r="R34" i="1"/>
  <c r="R55" i="2" s="1"/>
  <c r="U108" i="4"/>
  <c r="W25" i="1"/>
  <c r="V2" i="5"/>
  <c r="V2" i="4"/>
  <c r="V2" i="2"/>
  <c r="V2" i="10"/>
  <c r="V2" i="1"/>
  <c r="V45" i="1" s="1"/>
  <c r="U83" i="4"/>
  <c r="V83" i="4" s="1"/>
  <c r="Q4" i="2"/>
  <c r="Q42" i="2"/>
  <c r="T858" i="2"/>
  <c r="U857" i="2"/>
  <c r="U856" i="2" s="1"/>
  <c r="U850" i="2"/>
  <c r="V849" i="2"/>
  <c r="V848" i="2" s="1"/>
  <c r="V54" i="1"/>
  <c r="U55" i="1"/>
  <c r="U53" i="1" s="1"/>
  <c r="W57" i="10"/>
  <c r="W62" i="10"/>
  <c r="T644" i="2"/>
  <c r="R317" i="4"/>
  <c r="S146" i="1"/>
  <c r="U601" i="2"/>
  <c r="S90" i="4"/>
  <c r="T93" i="10"/>
  <c r="S29" i="1"/>
  <c r="S28" i="1"/>
  <c r="S27" i="1"/>
  <c r="T26" i="1"/>
  <c r="T638" i="2"/>
  <c r="T639" i="2" s="1"/>
  <c r="T632" i="2"/>
  <c r="T633" i="2" s="1"/>
  <c r="S82" i="4"/>
  <c r="T97" i="10"/>
  <c r="S627" i="2"/>
  <c r="T626" i="2"/>
  <c r="T499" i="2"/>
  <c r="U495" i="2"/>
  <c r="T656" i="2"/>
  <c r="T657" i="2" s="1"/>
  <c r="S663" i="2"/>
  <c r="T662" i="2"/>
  <c r="R47" i="4"/>
  <c r="T606" i="2"/>
  <c r="T124" i="10"/>
  <c r="S651" i="2"/>
  <c r="T650" i="2"/>
  <c r="U111" i="4"/>
  <c r="S275" i="4"/>
  <c r="T123" i="1"/>
  <c r="R592" i="2"/>
  <c r="S588" i="2"/>
  <c r="T140" i="1"/>
  <c r="R491" i="2"/>
  <c r="R13" i="4" s="1"/>
  <c r="S487" i="2"/>
  <c r="S86" i="4"/>
  <c r="T65" i="10"/>
  <c r="T673" i="2"/>
  <c r="U672" i="2"/>
  <c r="Q4" i="5"/>
  <c r="Q1" i="5"/>
  <c r="Q174" i="4"/>
  <c r="Q138" i="4"/>
  <c r="Q4" i="4"/>
  <c r="Q313" i="4"/>
  <c r="Q222" i="4"/>
  <c r="Q119" i="4"/>
  <c r="Q37" i="4"/>
  <c r="Q1" i="4"/>
  <c r="Q73" i="4"/>
  <c r="Q271" i="4"/>
  <c r="Q880" i="2"/>
  <c r="Q513" i="2"/>
  <c r="Q464" i="2"/>
  <c r="Q826" i="2"/>
  <c r="Q80" i="2"/>
  <c r="Q615" i="2"/>
  <c r="Q332" i="2"/>
  <c r="Q1" i="2"/>
  <c r="Q102" i="10"/>
  <c r="Q682" i="2"/>
  <c r="Q68" i="1"/>
  <c r="Q862" i="2"/>
  <c r="Q891" i="2"/>
  <c r="Q90" i="10"/>
  <c r="Q952" i="2"/>
  <c r="Q113" i="1"/>
  <c r="Q1" i="10"/>
  <c r="Q1" i="1"/>
  <c r="Q38" i="1"/>
  <c r="Q841" i="2"/>
  <c r="Q14" i="1"/>
  <c r="Q55" i="10"/>
  <c r="N70" i="10"/>
  <c r="U593" i="2"/>
  <c r="U582" i="2"/>
  <c r="P178" i="4"/>
  <c r="Q131" i="1"/>
  <c r="S226" i="4"/>
  <c r="T120" i="1"/>
  <c r="S102" i="4"/>
  <c r="T125" i="10"/>
  <c r="S668" i="2"/>
  <c r="T667" i="2"/>
  <c r="J88" i="12"/>
  <c r="L88" i="12"/>
  <c r="B89" i="12"/>
  <c r="K85" i="10"/>
  <c r="K78" i="10"/>
  <c r="J979" i="2" l="1"/>
  <c r="J976" i="2" s="1"/>
  <c r="J87" i="4"/>
  <c r="J93" i="4" s="1"/>
  <c r="J169" i="4" s="1"/>
  <c r="P822" i="2"/>
  <c r="R709" i="2"/>
  <c r="K780" i="2"/>
  <c r="K20" i="4" s="1"/>
  <c r="K701" i="2"/>
  <c r="I148" i="4"/>
  <c r="I17" i="4"/>
  <c r="D19" i="7"/>
  <c r="H28" i="4"/>
  <c r="L704" i="2"/>
  <c r="K785" i="2"/>
  <c r="K796" i="2"/>
  <c r="L731" i="2"/>
  <c r="K800" i="2"/>
  <c r="L735" i="2"/>
  <c r="P110" i="10"/>
  <c r="R455" i="2"/>
  <c r="N458" i="2"/>
  <c r="N649" i="2" s="1"/>
  <c r="N647" i="2" s="1"/>
  <c r="N97" i="4" s="1"/>
  <c r="T341" i="2"/>
  <c r="P453" i="2"/>
  <c r="P964" i="2" s="1"/>
  <c r="Q454" i="2"/>
  <c r="V405" i="2"/>
  <c r="V422" i="2"/>
  <c r="V407" i="2"/>
  <c r="V411" i="2"/>
  <c r="V414" i="2"/>
  <c r="V409" i="2"/>
  <c r="V416" i="2"/>
  <c r="U406" i="2"/>
  <c r="U413" i="2" s="1"/>
  <c r="T423" i="2"/>
  <c r="T424" i="2" s="1"/>
  <c r="T418" i="2" s="1"/>
  <c r="K998" i="2"/>
  <c r="K999" i="2" s="1"/>
  <c r="K333" i="4" s="1"/>
  <c r="M867" i="2"/>
  <c r="M869" i="2" s="1"/>
  <c r="M873" i="2" s="1"/>
  <c r="S962" i="2"/>
  <c r="T797" i="2"/>
  <c r="T790" i="2" s="1"/>
  <c r="T53" i="4" s="1"/>
  <c r="U739" i="2"/>
  <c r="U733" i="2"/>
  <c r="T804" i="2"/>
  <c r="T962" i="2" s="1"/>
  <c r="Q279" i="4"/>
  <c r="Q229" i="4"/>
  <c r="Q182" i="4"/>
  <c r="U767" i="2"/>
  <c r="U761" i="2"/>
  <c r="U708" i="2"/>
  <c r="U789" i="2" s="1"/>
  <c r="U702" i="2"/>
  <c r="U782" i="2" s="1"/>
  <c r="S52" i="4"/>
  <c r="S817" i="2"/>
  <c r="S818" i="2"/>
  <c r="S968" i="2" s="1"/>
  <c r="T776" i="2"/>
  <c r="V276" i="2"/>
  <c r="V203" i="2"/>
  <c r="V352" i="2"/>
  <c r="V257" i="2"/>
  <c r="V294" i="2"/>
  <c r="V166" i="2"/>
  <c r="V94" i="2"/>
  <c r="V312" i="2"/>
  <c r="V130" i="2"/>
  <c r="V221" i="2"/>
  <c r="V185" i="2"/>
  <c r="V112" i="2"/>
  <c r="V239" i="2"/>
  <c r="V148" i="2"/>
  <c r="V567" i="2"/>
  <c r="V556" i="2"/>
  <c r="V537" i="2"/>
  <c r="V521" i="2"/>
  <c r="V692" i="2"/>
  <c r="V529" i="2"/>
  <c r="V442" i="2"/>
  <c r="V722" i="2"/>
  <c r="V548" i="2"/>
  <c r="V399" i="2"/>
  <c r="V750" i="2"/>
  <c r="V378" i="2"/>
  <c r="W72" i="1"/>
  <c r="R279" i="4"/>
  <c r="R229" i="4"/>
  <c r="R182" i="4"/>
  <c r="L872" i="2"/>
  <c r="L26" i="4" s="1"/>
  <c r="E21" i="7" s="1"/>
  <c r="L869" i="2"/>
  <c r="L873" i="2" s="1"/>
  <c r="H993" i="2"/>
  <c r="N126" i="4"/>
  <c r="U569" i="2"/>
  <c r="U565" i="2" s="1"/>
  <c r="U570" i="2" s="1"/>
  <c r="U600" i="2" s="1"/>
  <c r="T570" i="2"/>
  <c r="T600" i="2" s="1"/>
  <c r="T598" i="2" s="1"/>
  <c r="E35" i="7"/>
  <c r="F9" i="7"/>
  <c r="G989" i="2"/>
  <c r="G326" i="4"/>
  <c r="G1011" i="2"/>
  <c r="G29" i="4"/>
  <c r="M11" i="4"/>
  <c r="K145" i="4"/>
  <c r="U550" i="2"/>
  <c r="U546" i="2" s="1"/>
  <c r="U551" i="2" s="1"/>
  <c r="R611" i="2"/>
  <c r="T587" i="2"/>
  <c r="U539" i="2"/>
  <c r="U535" i="2" s="1"/>
  <c r="U540" i="2" s="1"/>
  <c r="S585" i="2"/>
  <c r="S965" i="2"/>
  <c r="U558" i="2"/>
  <c r="U554" i="2" s="1"/>
  <c r="U559" i="2" s="1"/>
  <c r="M109" i="4"/>
  <c r="S597" i="2"/>
  <c r="M122" i="4"/>
  <c r="T586" i="2"/>
  <c r="N278" i="4"/>
  <c r="K960" i="2"/>
  <c r="K323" i="4" s="1"/>
  <c r="N181" i="4"/>
  <c r="O939" i="2"/>
  <c r="O934" i="2" s="1"/>
  <c r="P922" i="2"/>
  <c r="O938" i="2"/>
  <c r="O44" i="4" s="1"/>
  <c r="T573" i="2"/>
  <c r="U531" i="2"/>
  <c r="U527" i="2" s="1"/>
  <c r="U532" i="2" s="1"/>
  <c r="U523" i="2"/>
  <c r="U519" i="2" s="1"/>
  <c r="U524" i="2" s="1"/>
  <c r="P902" i="2"/>
  <c r="S572" i="2"/>
  <c r="M943" i="2"/>
  <c r="N912" i="2"/>
  <c r="P42" i="4"/>
  <c r="F37" i="7" s="1"/>
  <c r="J999" i="2"/>
  <c r="J333" i="4" s="1"/>
  <c r="J81" i="4"/>
  <c r="K974" i="2"/>
  <c r="O372" i="2"/>
  <c r="T524" i="2"/>
  <c r="T574" i="2" s="1"/>
  <c r="Q904" i="2"/>
  <c r="V924" i="2"/>
  <c r="V905" i="2"/>
  <c r="V931" i="2"/>
  <c r="V932" i="2" s="1"/>
  <c r="N376" i="2"/>
  <c r="N452" i="2" s="1"/>
  <c r="U427" i="2"/>
  <c r="U428" i="2" s="1"/>
  <c r="U435" i="2" s="1"/>
  <c r="T605" i="2"/>
  <c r="T15" i="4" s="1"/>
  <c r="G13" i="7" s="1"/>
  <c r="R608" i="2"/>
  <c r="Q610" i="2"/>
  <c r="V568" i="2"/>
  <c r="V557" i="2"/>
  <c r="V549" i="2"/>
  <c r="Q584" i="2"/>
  <c r="R580" i="2"/>
  <c r="Q579" i="2"/>
  <c r="Q10" i="4" s="1"/>
  <c r="R575" i="2"/>
  <c r="V538" i="2"/>
  <c r="V530" i="2"/>
  <c r="V522" i="2"/>
  <c r="T759" i="2"/>
  <c r="T760" i="2" s="1"/>
  <c r="Q356" i="2"/>
  <c r="R345" i="2"/>
  <c r="R355" i="2" s="1"/>
  <c r="R631" i="2"/>
  <c r="R629" i="2" s="1"/>
  <c r="R80" i="4" s="1"/>
  <c r="N655" i="2"/>
  <c r="V426" i="2"/>
  <c r="V438" i="2"/>
  <c r="V444" i="2"/>
  <c r="V436" i="2"/>
  <c r="V433" i="2"/>
  <c r="V429" i="2"/>
  <c r="V431" i="2"/>
  <c r="T445" i="2"/>
  <c r="T446" i="2" s="1"/>
  <c r="T440" i="2" s="1"/>
  <c r="T38" i="2"/>
  <c r="T336" i="2" s="1"/>
  <c r="T338" i="2" s="1"/>
  <c r="T451" i="2" s="1"/>
  <c r="S339" i="2"/>
  <c r="U385" i="2"/>
  <c r="U392" i="2" s="1"/>
  <c r="U402" i="2" s="1"/>
  <c r="T30" i="2"/>
  <c r="U25" i="2"/>
  <c r="U33" i="2"/>
  <c r="U22" i="2"/>
  <c r="U26" i="2"/>
  <c r="U34" i="2"/>
  <c r="U27" i="2"/>
  <c r="U35" i="2"/>
  <c r="U29" i="2"/>
  <c r="U37" i="2"/>
  <c r="V18" i="2"/>
  <c r="V390" i="2"/>
  <c r="V388" i="2"/>
  <c r="V386" i="2"/>
  <c r="V17" i="2"/>
  <c r="V401" i="2"/>
  <c r="V393" i="2"/>
  <c r="V395" i="2"/>
  <c r="V21" i="2"/>
  <c r="V19" i="2"/>
  <c r="V20" i="2"/>
  <c r="U28" i="2"/>
  <c r="U36" i="2"/>
  <c r="T402" i="2"/>
  <c r="T403" i="2" s="1"/>
  <c r="T397" i="2" s="1"/>
  <c r="U337" i="2"/>
  <c r="T763" i="2"/>
  <c r="T764" i="2" s="1"/>
  <c r="T793" i="2"/>
  <c r="T91" i="4" s="1"/>
  <c r="J1006" i="2"/>
  <c r="J1007" i="2" s="1"/>
  <c r="J1008" i="2" s="1"/>
  <c r="J1002" i="2" s="1"/>
  <c r="J1003" i="2" s="1"/>
  <c r="T768" i="2"/>
  <c r="I336" i="4"/>
  <c r="L460" i="2"/>
  <c r="L25" i="4" s="1"/>
  <c r="U755" i="2"/>
  <c r="U762" i="2" s="1"/>
  <c r="O964" i="2"/>
  <c r="R346" i="2"/>
  <c r="P348" i="2"/>
  <c r="O350" i="2"/>
  <c r="U757" i="2"/>
  <c r="M450" i="2"/>
  <c r="V354" i="2"/>
  <c r="V343" i="2"/>
  <c r="U470" i="2"/>
  <c r="U471" i="2" s="1"/>
  <c r="S369" i="2"/>
  <c r="S456" i="2" s="1"/>
  <c r="O374" i="2"/>
  <c r="O459" i="2" s="1"/>
  <c r="M77" i="4"/>
  <c r="M653" i="2"/>
  <c r="M675" i="2" s="1"/>
  <c r="S367" i="2"/>
  <c r="S457" i="2" s="1"/>
  <c r="K1005" i="2"/>
  <c r="N964" i="2"/>
  <c r="O8" i="4"/>
  <c r="N142" i="4"/>
  <c r="N167" i="4"/>
  <c r="N7" i="4"/>
  <c r="N11" i="4" s="1"/>
  <c r="Q382" i="2"/>
  <c r="P955" i="2"/>
  <c r="P321" i="4" s="1"/>
  <c r="P449" i="2"/>
  <c r="P8" i="4" s="1"/>
  <c r="U364" i="2"/>
  <c r="S365" i="2"/>
  <c r="R371" i="2"/>
  <c r="R381" i="2" s="1"/>
  <c r="I1004" i="2"/>
  <c r="I335" i="4" s="1"/>
  <c r="U699" i="2"/>
  <c r="U779" i="2" s="1"/>
  <c r="V380" i="2"/>
  <c r="Q483" i="2"/>
  <c r="Q9" i="4" s="1"/>
  <c r="Q508" i="2"/>
  <c r="Q41" i="4" s="1"/>
  <c r="P144" i="4"/>
  <c r="S984" i="2"/>
  <c r="S332" i="4" s="1"/>
  <c r="S506" i="2"/>
  <c r="S985" i="2" s="1"/>
  <c r="Q637" i="2"/>
  <c r="Q635" i="2" s="1"/>
  <c r="Q79" i="4" s="1"/>
  <c r="R481" i="2"/>
  <c r="R504" i="2"/>
  <c r="R661" i="2" s="1"/>
  <c r="R659" i="2" s="1"/>
  <c r="R100" i="4" s="1"/>
  <c r="R500" i="2"/>
  <c r="T472" i="2"/>
  <c r="T478" i="2" s="1"/>
  <c r="T503" i="2" s="1"/>
  <c r="T477" i="2"/>
  <c r="R479" i="2"/>
  <c r="Q643" i="2"/>
  <c r="Q641" i="2" s="1"/>
  <c r="Q78" i="4" s="1"/>
  <c r="Q166" i="4" s="1"/>
  <c r="S476" i="2"/>
  <c r="S502" i="2"/>
  <c r="R509" i="2"/>
  <c r="R986" i="2" s="1"/>
  <c r="R331" i="4" s="1"/>
  <c r="V744" i="2"/>
  <c r="V757" i="2" s="1"/>
  <c r="V474" i="2"/>
  <c r="V501" i="2"/>
  <c r="S798" i="2"/>
  <c r="S970" i="2" s="1"/>
  <c r="T794" i="2"/>
  <c r="T671" i="2" s="1"/>
  <c r="T670" i="2" s="1"/>
  <c r="T98" i="4" s="1"/>
  <c r="U698" i="2"/>
  <c r="U778" i="2" s="1"/>
  <c r="T740" i="2"/>
  <c r="T734" i="2"/>
  <c r="T798" i="2" s="1"/>
  <c r="T970" i="2" s="1"/>
  <c r="U727" i="2"/>
  <c r="U730" i="2"/>
  <c r="U729" i="2"/>
  <c r="V689" i="2"/>
  <c r="V698" i="2" s="1"/>
  <c r="V778" i="2" s="1"/>
  <c r="V716" i="2"/>
  <c r="U177" i="2"/>
  <c r="U178" i="2" s="1"/>
  <c r="U231" i="2"/>
  <c r="U232" i="2" s="1"/>
  <c r="U703" i="2"/>
  <c r="U783" i="2" s="1"/>
  <c r="U304" i="2"/>
  <c r="U305" i="2" s="1"/>
  <c r="R292" i="2"/>
  <c r="U195" i="2"/>
  <c r="U196" i="2" s="1"/>
  <c r="U268" i="2"/>
  <c r="U269" i="2" s="1"/>
  <c r="S233" i="2"/>
  <c r="S106" i="2"/>
  <c r="S197" i="2"/>
  <c r="S288" i="2"/>
  <c r="T298" i="2"/>
  <c r="T299" i="2" s="1"/>
  <c r="T288" i="2" s="1"/>
  <c r="S124" i="2"/>
  <c r="S251" i="2"/>
  <c r="S270" i="2"/>
  <c r="U249" i="2"/>
  <c r="U250" i="2" s="1"/>
  <c r="U213" i="2"/>
  <c r="U214" i="2" s="1"/>
  <c r="U286" i="2"/>
  <c r="U287" i="2" s="1"/>
  <c r="N328" i="2"/>
  <c r="S327" i="2"/>
  <c r="S954" i="2" s="1"/>
  <c r="S320" i="4" s="1"/>
  <c r="Q325" i="2"/>
  <c r="U140" i="2"/>
  <c r="U141" i="2" s="1"/>
  <c r="U158" i="2"/>
  <c r="U159" i="2" s="1"/>
  <c r="P326" i="2"/>
  <c r="P961" i="2" s="1"/>
  <c r="R322" i="2"/>
  <c r="T321" i="2"/>
  <c r="T6" i="4" s="1"/>
  <c r="G5" i="7" s="1"/>
  <c r="O323" i="2"/>
  <c r="O328" i="2" s="1"/>
  <c r="T280" i="2"/>
  <c r="T281" i="2" s="1"/>
  <c r="S317" i="2"/>
  <c r="S306" i="2" s="1"/>
  <c r="R282" i="2"/>
  <c r="S272" i="2"/>
  <c r="T316" i="2"/>
  <c r="V302" i="2"/>
  <c r="V315" i="2"/>
  <c r="V297" i="2"/>
  <c r="V279" i="2"/>
  <c r="V266" i="2"/>
  <c r="V284" i="2"/>
  <c r="R318" i="2"/>
  <c r="S308" i="2"/>
  <c r="R310" i="2"/>
  <c r="R300" i="2"/>
  <c r="S290" i="2"/>
  <c r="R274" i="2"/>
  <c r="P619" i="2"/>
  <c r="P617" i="2" s="1"/>
  <c r="P92" i="2"/>
  <c r="Q88" i="2"/>
  <c r="Q324" i="2" s="1"/>
  <c r="O76" i="4"/>
  <c r="O165" i="4" s="1"/>
  <c r="Q227" i="2"/>
  <c r="R217" i="2"/>
  <c r="Q219" i="2"/>
  <c r="T243" i="2"/>
  <c r="T244" i="2" s="1"/>
  <c r="R245" i="2"/>
  <c r="S235" i="2"/>
  <c r="Q263" i="2"/>
  <c r="R253" i="2"/>
  <c r="Q255" i="2"/>
  <c r="Q209" i="2"/>
  <c r="R199" i="2"/>
  <c r="Q201" i="2"/>
  <c r="S190" i="2"/>
  <c r="S179" i="2" s="1"/>
  <c r="V260" i="2"/>
  <c r="V242" i="2"/>
  <c r="V247" i="2"/>
  <c r="V229" i="2"/>
  <c r="V188" i="2"/>
  <c r="V193" i="2"/>
  <c r="V175" i="2"/>
  <c r="V224" i="2"/>
  <c r="V211" i="2"/>
  <c r="V206" i="2"/>
  <c r="T189" i="2"/>
  <c r="T190" i="2" s="1"/>
  <c r="S226" i="2"/>
  <c r="S215" i="2" s="1"/>
  <c r="T261" i="2"/>
  <c r="T262" i="2" s="1"/>
  <c r="Q191" i="2"/>
  <c r="R181" i="2"/>
  <c r="Q183" i="2"/>
  <c r="T225" i="2"/>
  <c r="T226" i="2" s="1"/>
  <c r="T207" i="2"/>
  <c r="R237" i="2"/>
  <c r="U86" i="2"/>
  <c r="U87" i="2" s="1"/>
  <c r="U104" i="2"/>
  <c r="U105" i="2" s="1"/>
  <c r="U122" i="2"/>
  <c r="U123" i="2" s="1"/>
  <c r="N101" i="4"/>
  <c r="O961" i="2"/>
  <c r="O623" i="2"/>
  <c r="O101" i="4"/>
  <c r="R154" i="2"/>
  <c r="S144" i="2"/>
  <c r="S153" i="2"/>
  <c r="S142" i="2" s="1"/>
  <c r="T134" i="2"/>
  <c r="T135" i="2" s="1"/>
  <c r="S171" i="2"/>
  <c r="S160" i="2" s="1"/>
  <c r="Q136" i="2"/>
  <c r="R126" i="2"/>
  <c r="Q128" i="2"/>
  <c r="V151" i="2"/>
  <c r="V156" i="2"/>
  <c r="V138" i="2"/>
  <c r="V133" i="2"/>
  <c r="V115" i="2"/>
  <c r="V169" i="2"/>
  <c r="V120" i="2"/>
  <c r="V102" i="2"/>
  <c r="T116" i="2"/>
  <c r="T117" i="2" s="1"/>
  <c r="T152" i="2"/>
  <c r="T153" i="2" s="1"/>
  <c r="Q118" i="2"/>
  <c r="R108" i="2"/>
  <c r="Q110" i="2"/>
  <c r="Q172" i="2"/>
  <c r="R162" i="2"/>
  <c r="Q164" i="2"/>
  <c r="R146" i="2"/>
  <c r="T170" i="2"/>
  <c r="T171" i="2" s="1"/>
  <c r="S141" i="4"/>
  <c r="S146" i="4"/>
  <c r="S99" i="2"/>
  <c r="T98" i="2"/>
  <c r="R100" i="2"/>
  <c r="S90" i="2"/>
  <c r="V84" i="2"/>
  <c r="V97" i="2"/>
  <c r="V883" i="2"/>
  <c r="V603" i="2"/>
  <c r="V595" i="2"/>
  <c r="R14" i="1"/>
  <c r="R880" i="2"/>
  <c r="R1" i="4"/>
  <c r="R826" i="2"/>
  <c r="R1" i="5"/>
  <c r="N114" i="10"/>
  <c r="N122" i="10"/>
  <c r="O122" i="10" s="1"/>
  <c r="N106" i="4"/>
  <c r="N867" i="2" s="1"/>
  <c r="R37" i="4"/>
  <c r="AA86" i="1"/>
  <c r="R90" i="10"/>
  <c r="R113" i="1"/>
  <c r="R862" i="2"/>
  <c r="R119" i="4"/>
  <c r="V14" i="2"/>
  <c r="V139" i="2" s="1"/>
  <c r="V13" i="2"/>
  <c r="V157" i="2" s="1"/>
  <c r="V12" i="2"/>
  <c r="V121" i="2" s="1"/>
  <c r="V577" i="2"/>
  <c r="R891" i="2"/>
  <c r="V294" i="4"/>
  <c r="V203" i="4"/>
  <c r="V252" i="4"/>
  <c r="V236" i="4"/>
  <c r="V187" i="4"/>
  <c r="X47" i="1"/>
  <c r="Y43" i="1"/>
  <c r="X50" i="1"/>
  <c r="X49" i="1"/>
  <c r="X288" i="4"/>
  <c r="X197" i="4"/>
  <c r="X48" i="1"/>
  <c r="X246" i="4"/>
  <c r="V59" i="1"/>
  <c r="R332" i="2"/>
  <c r="R80" i="2"/>
  <c r="R841" i="2"/>
  <c r="R138" i="4"/>
  <c r="V44" i="1"/>
  <c r="Z81" i="1"/>
  <c r="AA79" i="1"/>
  <c r="V198" i="4"/>
  <c r="P120" i="10"/>
  <c r="Q107" i="10"/>
  <c r="Q118" i="10" s="1"/>
  <c r="R38" i="1"/>
  <c r="R1" i="10"/>
  <c r="R73" i="4"/>
  <c r="R271" i="4"/>
  <c r="R4" i="2"/>
  <c r="W2" i="1"/>
  <c r="W45" i="1" s="1"/>
  <c r="W2" i="5"/>
  <c r="W2" i="4"/>
  <c r="W2" i="10"/>
  <c r="W2" i="2"/>
  <c r="X25" i="1"/>
  <c r="Y87" i="1"/>
  <c r="X91" i="1"/>
  <c r="V489" i="2"/>
  <c r="V497" i="2"/>
  <c r="Q111" i="10"/>
  <c r="V590" i="2"/>
  <c r="R55" i="10"/>
  <c r="R682" i="2"/>
  <c r="R1" i="2"/>
  <c r="R952" i="2"/>
  <c r="R4" i="4"/>
  <c r="V289" i="4"/>
  <c r="R615" i="2"/>
  <c r="R464" i="2"/>
  <c r="R174" i="4"/>
  <c r="R222" i="4"/>
  <c r="V108" i="4"/>
  <c r="W108" i="4" s="1"/>
  <c r="V92" i="4"/>
  <c r="O114" i="10"/>
  <c r="R102" i="10"/>
  <c r="R42" i="2"/>
  <c r="R1" i="1"/>
  <c r="R68" i="1"/>
  <c r="R513" i="2"/>
  <c r="R313" i="4"/>
  <c r="R4" i="5"/>
  <c r="V113" i="4"/>
  <c r="W113" i="4" s="1"/>
  <c r="V247" i="4"/>
  <c r="V103" i="4"/>
  <c r="W103" i="4" s="1"/>
  <c r="W849" i="2"/>
  <c r="W848" i="2" s="1"/>
  <c r="V850" i="2"/>
  <c r="V857" i="2"/>
  <c r="V856" i="2" s="1"/>
  <c r="U858" i="2"/>
  <c r="S47" i="4"/>
  <c r="W54" i="1"/>
  <c r="V55" i="1"/>
  <c r="V53" i="1" s="1"/>
  <c r="X62" i="10"/>
  <c r="X57" i="10"/>
  <c r="U656" i="2"/>
  <c r="U657" i="2" s="1"/>
  <c r="S34" i="1"/>
  <c r="S55" i="2" s="1"/>
  <c r="U621" i="2"/>
  <c r="U644" i="2"/>
  <c r="U645" i="2" s="1"/>
  <c r="Q178" i="4"/>
  <c r="R131" i="1"/>
  <c r="V601" i="2"/>
  <c r="U124" i="10"/>
  <c r="S317" i="4"/>
  <c r="T146" i="1"/>
  <c r="K79" i="10"/>
  <c r="L77" i="10" s="1"/>
  <c r="L78" i="10" s="1"/>
  <c r="T663" i="2"/>
  <c r="U662" i="2"/>
  <c r="T621" i="2"/>
  <c r="T86" i="4"/>
  <c r="U65" i="10"/>
  <c r="V582" i="2"/>
  <c r="S592" i="2"/>
  <c r="S14" i="4" s="1"/>
  <c r="T588" i="2"/>
  <c r="T275" i="4"/>
  <c r="U123" i="1"/>
  <c r="T651" i="2"/>
  <c r="U650" i="2"/>
  <c r="T90" i="4"/>
  <c r="U93" i="10"/>
  <c r="U638" i="2"/>
  <c r="U639" i="2" s="1"/>
  <c r="S491" i="2"/>
  <c r="S13" i="4" s="1"/>
  <c r="T487" i="2"/>
  <c r="K86" i="10"/>
  <c r="N71" i="10"/>
  <c r="N72" i="10" s="1"/>
  <c r="T82" i="4"/>
  <c r="U97" i="10"/>
  <c r="U140" i="1"/>
  <c r="V111" i="4"/>
  <c r="U606" i="2"/>
  <c r="T627" i="2"/>
  <c r="U626" i="2"/>
  <c r="U632" i="2"/>
  <c r="U633" i="2" s="1"/>
  <c r="T668" i="2"/>
  <c r="U667" i="2"/>
  <c r="R14" i="4"/>
  <c r="T102" i="4"/>
  <c r="U125" i="10"/>
  <c r="T226" i="4"/>
  <c r="U120" i="1"/>
  <c r="V593" i="2"/>
  <c r="U673" i="2"/>
  <c r="V672" i="2"/>
  <c r="U499" i="2"/>
  <c r="V495" i="2"/>
  <c r="T29" i="1"/>
  <c r="T28" i="1"/>
  <c r="T27" i="1"/>
  <c r="U26" i="1"/>
  <c r="T645" i="2"/>
  <c r="G89" i="12"/>
  <c r="N89" i="12" s="1"/>
  <c r="L784" i="2" l="1"/>
  <c r="L705" i="2"/>
  <c r="S709" i="2"/>
  <c r="R822" i="2"/>
  <c r="W198" i="4"/>
  <c r="W247" i="4"/>
  <c r="W92" i="4"/>
  <c r="W289" i="4"/>
  <c r="W44" i="1"/>
  <c r="L799" i="2"/>
  <c r="L736" i="2"/>
  <c r="L795" i="2"/>
  <c r="L732" i="2"/>
  <c r="H991" i="2"/>
  <c r="D23" i="7"/>
  <c r="I121" i="4"/>
  <c r="I123" i="4" s="1"/>
  <c r="I238" i="4"/>
  <c r="I161" i="4"/>
  <c r="I22" i="4"/>
  <c r="I28" i="4" s="1"/>
  <c r="I991" i="2" s="1"/>
  <c r="I327" i="4" s="1"/>
  <c r="I189" i="4"/>
  <c r="I152" i="4"/>
  <c r="L700" i="2"/>
  <c r="K781" i="2"/>
  <c r="J16" i="4"/>
  <c r="J977" i="2"/>
  <c r="J978" i="2" s="1"/>
  <c r="J329" i="4" s="1"/>
  <c r="J330" i="4"/>
  <c r="S455" i="2"/>
  <c r="U341" i="2"/>
  <c r="R454" i="2"/>
  <c r="O458" i="2"/>
  <c r="O649" i="2" s="1"/>
  <c r="O647" i="2" s="1"/>
  <c r="O97" i="4" s="1"/>
  <c r="V406" i="2"/>
  <c r="V413" i="2" s="1"/>
  <c r="Q453" i="2"/>
  <c r="Q964" i="2" s="1"/>
  <c r="N450" i="2"/>
  <c r="N40" i="4" s="1"/>
  <c r="W422" i="2"/>
  <c r="W414" i="2"/>
  <c r="W416" i="2"/>
  <c r="W409" i="2"/>
  <c r="W407" i="2"/>
  <c r="W411" i="2"/>
  <c r="M872" i="2"/>
  <c r="M26" i="4" s="1"/>
  <c r="U423" i="2"/>
  <c r="U424" i="2" s="1"/>
  <c r="U418" i="2" s="1"/>
  <c r="M963" i="2"/>
  <c r="M972" i="2" s="1"/>
  <c r="M958" i="2" s="1"/>
  <c r="M959" i="2" s="1"/>
  <c r="T818" i="2"/>
  <c r="T968" i="2" s="1"/>
  <c r="T973" i="2" s="1"/>
  <c r="S973" i="2"/>
  <c r="U797" i="2"/>
  <c r="U790" i="2" s="1"/>
  <c r="U53" i="4" s="1"/>
  <c r="U804" i="2"/>
  <c r="U56" i="4" s="1"/>
  <c r="T52" i="4"/>
  <c r="G47" i="7" s="1"/>
  <c r="T817" i="2"/>
  <c r="V739" i="2"/>
  <c r="V733" i="2"/>
  <c r="U776" i="2"/>
  <c r="W352" i="2"/>
  <c r="W257" i="2"/>
  <c r="W294" i="2"/>
  <c r="W221" i="2"/>
  <c r="W148" i="2"/>
  <c r="W312" i="2"/>
  <c r="W239" i="2"/>
  <c r="W276" i="2"/>
  <c r="W185" i="2"/>
  <c r="W112" i="2"/>
  <c r="W203" i="2"/>
  <c r="W166" i="2"/>
  <c r="W130" i="2"/>
  <c r="W94" i="2"/>
  <c r="W750" i="2"/>
  <c r="W529" i="2"/>
  <c r="W442" i="2"/>
  <c r="W548" i="2"/>
  <c r="W399" i="2"/>
  <c r="W378" i="2"/>
  <c r="W537" i="2"/>
  <c r="W722" i="2"/>
  <c r="W521" i="2"/>
  <c r="W556" i="2"/>
  <c r="W567" i="2"/>
  <c r="W692" i="2"/>
  <c r="X72" i="1"/>
  <c r="T56" i="4"/>
  <c r="G51" i="7" s="1"/>
  <c r="V708" i="2"/>
  <c r="V789" i="2" s="1"/>
  <c r="V702" i="2"/>
  <c r="V782" i="2" s="1"/>
  <c r="V767" i="2"/>
  <c r="V761" i="2"/>
  <c r="G48" i="7"/>
  <c r="S58" i="4"/>
  <c r="O106" i="4"/>
  <c r="L871" i="2"/>
  <c r="L46" i="4" s="1"/>
  <c r="L963" i="2"/>
  <c r="L972" i="2" s="1"/>
  <c r="L958" i="2" s="1"/>
  <c r="L959" i="2" s="1"/>
  <c r="U599" i="2"/>
  <c r="U605" i="2" s="1"/>
  <c r="U15" i="4" s="1"/>
  <c r="F7" i="7"/>
  <c r="V569" i="2"/>
  <c r="V565" i="2" s="1"/>
  <c r="V599" i="2" s="1"/>
  <c r="V605" i="2" s="1"/>
  <c r="V15" i="4" s="1"/>
  <c r="G990" i="2"/>
  <c r="G1013" i="2"/>
  <c r="G666" i="2" s="1"/>
  <c r="G665" i="2" s="1"/>
  <c r="G328" i="4"/>
  <c r="Q143" i="4"/>
  <c r="Q144" i="4"/>
  <c r="G147" i="4"/>
  <c r="G30" i="4"/>
  <c r="S611" i="2"/>
  <c r="V550" i="2"/>
  <c r="V546" i="2" s="1"/>
  <c r="V558" i="2"/>
  <c r="V554" i="2" s="1"/>
  <c r="V559" i="2" s="1"/>
  <c r="T965" i="2"/>
  <c r="T597" i="2"/>
  <c r="V539" i="2"/>
  <c r="V535" i="2" s="1"/>
  <c r="V540" i="2" s="1"/>
  <c r="U587" i="2"/>
  <c r="V531" i="2"/>
  <c r="V527" i="2" s="1"/>
  <c r="V532" i="2" s="1"/>
  <c r="U586" i="2"/>
  <c r="T585" i="2"/>
  <c r="O126" i="4"/>
  <c r="O278" i="4"/>
  <c r="O181" i="4"/>
  <c r="O945" i="2"/>
  <c r="P923" i="2"/>
  <c r="Q922" i="2" s="1"/>
  <c r="P937" i="2"/>
  <c r="P21" i="4" s="1"/>
  <c r="F18" i="7" s="1"/>
  <c r="U573" i="2"/>
  <c r="U574" i="2"/>
  <c r="V523" i="2"/>
  <c r="V519" i="2" s="1"/>
  <c r="V524" i="2" s="1"/>
  <c r="O376" i="2"/>
  <c r="V427" i="2"/>
  <c r="V428" i="2" s="1"/>
  <c r="V435" i="2" s="1"/>
  <c r="N944" i="2"/>
  <c r="N913" i="2"/>
  <c r="T572" i="2"/>
  <c r="N869" i="2"/>
  <c r="N873" i="2" s="1"/>
  <c r="N872" i="2"/>
  <c r="P372" i="2"/>
  <c r="R903" i="2"/>
  <c r="K81" i="4"/>
  <c r="Q902" i="2"/>
  <c r="W924" i="2"/>
  <c r="W905" i="2"/>
  <c r="W931" i="2"/>
  <c r="W932" i="2" s="1"/>
  <c r="Q42" i="4"/>
  <c r="S608" i="2"/>
  <c r="R610" i="2"/>
  <c r="W568" i="2"/>
  <c r="W557" i="2"/>
  <c r="W549" i="2"/>
  <c r="S575" i="2"/>
  <c r="R579" i="2"/>
  <c r="R10" i="4" s="1"/>
  <c r="R143" i="4" s="1"/>
  <c r="R584" i="2"/>
  <c r="S580" i="2"/>
  <c r="W522" i="2"/>
  <c r="W538" i="2"/>
  <c r="W530" i="2"/>
  <c r="R356" i="2"/>
  <c r="S345" i="2"/>
  <c r="S355" i="2" s="1"/>
  <c r="S631" i="2"/>
  <c r="S629" i="2" s="1"/>
  <c r="S80" i="4" s="1"/>
  <c r="W426" i="2"/>
  <c r="W438" i="2"/>
  <c r="W436" i="2"/>
  <c r="W444" i="2"/>
  <c r="W433" i="2"/>
  <c r="W429" i="2"/>
  <c r="W431" i="2"/>
  <c r="U445" i="2"/>
  <c r="U446" i="2" s="1"/>
  <c r="U440" i="2" s="1"/>
  <c r="U403" i="2"/>
  <c r="U397" i="2" s="1"/>
  <c r="V385" i="2"/>
  <c r="V392" i="2" s="1"/>
  <c r="V402" i="2" s="1"/>
  <c r="V403" i="2" s="1"/>
  <c r="V397" i="2" s="1"/>
  <c r="T339" i="2"/>
  <c r="V26" i="2"/>
  <c r="V34" i="2"/>
  <c r="V28" i="2"/>
  <c r="V36" i="2"/>
  <c r="U30" i="2"/>
  <c r="W390" i="2"/>
  <c r="W388" i="2"/>
  <c r="W386" i="2"/>
  <c r="W18" i="2"/>
  <c r="W393" i="2"/>
  <c r="W19" i="2"/>
  <c r="W401" i="2"/>
  <c r="W17" i="2"/>
  <c r="W21" i="2"/>
  <c r="W395" i="2"/>
  <c r="W20" i="2"/>
  <c r="U38" i="2"/>
  <c r="U336" i="2" s="1"/>
  <c r="U338" i="2" s="1"/>
  <c r="U451" i="2" s="1"/>
  <c r="V27" i="2"/>
  <c r="V35" i="2"/>
  <c r="V25" i="2"/>
  <c r="V22" i="2"/>
  <c r="V33" i="2"/>
  <c r="V29" i="2"/>
  <c r="V37" i="2"/>
  <c r="V337" i="2"/>
  <c r="J336" i="4"/>
  <c r="K1006" i="2"/>
  <c r="K1007" i="2" s="1"/>
  <c r="K1008" i="2" s="1"/>
  <c r="K1002" i="2" s="1"/>
  <c r="K336" i="4" s="1"/>
  <c r="U763" i="2"/>
  <c r="U764" i="2" s="1"/>
  <c r="J1004" i="2"/>
  <c r="J335" i="4" s="1"/>
  <c r="U759" i="2"/>
  <c r="U760" i="2" s="1"/>
  <c r="U768" i="2"/>
  <c r="V470" i="2"/>
  <c r="V471" i="2" s="1"/>
  <c r="U793" i="2"/>
  <c r="U91" i="4" s="1"/>
  <c r="M40" i="4"/>
  <c r="M460" i="2"/>
  <c r="M25" i="4" s="1"/>
  <c r="S346" i="2"/>
  <c r="Q348" i="2"/>
  <c r="P350" i="2"/>
  <c r="W354" i="2"/>
  <c r="W343" i="2"/>
  <c r="P142" i="4"/>
  <c r="P167" i="4"/>
  <c r="Q955" i="2"/>
  <c r="Q321" i="4" s="1"/>
  <c r="Q449" i="2"/>
  <c r="O142" i="4"/>
  <c r="O167" i="4"/>
  <c r="O7" i="4"/>
  <c r="O11" i="4" s="1"/>
  <c r="T367" i="2"/>
  <c r="T457" i="2" s="1"/>
  <c r="S371" i="2"/>
  <c r="S381" i="2" s="1"/>
  <c r="T365" i="2"/>
  <c r="P7" i="4"/>
  <c r="P11" i="4" s="1"/>
  <c r="T369" i="2"/>
  <c r="T456" i="2" s="1"/>
  <c r="S509" i="2"/>
  <c r="S986" i="2" s="1"/>
  <c r="S331" i="4" s="1"/>
  <c r="R382" i="2"/>
  <c r="N77" i="4"/>
  <c r="N653" i="2"/>
  <c r="N675" i="2" s="1"/>
  <c r="V758" i="2"/>
  <c r="V755" i="2"/>
  <c r="P374" i="2"/>
  <c r="P459" i="2" s="1"/>
  <c r="W380" i="2"/>
  <c r="V364" i="2"/>
  <c r="R508" i="2"/>
  <c r="R41" i="4" s="1"/>
  <c r="V304" i="2"/>
  <c r="V305" i="2" s="1"/>
  <c r="T476" i="2"/>
  <c r="T502" i="2"/>
  <c r="T984" i="2"/>
  <c r="T332" i="4" s="1"/>
  <c r="T506" i="2"/>
  <c r="T985" i="2" s="1"/>
  <c r="S479" i="2"/>
  <c r="R643" i="2"/>
  <c r="R641" i="2" s="1"/>
  <c r="R78" i="4" s="1"/>
  <c r="R166" i="4" s="1"/>
  <c r="U472" i="2"/>
  <c r="U478" i="2" s="1"/>
  <c r="U503" i="2" s="1"/>
  <c r="U477" i="2"/>
  <c r="S504" i="2"/>
  <c r="S661" i="2" s="1"/>
  <c r="S659" i="2" s="1"/>
  <c r="S100" i="4" s="1"/>
  <c r="R637" i="2"/>
  <c r="R635" i="2" s="1"/>
  <c r="R79" i="4" s="1"/>
  <c r="S481" i="2"/>
  <c r="S500" i="2"/>
  <c r="R483" i="2"/>
  <c r="R9" i="4" s="1"/>
  <c r="W744" i="2"/>
  <c r="W755" i="2" s="1"/>
  <c r="W474" i="2"/>
  <c r="W501" i="2"/>
  <c r="U794" i="2"/>
  <c r="U671" i="2" s="1"/>
  <c r="U670" i="2" s="1"/>
  <c r="U98" i="4" s="1"/>
  <c r="V177" i="2"/>
  <c r="V178" i="2" s="1"/>
  <c r="V231" i="2"/>
  <c r="V232" i="2" s="1"/>
  <c r="V697" i="2"/>
  <c r="V703" i="2" s="1"/>
  <c r="V783" i="2" s="1"/>
  <c r="V699" i="2"/>
  <c r="V779" i="2" s="1"/>
  <c r="U740" i="2"/>
  <c r="U734" i="2"/>
  <c r="U798" i="2" s="1"/>
  <c r="U970" i="2" s="1"/>
  <c r="W689" i="2"/>
  <c r="W697" i="2" s="1"/>
  <c r="W716" i="2"/>
  <c r="V727" i="2"/>
  <c r="V730" i="2"/>
  <c r="V729" i="2"/>
  <c r="V268" i="2"/>
  <c r="V269" i="2" s="1"/>
  <c r="V195" i="2"/>
  <c r="V196" i="2" s="1"/>
  <c r="T179" i="2"/>
  <c r="T124" i="2"/>
  <c r="T142" i="2"/>
  <c r="T251" i="2"/>
  <c r="T233" i="2"/>
  <c r="U134" i="2"/>
  <c r="U135" i="2" s="1"/>
  <c r="T215" i="2"/>
  <c r="U116" i="2"/>
  <c r="U117" i="2" s="1"/>
  <c r="U106" i="2" s="1"/>
  <c r="U207" i="2"/>
  <c r="U208" i="2" s="1"/>
  <c r="T106" i="2"/>
  <c r="T270" i="2"/>
  <c r="U280" i="2"/>
  <c r="U281" i="2" s="1"/>
  <c r="U270" i="2" s="1"/>
  <c r="T160" i="2"/>
  <c r="V249" i="2"/>
  <c r="V250" i="2" s="1"/>
  <c r="V213" i="2"/>
  <c r="V214" i="2" s="1"/>
  <c r="V286" i="2"/>
  <c r="V287" i="2" s="1"/>
  <c r="V140" i="2"/>
  <c r="V141" i="2" s="1"/>
  <c r="O39" i="4"/>
  <c r="V158" i="2"/>
  <c r="V159" i="2" s="1"/>
  <c r="R325" i="2"/>
  <c r="Q326" i="2"/>
  <c r="Q625" i="2" s="1"/>
  <c r="P323" i="2"/>
  <c r="P39" i="4" s="1"/>
  <c r="S322" i="2"/>
  <c r="U321" i="2"/>
  <c r="U6" i="4" s="1"/>
  <c r="T327" i="2"/>
  <c r="T954" i="2" s="1"/>
  <c r="T320" i="4" s="1"/>
  <c r="S282" i="2"/>
  <c r="T272" i="2"/>
  <c r="S300" i="2"/>
  <c r="T290" i="2"/>
  <c r="S274" i="2"/>
  <c r="U316" i="2"/>
  <c r="U317" i="2" s="1"/>
  <c r="S318" i="2"/>
  <c r="T308" i="2"/>
  <c r="T317" i="2"/>
  <c r="T306" i="2" s="1"/>
  <c r="S292" i="2"/>
  <c r="W302" i="2"/>
  <c r="W297" i="2"/>
  <c r="W315" i="2"/>
  <c r="W284" i="2"/>
  <c r="W279" i="2"/>
  <c r="W266" i="2"/>
  <c r="U298" i="2"/>
  <c r="U299" i="2" s="1"/>
  <c r="S310" i="2"/>
  <c r="Q619" i="2"/>
  <c r="Q617" i="2" s="1"/>
  <c r="Q92" i="2"/>
  <c r="Q323" i="2" s="1"/>
  <c r="Q39" i="4" s="1"/>
  <c r="R88" i="2"/>
  <c r="R324" i="2" s="1"/>
  <c r="U243" i="2"/>
  <c r="U244" i="2" s="1"/>
  <c r="P76" i="4"/>
  <c r="P165" i="4" s="1"/>
  <c r="R227" i="2"/>
  <c r="S217" i="2"/>
  <c r="S219" i="2" s="1"/>
  <c r="R219" i="2"/>
  <c r="S245" i="2"/>
  <c r="T235" i="2"/>
  <c r="U225" i="2"/>
  <c r="U226" i="2" s="1"/>
  <c r="U261" i="2"/>
  <c r="U262" i="2" s="1"/>
  <c r="T208" i="2"/>
  <c r="T197" i="2" s="1"/>
  <c r="S237" i="2"/>
  <c r="W247" i="2"/>
  <c r="W242" i="2"/>
  <c r="W229" i="2"/>
  <c r="W260" i="2"/>
  <c r="W224" i="2"/>
  <c r="W211" i="2"/>
  <c r="W188" i="2"/>
  <c r="W175" i="2"/>
  <c r="W206" i="2"/>
  <c r="W193" i="2"/>
  <c r="U189" i="2"/>
  <c r="U190" i="2" s="1"/>
  <c r="V104" i="2"/>
  <c r="V105" i="2" s="1"/>
  <c r="R191" i="2"/>
  <c r="S181" i="2"/>
  <c r="R183" i="2"/>
  <c r="R263" i="2"/>
  <c r="S253" i="2"/>
  <c r="R255" i="2"/>
  <c r="R209" i="2"/>
  <c r="S199" i="2"/>
  <c r="R201" i="2"/>
  <c r="V86" i="2"/>
  <c r="V87" i="2" s="1"/>
  <c r="V122" i="2"/>
  <c r="V123" i="2" s="1"/>
  <c r="S146" i="2"/>
  <c r="P625" i="2"/>
  <c r="P623" i="2" s="1"/>
  <c r="U152" i="2"/>
  <c r="U153" i="2" s="1"/>
  <c r="R118" i="2"/>
  <c r="S108" i="2"/>
  <c r="R110" i="2"/>
  <c r="U170" i="2"/>
  <c r="U171" i="2" s="1"/>
  <c r="R172" i="2"/>
  <c r="S162" i="2"/>
  <c r="S164" i="2" s="1"/>
  <c r="R164" i="2"/>
  <c r="W156" i="2"/>
  <c r="W169" i="2"/>
  <c r="W133" i="2"/>
  <c r="W115" i="2"/>
  <c r="W138" i="2"/>
  <c r="W151" i="2"/>
  <c r="W102" i="2"/>
  <c r="W120" i="2"/>
  <c r="R136" i="2"/>
  <c r="S126" i="2"/>
  <c r="R128" i="2"/>
  <c r="S154" i="2"/>
  <c r="T144" i="2"/>
  <c r="T146" i="4"/>
  <c r="T141" i="4"/>
  <c r="U98" i="2"/>
  <c r="S100" i="2"/>
  <c r="T90" i="2"/>
  <c r="T99" i="2"/>
  <c r="W84" i="2"/>
  <c r="W97" i="2"/>
  <c r="W595" i="2"/>
  <c r="N109" i="4"/>
  <c r="N122" i="4"/>
  <c r="W203" i="4"/>
  <c r="W294" i="4"/>
  <c r="W252" i="4"/>
  <c r="W236" i="4"/>
  <c r="W187" i="4"/>
  <c r="W577" i="2"/>
  <c r="Q116" i="10"/>
  <c r="Q112" i="10"/>
  <c r="Q117" i="10" s="1"/>
  <c r="W497" i="2"/>
  <c r="Z87" i="1"/>
  <c r="Y91" i="1"/>
  <c r="AB79" i="1"/>
  <c r="AA81" i="1"/>
  <c r="W590" i="2"/>
  <c r="AB86" i="1"/>
  <c r="P114" i="10"/>
  <c r="P122" i="10"/>
  <c r="W59" i="1"/>
  <c r="W13" i="2"/>
  <c r="W157" i="2" s="1"/>
  <c r="W12" i="2"/>
  <c r="W121" i="2" s="1"/>
  <c r="W14" i="2"/>
  <c r="W139" i="2" s="1"/>
  <c r="W489" i="2"/>
  <c r="Y50" i="1"/>
  <c r="Y48" i="1"/>
  <c r="Y246" i="4"/>
  <c r="Y197" i="4"/>
  <c r="Y47" i="1"/>
  <c r="Y49" i="1"/>
  <c r="Y288" i="4"/>
  <c r="Z43" i="1"/>
  <c r="W883" i="2"/>
  <c r="Y25" i="1"/>
  <c r="X2" i="1"/>
  <c r="X45" i="1" s="1"/>
  <c r="X2" i="2"/>
  <c r="X2" i="5"/>
  <c r="X2" i="4"/>
  <c r="X92" i="4" s="1"/>
  <c r="X2" i="10"/>
  <c r="W603" i="2"/>
  <c r="W83" i="4"/>
  <c r="S4" i="2"/>
  <c r="S42" i="2"/>
  <c r="V858" i="2"/>
  <c r="W857" i="2"/>
  <c r="W856" i="2" s="1"/>
  <c r="W850" i="2"/>
  <c r="X849" i="2"/>
  <c r="X848" i="2" s="1"/>
  <c r="X54" i="1"/>
  <c r="W55" i="1"/>
  <c r="W53" i="1" s="1"/>
  <c r="K88" i="4"/>
  <c r="K981" i="2"/>
  <c r="Y62" i="10"/>
  <c r="Y57" i="10"/>
  <c r="U668" i="2"/>
  <c r="V667" i="2"/>
  <c r="T317" i="4"/>
  <c r="U146" i="1"/>
  <c r="K89" i="4"/>
  <c r="L84" i="10"/>
  <c r="V606" i="2"/>
  <c r="O70" i="10"/>
  <c r="U29" i="1"/>
  <c r="U28" i="1"/>
  <c r="U27" i="1"/>
  <c r="V26" i="1"/>
  <c r="U651" i="2"/>
  <c r="V650" i="2"/>
  <c r="U663" i="2"/>
  <c r="V662" i="2"/>
  <c r="L79" i="10"/>
  <c r="U102" i="4"/>
  <c r="V125" i="10"/>
  <c r="V632" i="2"/>
  <c r="V633" i="2" s="1"/>
  <c r="W111" i="4"/>
  <c r="V124" i="10"/>
  <c r="U226" i="4"/>
  <c r="V120" i="1"/>
  <c r="T491" i="2"/>
  <c r="T13" i="4" s="1"/>
  <c r="U487" i="2"/>
  <c r="V140" i="1"/>
  <c r="R178" i="4"/>
  <c r="S131" i="1"/>
  <c r="U82" i="4"/>
  <c r="V97" i="10"/>
  <c r="W582" i="2"/>
  <c r="V673" i="2"/>
  <c r="W672" i="2"/>
  <c r="U275" i="4"/>
  <c r="V123" i="1"/>
  <c r="T34" i="1"/>
  <c r="T55" i="2" s="1"/>
  <c r="W593" i="2"/>
  <c r="U627" i="2"/>
  <c r="V626" i="2"/>
  <c r="V656" i="2"/>
  <c r="V499" i="2"/>
  <c r="W495" i="2"/>
  <c r="T47" i="4"/>
  <c r="G42" i="7" s="1"/>
  <c r="W601" i="2"/>
  <c r="V638" i="2"/>
  <c r="V639" i="2" s="1"/>
  <c r="U90" i="4"/>
  <c r="V93" i="10"/>
  <c r="T592" i="2"/>
  <c r="T14" i="4" s="1"/>
  <c r="G12" i="7" s="1"/>
  <c r="U588" i="2"/>
  <c r="U86" i="4"/>
  <c r="V65" i="10"/>
  <c r="V644" i="2"/>
  <c r="S1" i="5"/>
  <c r="S4" i="5"/>
  <c r="S222" i="4"/>
  <c r="S313" i="4"/>
  <c r="S73" i="4"/>
  <c r="S174" i="4"/>
  <c r="S4" i="4"/>
  <c r="S271" i="4"/>
  <c r="S138" i="4"/>
  <c r="S1" i="4"/>
  <c r="S37" i="4"/>
  <c r="S119" i="4"/>
  <c r="S615" i="2"/>
  <c r="S891" i="2"/>
  <c r="S841" i="2"/>
  <c r="S880" i="2"/>
  <c r="S513" i="2"/>
  <c r="S464" i="2"/>
  <c r="S862" i="2"/>
  <c r="S102" i="10"/>
  <c r="S80" i="2"/>
  <c r="S682" i="2"/>
  <c r="S332" i="2"/>
  <c r="S1" i="2"/>
  <c r="S68" i="1"/>
  <c r="S90" i="10"/>
  <c r="S55" i="10"/>
  <c r="S113" i="1"/>
  <c r="S952" i="2"/>
  <c r="S1" i="10"/>
  <c r="S826" i="2"/>
  <c r="S1" i="1"/>
  <c r="S38" i="1"/>
  <c r="S14" i="1"/>
  <c r="I89" i="12"/>
  <c r="I994" i="2"/>
  <c r="X59" i="1" l="1"/>
  <c r="R111" i="10"/>
  <c r="Q110" i="10"/>
  <c r="X113" i="4"/>
  <c r="X289" i="4"/>
  <c r="X83" i="4"/>
  <c r="X108" i="4"/>
  <c r="X44" i="1"/>
  <c r="J17" i="4"/>
  <c r="J148" i="4"/>
  <c r="L780" i="2"/>
  <c r="L20" i="4" s="1"/>
  <c r="L701" i="2"/>
  <c r="H327" i="4"/>
  <c r="H994" i="2"/>
  <c r="S822" i="2"/>
  <c r="T709" i="2"/>
  <c r="K87" i="4"/>
  <c r="K979" i="2"/>
  <c r="K976" i="2" s="1"/>
  <c r="L796" i="2"/>
  <c r="L981" i="2" s="1"/>
  <c r="M731" i="2"/>
  <c r="L800" i="2"/>
  <c r="M735" i="2"/>
  <c r="L785" i="2"/>
  <c r="M704" i="2"/>
  <c r="R453" i="2"/>
  <c r="R964" i="2" s="1"/>
  <c r="N460" i="2"/>
  <c r="N25" i="4" s="1"/>
  <c r="T455" i="2"/>
  <c r="T631" i="2" s="1"/>
  <c r="T629" i="2" s="1"/>
  <c r="T80" i="4" s="1"/>
  <c r="P458" i="2"/>
  <c r="P649" i="2" s="1"/>
  <c r="P647" i="2" s="1"/>
  <c r="P97" i="4" s="1"/>
  <c r="V341" i="2"/>
  <c r="S454" i="2"/>
  <c r="O452" i="2"/>
  <c r="O450" i="2" s="1"/>
  <c r="V423" i="2"/>
  <c r="V424" i="2" s="1"/>
  <c r="V418" i="2" s="1"/>
  <c r="W406" i="2"/>
  <c r="W413" i="2" s="1"/>
  <c r="X416" i="2"/>
  <c r="X414" i="2"/>
  <c r="X422" i="2"/>
  <c r="X405" i="2"/>
  <c r="X409" i="2"/>
  <c r="X407" i="2"/>
  <c r="X411" i="2"/>
  <c r="M871" i="2"/>
  <c r="M46" i="4" s="1"/>
  <c r="M324" i="4"/>
  <c r="O867" i="2"/>
  <c r="O869" i="2" s="1"/>
  <c r="O873" i="2" s="1"/>
  <c r="O963" i="2" s="1"/>
  <c r="O972" i="2" s="1"/>
  <c r="O958" i="2" s="1"/>
  <c r="O959" i="2" s="1"/>
  <c r="U962" i="2"/>
  <c r="U598" i="2"/>
  <c r="U818" i="2"/>
  <c r="U968" i="2" s="1"/>
  <c r="U973" i="2" s="1"/>
  <c r="V804" i="2"/>
  <c r="V962" i="2" s="1"/>
  <c r="O122" i="4"/>
  <c r="O109" i="4"/>
  <c r="S229" i="4"/>
  <c r="S279" i="4"/>
  <c r="S182" i="4"/>
  <c r="X352" i="2"/>
  <c r="X257" i="2"/>
  <c r="X185" i="2"/>
  <c r="X312" i="2"/>
  <c r="X239" i="2"/>
  <c r="X130" i="2"/>
  <c r="X94" i="2"/>
  <c r="X294" i="2"/>
  <c r="X276" i="2"/>
  <c r="X112" i="2"/>
  <c r="X221" i="2"/>
  <c r="X203" i="2"/>
  <c r="X166" i="2"/>
  <c r="X148" i="2"/>
  <c r="X529" i="2"/>
  <c r="X722" i="2"/>
  <c r="X442" i="2"/>
  <c r="X750" i="2"/>
  <c r="X399" i="2"/>
  <c r="X378" i="2"/>
  <c r="X567" i="2"/>
  <c r="X556" i="2"/>
  <c r="X537" i="2"/>
  <c r="X521" i="2"/>
  <c r="X692" i="2"/>
  <c r="X548" i="2"/>
  <c r="Y72" i="1"/>
  <c r="U817" i="2"/>
  <c r="U52" i="4"/>
  <c r="W708" i="2"/>
  <c r="W789" i="2" s="1"/>
  <c r="W702" i="2"/>
  <c r="W782" i="2" s="1"/>
  <c r="W767" i="2"/>
  <c r="W761" i="2"/>
  <c r="W739" i="2"/>
  <c r="W733" i="2"/>
  <c r="V776" i="2"/>
  <c r="T58" i="4"/>
  <c r="V797" i="2"/>
  <c r="V790" i="2" s="1"/>
  <c r="V53" i="4" s="1"/>
  <c r="L324" i="4"/>
  <c r="L1009" i="2"/>
  <c r="L1000" i="2"/>
  <c r="L997" i="2" s="1"/>
  <c r="E41" i="7"/>
  <c r="L1005" i="2"/>
  <c r="L974" i="2"/>
  <c r="L81" i="4" s="1"/>
  <c r="W569" i="2"/>
  <c r="W565" i="2" s="1"/>
  <c r="W599" i="2" s="1"/>
  <c r="F34" i="7"/>
  <c r="V570" i="2"/>
  <c r="V600" i="2" s="1"/>
  <c r="V598" i="2" s="1"/>
  <c r="F10" i="7"/>
  <c r="M1005" i="2"/>
  <c r="F6" i="7"/>
  <c r="G112" i="4"/>
  <c r="G114" i="4" s="1"/>
  <c r="G158" i="4" s="1"/>
  <c r="G151" i="4"/>
  <c r="G33" i="4"/>
  <c r="G676" i="2"/>
  <c r="G677" i="2" s="1"/>
  <c r="G678" i="2" s="1"/>
  <c r="G99" i="4"/>
  <c r="G104" i="4" s="1"/>
  <c r="G1012" i="2"/>
  <c r="G43" i="4" s="1"/>
  <c r="G325" i="4"/>
  <c r="G337" i="4" s="1"/>
  <c r="G344" i="4" s="1"/>
  <c r="G345" i="4" s="1"/>
  <c r="W550" i="2"/>
  <c r="W546" i="2" s="1"/>
  <c r="W551" i="2" s="1"/>
  <c r="V586" i="2"/>
  <c r="V551" i="2"/>
  <c r="V587" i="2" s="1"/>
  <c r="W558" i="2"/>
  <c r="W554" i="2" s="1"/>
  <c r="W559" i="2" s="1"/>
  <c r="W531" i="2"/>
  <c r="W527" i="2" s="1"/>
  <c r="W532" i="2" s="1"/>
  <c r="W539" i="2"/>
  <c r="W535" i="2" s="1"/>
  <c r="W540" i="2" s="1"/>
  <c r="U965" i="2"/>
  <c r="U585" i="2"/>
  <c r="U597" i="2"/>
  <c r="T611" i="2"/>
  <c r="P376" i="2"/>
  <c r="V573" i="2"/>
  <c r="V574" i="2"/>
  <c r="W523" i="2"/>
  <c r="W519" i="2" s="1"/>
  <c r="W524" i="2" s="1"/>
  <c r="U572" i="2"/>
  <c r="Q923" i="2"/>
  <c r="Q937" i="2"/>
  <c r="Q21" i="4" s="1"/>
  <c r="P921" i="2"/>
  <c r="P938" i="2"/>
  <c r="P44" i="4" s="1"/>
  <c r="F39" i="7" s="1"/>
  <c r="W427" i="2"/>
  <c r="W428" i="2" s="1"/>
  <c r="W435" i="2" s="1"/>
  <c r="R904" i="2"/>
  <c r="S903" i="2" s="1"/>
  <c r="Q372" i="2"/>
  <c r="M960" i="2"/>
  <c r="M323" i="4" s="1"/>
  <c r="L960" i="2"/>
  <c r="L323" i="4" s="1"/>
  <c r="N943" i="2"/>
  <c r="O912" i="2"/>
  <c r="N26" i="4"/>
  <c r="N871" i="2"/>
  <c r="N46" i="4" s="1"/>
  <c r="N963" i="2"/>
  <c r="N972" i="2" s="1"/>
  <c r="N958" i="2" s="1"/>
  <c r="X924" i="2"/>
  <c r="X905" i="2"/>
  <c r="X931" i="2"/>
  <c r="X932" i="2" s="1"/>
  <c r="R42" i="4"/>
  <c r="T608" i="2"/>
  <c r="S610" i="2"/>
  <c r="X568" i="2"/>
  <c r="X557" i="2"/>
  <c r="X549" i="2"/>
  <c r="S584" i="2"/>
  <c r="T580" i="2"/>
  <c r="T575" i="2"/>
  <c r="S579" i="2"/>
  <c r="S10" i="4" s="1"/>
  <c r="X538" i="2"/>
  <c r="X530" i="2"/>
  <c r="X522" i="2"/>
  <c r="S356" i="2"/>
  <c r="T345" i="2"/>
  <c r="T355" i="2" s="1"/>
  <c r="P655" i="2"/>
  <c r="X426" i="2"/>
  <c r="X438" i="2"/>
  <c r="X436" i="2"/>
  <c r="X444" i="2"/>
  <c r="X431" i="2"/>
  <c r="X429" i="2"/>
  <c r="X433" i="2"/>
  <c r="V445" i="2"/>
  <c r="V446" i="2" s="1"/>
  <c r="V440" i="2" s="1"/>
  <c r="U339" i="2"/>
  <c r="W27" i="2"/>
  <c r="W35" i="2"/>
  <c r="W26" i="2"/>
  <c r="W34" i="2"/>
  <c r="V38" i="2"/>
  <c r="V336" i="2" s="1"/>
  <c r="V338" i="2" s="1"/>
  <c r="V451" i="2" s="1"/>
  <c r="W29" i="2"/>
  <c r="W37" i="2"/>
  <c r="W28" i="2"/>
  <c r="W36" i="2"/>
  <c r="X390" i="2"/>
  <c r="X388" i="2"/>
  <c r="X386" i="2"/>
  <c r="X395" i="2"/>
  <c r="X393" i="2"/>
  <c r="X18" i="2"/>
  <c r="X20" i="2"/>
  <c r="X21" i="2"/>
  <c r="X19" i="2"/>
  <c r="X17" i="2"/>
  <c r="X401" i="2"/>
  <c r="W25" i="2"/>
  <c r="W33" i="2"/>
  <c r="W22" i="2"/>
  <c r="V30" i="2"/>
  <c r="W385" i="2"/>
  <c r="W392" i="2" s="1"/>
  <c r="W337" i="2"/>
  <c r="V759" i="2"/>
  <c r="V760" i="2" s="1"/>
  <c r="W759" i="2" s="1"/>
  <c r="W760" i="2" s="1"/>
  <c r="W470" i="2"/>
  <c r="W471" i="2" s="1"/>
  <c r="V763" i="2"/>
  <c r="V764" i="2" s="1"/>
  <c r="W763" i="2" s="1"/>
  <c r="W764" i="2" s="1"/>
  <c r="R348" i="2"/>
  <c r="Q350" i="2"/>
  <c r="T346" i="2"/>
  <c r="X354" i="2"/>
  <c r="X343" i="2"/>
  <c r="V768" i="2"/>
  <c r="K1003" i="2"/>
  <c r="K1004" i="2" s="1"/>
  <c r="K335" i="4" s="1"/>
  <c r="L1006" i="2"/>
  <c r="V794" i="2"/>
  <c r="V671" i="2" s="1"/>
  <c r="V670" i="2" s="1"/>
  <c r="V98" i="4" s="1"/>
  <c r="V762" i="2"/>
  <c r="W304" i="2"/>
  <c r="W305" i="2" s="1"/>
  <c r="O655" i="2"/>
  <c r="Q8" i="4"/>
  <c r="U365" i="2"/>
  <c r="T371" i="2"/>
  <c r="T381" i="2" s="1"/>
  <c r="S382" i="2"/>
  <c r="U369" i="2"/>
  <c r="U456" i="2" s="1"/>
  <c r="U367" i="2"/>
  <c r="U457" i="2" s="1"/>
  <c r="Q374" i="2"/>
  <c r="Q459" i="2" s="1"/>
  <c r="R955" i="2"/>
  <c r="R321" i="4" s="1"/>
  <c r="R449" i="2"/>
  <c r="W758" i="2"/>
  <c r="W757" i="2"/>
  <c r="W364" i="2"/>
  <c r="X380" i="2"/>
  <c r="T509" i="2"/>
  <c r="T986" i="2" s="1"/>
  <c r="T331" i="4" s="1"/>
  <c r="S483" i="2"/>
  <c r="S9" i="4" s="1"/>
  <c r="U984" i="2"/>
  <c r="U332" i="4" s="1"/>
  <c r="U506" i="2"/>
  <c r="U985" i="2" s="1"/>
  <c r="V472" i="2"/>
  <c r="V478" i="2" s="1"/>
  <c r="V503" i="2" s="1"/>
  <c r="V477" i="2"/>
  <c r="T479" i="2"/>
  <c r="S643" i="2"/>
  <c r="S641" i="2" s="1"/>
  <c r="S78" i="4" s="1"/>
  <c r="S166" i="4" s="1"/>
  <c r="R144" i="4"/>
  <c r="S508" i="2"/>
  <c r="S41" i="4" s="1"/>
  <c r="S637" i="2"/>
  <c r="S635" i="2" s="1"/>
  <c r="S79" i="4" s="1"/>
  <c r="T481" i="2"/>
  <c r="T504" i="2"/>
  <c r="T661" i="2" s="1"/>
  <c r="T659" i="2" s="1"/>
  <c r="T100" i="4" s="1"/>
  <c r="U476" i="2"/>
  <c r="U502" i="2"/>
  <c r="T500" i="2"/>
  <c r="X744" i="2"/>
  <c r="X758" i="2" s="1"/>
  <c r="X474" i="2"/>
  <c r="X501" i="2"/>
  <c r="W231" i="2"/>
  <c r="W232" i="2" s="1"/>
  <c r="W177" i="2"/>
  <c r="W178" i="2" s="1"/>
  <c r="W268" i="2"/>
  <c r="W269" i="2" s="1"/>
  <c r="V793" i="2"/>
  <c r="V91" i="4" s="1"/>
  <c r="W762" i="2"/>
  <c r="V734" i="2"/>
  <c r="W727" i="2"/>
  <c r="W729" i="2"/>
  <c r="W730" i="2"/>
  <c r="W699" i="2"/>
  <c r="W779" i="2" s="1"/>
  <c r="W698" i="2"/>
  <c r="W778" i="2" s="1"/>
  <c r="V740" i="2"/>
  <c r="X689" i="2"/>
  <c r="X697" i="2" s="1"/>
  <c r="X716" i="2"/>
  <c r="W195" i="2"/>
  <c r="W196" i="2" s="1"/>
  <c r="W703" i="2"/>
  <c r="W783" i="2" s="1"/>
  <c r="T274" i="2"/>
  <c r="U215" i="2"/>
  <c r="U197" i="2"/>
  <c r="U233" i="2"/>
  <c r="U142" i="2"/>
  <c r="U179" i="2"/>
  <c r="U160" i="2"/>
  <c r="W249" i="2"/>
  <c r="W250" i="2" s="1"/>
  <c r="U288" i="2"/>
  <c r="V316" i="2"/>
  <c r="V317" i="2" s="1"/>
  <c r="U306" i="2"/>
  <c r="V207" i="2"/>
  <c r="V208" i="2" s="1"/>
  <c r="U251" i="2"/>
  <c r="U124" i="2"/>
  <c r="W213" i="2"/>
  <c r="W214" i="2" s="1"/>
  <c r="W286" i="2"/>
  <c r="W287" i="2" s="1"/>
  <c r="W140" i="2"/>
  <c r="W141" i="2" s="1"/>
  <c r="W158" i="2"/>
  <c r="W159" i="2" s="1"/>
  <c r="T322" i="2"/>
  <c r="W86" i="2"/>
  <c r="W87" i="2" s="1"/>
  <c r="R326" i="2"/>
  <c r="R961" i="2" s="1"/>
  <c r="P328" i="2"/>
  <c r="S325" i="2"/>
  <c r="U327" i="2"/>
  <c r="U954" i="2" s="1"/>
  <c r="U320" i="4" s="1"/>
  <c r="T310" i="2"/>
  <c r="V321" i="2"/>
  <c r="V6" i="4" s="1"/>
  <c r="T300" i="2"/>
  <c r="U290" i="2"/>
  <c r="V298" i="2"/>
  <c r="T318" i="2"/>
  <c r="U308" i="2"/>
  <c r="T282" i="2"/>
  <c r="U272" i="2"/>
  <c r="T292" i="2"/>
  <c r="V280" i="2"/>
  <c r="V281" i="2" s="1"/>
  <c r="X315" i="2"/>
  <c r="X302" i="2"/>
  <c r="X284" i="2"/>
  <c r="X279" i="2"/>
  <c r="X297" i="2"/>
  <c r="X266" i="2"/>
  <c r="R619" i="2"/>
  <c r="R617" i="2" s="1"/>
  <c r="R92" i="2"/>
  <c r="S88" i="2"/>
  <c r="S324" i="2" s="1"/>
  <c r="Q76" i="4"/>
  <c r="Q165" i="4" s="1"/>
  <c r="S209" i="2"/>
  <c r="T199" i="2"/>
  <c r="S201" i="2"/>
  <c r="V189" i="2"/>
  <c r="V190" i="2" s="1"/>
  <c r="S191" i="2"/>
  <c r="T181" i="2"/>
  <c r="S183" i="2"/>
  <c r="V261" i="2"/>
  <c r="V262" i="2" s="1"/>
  <c r="V243" i="2"/>
  <c r="V244" i="2" s="1"/>
  <c r="V225" i="2"/>
  <c r="X260" i="2"/>
  <c r="X242" i="2"/>
  <c r="X229" i="2"/>
  <c r="X247" i="2"/>
  <c r="X206" i="2"/>
  <c r="X224" i="2"/>
  <c r="X188" i="2"/>
  <c r="X175" i="2"/>
  <c r="X211" i="2"/>
  <c r="X193" i="2"/>
  <c r="S263" i="2"/>
  <c r="T253" i="2"/>
  <c r="S255" i="2"/>
  <c r="T245" i="2"/>
  <c r="U235" i="2"/>
  <c r="T237" i="2"/>
  <c r="W104" i="2"/>
  <c r="W105" i="2" s="1"/>
  <c r="S227" i="2"/>
  <c r="T217" i="2"/>
  <c r="W122" i="2"/>
  <c r="W123" i="2" s="1"/>
  <c r="Q961" i="2"/>
  <c r="P101" i="4"/>
  <c r="Q328" i="2"/>
  <c r="Q623" i="2"/>
  <c r="Q101" i="4"/>
  <c r="T154" i="2"/>
  <c r="U144" i="2"/>
  <c r="V170" i="2"/>
  <c r="V171" i="2" s="1"/>
  <c r="X169" i="2"/>
  <c r="X156" i="2"/>
  <c r="X138" i="2"/>
  <c r="X133" i="2"/>
  <c r="X120" i="2"/>
  <c r="X115" i="2"/>
  <c r="X102" i="2"/>
  <c r="X151" i="2"/>
  <c r="S136" i="2"/>
  <c r="T126" i="2"/>
  <c r="S128" i="2"/>
  <c r="S118" i="2"/>
  <c r="T108" i="2"/>
  <c r="S110" i="2"/>
  <c r="V152" i="2"/>
  <c r="V153" i="2" s="1"/>
  <c r="S172" i="2"/>
  <c r="T162" i="2"/>
  <c r="V134" i="2"/>
  <c r="V135" i="2" s="1"/>
  <c r="V116" i="2"/>
  <c r="V117" i="2" s="1"/>
  <c r="T146" i="2"/>
  <c r="V98" i="2"/>
  <c r="U99" i="2"/>
  <c r="U322" i="2" s="1"/>
  <c r="U141" i="4"/>
  <c r="U146" i="4"/>
  <c r="X603" i="2"/>
  <c r="T100" i="2"/>
  <c r="U90" i="2"/>
  <c r="X97" i="2"/>
  <c r="X84" i="2"/>
  <c r="X489" i="2"/>
  <c r="X883" i="2"/>
  <c r="X595" i="2"/>
  <c r="X497" i="2"/>
  <c r="AA87" i="1"/>
  <c r="Z91" i="1"/>
  <c r="X198" i="4"/>
  <c r="X247" i="4"/>
  <c r="X103" i="4"/>
  <c r="U34" i="1"/>
  <c r="U55" i="2" s="1"/>
  <c r="X590" i="2"/>
  <c r="AB81" i="1"/>
  <c r="AC79" i="1"/>
  <c r="R112" i="10"/>
  <c r="R117" i="10" s="1"/>
  <c r="R116" i="10"/>
  <c r="R107" i="10"/>
  <c r="R118" i="10" s="1"/>
  <c r="Q120" i="10"/>
  <c r="X12" i="2"/>
  <c r="X121" i="2" s="1"/>
  <c r="X14" i="2"/>
  <c r="X139" i="2" s="1"/>
  <c r="X13" i="2"/>
  <c r="X157" i="2" s="1"/>
  <c r="Y2" i="5"/>
  <c r="Y2" i="4"/>
  <c r="Y2" i="2"/>
  <c r="Y2" i="1"/>
  <c r="Y45" i="1" s="1"/>
  <c r="Z25" i="1"/>
  <c r="Y2" i="10"/>
  <c r="AC86" i="1"/>
  <c r="X187" i="4"/>
  <c r="X236" i="4"/>
  <c r="H80" i="7" s="1"/>
  <c r="X203" i="4"/>
  <c r="X294" i="4"/>
  <c r="X252" i="4"/>
  <c r="Z49" i="1"/>
  <c r="Z47" i="1"/>
  <c r="Z50" i="1"/>
  <c r="Z48" i="1"/>
  <c r="Z288" i="4"/>
  <c r="AA43" i="1"/>
  <c r="Z197" i="4"/>
  <c r="Z246" i="4"/>
  <c r="X577" i="2"/>
  <c r="T4" i="2"/>
  <c r="T42" i="2"/>
  <c r="X850" i="2"/>
  <c r="Y849" i="2"/>
  <c r="Y848" i="2" s="1"/>
  <c r="X857" i="2"/>
  <c r="X856" i="2" s="1"/>
  <c r="W858" i="2"/>
  <c r="K93" i="4"/>
  <c r="K169" i="4" s="1"/>
  <c r="Y54" i="1"/>
  <c r="X55" i="1"/>
  <c r="X53" i="1" s="1"/>
  <c r="Z57" i="10"/>
  <c r="Z62" i="10"/>
  <c r="L85" i="10"/>
  <c r="V82" i="4"/>
  <c r="W97" i="10"/>
  <c r="L88" i="4"/>
  <c r="M77" i="10"/>
  <c r="T4" i="5"/>
  <c r="T1" i="5"/>
  <c r="T313" i="4"/>
  <c r="T119" i="4"/>
  <c r="T37" i="4"/>
  <c r="T271" i="4"/>
  <c r="T4" i="4"/>
  <c r="T1" i="4"/>
  <c r="T174" i="4"/>
  <c r="T138" i="4"/>
  <c r="T222" i="4"/>
  <c r="T73" i="4"/>
  <c r="T332" i="2"/>
  <c r="T1" i="2"/>
  <c r="T615" i="2"/>
  <c r="T841" i="2"/>
  <c r="T682" i="2"/>
  <c r="T513" i="2"/>
  <c r="T1" i="10"/>
  <c r="T826" i="2"/>
  <c r="T102" i="10"/>
  <c r="T464" i="2"/>
  <c r="T90" i="10"/>
  <c r="T55" i="10"/>
  <c r="T68" i="1"/>
  <c r="T952" i="2"/>
  <c r="T891" i="2"/>
  <c r="T862" i="2"/>
  <c r="T80" i="2"/>
  <c r="T880" i="2"/>
  <c r="T113" i="1"/>
  <c r="T14" i="1"/>
  <c r="T1" i="1"/>
  <c r="T38" i="1"/>
  <c r="V226" i="4"/>
  <c r="W120" i="1"/>
  <c r="W124" i="10"/>
  <c r="U47" i="4"/>
  <c r="V29" i="1"/>
  <c r="V28" i="1"/>
  <c r="V27" i="1"/>
  <c r="W26" i="1"/>
  <c r="S178" i="4"/>
  <c r="T131" i="1"/>
  <c r="W621" i="2"/>
  <c r="V651" i="2"/>
  <c r="W650" i="2"/>
  <c r="W644" i="2"/>
  <c r="U592" i="2"/>
  <c r="U14" i="4" s="1"/>
  <c r="V588" i="2"/>
  <c r="U491" i="2"/>
  <c r="U13" i="4" s="1"/>
  <c r="V487" i="2"/>
  <c r="W632" i="2"/>
  <c r="W633" i="2" s="1"/>
  <c r="V668" i="2"/>
  <c r="W667" i="2"/>
  <c r="V90" i="4"/>
  <c r="W93" i="10"/>
  <c r="W656" i="2"/>
  <c r="V275" i="4"/>
  <c r="W123" i="1"/>
  <c r="X582" i="2"/>
  <c r="V627" i="2"/>
  <c r="W626" i="2"/>
  <c r="W673" i="2"/>
  <c r="X672" i="2"/>
  <c r="O71" i="10"/>
  <c r="O72" i="10" s="1"/>
  <c r="W638" i="2"/>
  <c r="W499" i="2"/>
  <c r="X495" i="2"/>
  <c r="V657" i="2"/>
  <c r="V102" i="4"/>
  <c r="W125" i="10"/>
  <c r="V663" i="2"/>
  <c r="W662" i="2"/>
  <c r="W606" i="2"/>
  <c r="U317" i="4"/>
  <c r="V146" i="1"/>
  <c r="V645" i="2"/>
  <c r="X593" i="2"/>
  <c r="V86" i="4"/>
  <c r="W65" i="10"/>
  <c r="X601" i="2"/>
  <c r="W140" i="1"/>
  <c r="V621" i="2"/>
  <c r="X111" i="4"/>
  <c r="I995" i="2"/>
  <c r="Y113" i="4" l="1"/>
  <c r="E17" i="7"/>
  <c r="L145" i="4"/>
  <c r="K16" i="4"/>
  <c r="K330" i="4"/>
  <c r="K977" i="2"/>
  <c r="K978" i="2" s="1"/>
  <c r="K329" i="4" s="1"/>
  <c r="Y103" i="4"/>
  <c r="Y59" i="1"/>
  <c r="M784" i="2"/>
  <c r="M705" i="2"/>
  <c r="M799" i="2"/>
  <c r="M736" i="2"/>
  <c r="M795" i="2"/>
  <c r="M732" i="2"/>
  <c r="T822" i="2"/>
  <c r="U709" i="2"/>
  <c r="H995" i="2"/>
  <c r="H988" i="2" s="1"/>
  <c r="I993" i="2"/>
  <c r="J993" i="2" s="1"/>
  <c r="L781" i="2"/>
  <c r="M700" i="2"/>
  <c r="J121" i="4"/>
  <c r="J123" i="4" s="1"/>
  <c r="J238" i="4"/>
  <c r="J161" i="4"/>
  <c r="J22" i="4"/>
  <c r="J28" i="4" s="1"/>
  <c r="J189" i="4"/>
  <c r="J152" i="4"/>
  <c r="R110" i="10"/>
  <c r="S111" i="10"/>
  <c r="S116" i="10" s="1"/>
  <c r="O40" i="4"/>
  <c r="O460" i="2"/>
  <c r="O25" i="4" s="1"/>
  <c r="U455" i="2"/>
  <c r="U631" i="2" s="1"/>
  <c r="U629" i="2" s="1"/>
  <c r="U80" i="4" s="1"/>
  <c r="T454" i="2"/>
  <c r="S453" i="2"/>
  <c r="S964" i="2" s="1"/>
  <c r="M1000" i="2"/>
  <c r="M997" i="2" s="1"/>
  <c r="M1009" i="2"/>
  <c r="W341" i="2"/>
  <c r="Q458" i="2"/>
  <c r="Q649" i="2" s="1"/>
  <c r="Q647" i="2" s="1"/>
  <c r="Q97" i="4" s="1"/>
  <c r="P452" i="2"/>
  <c r="P450" i="2" s="1"/>
  <c r="X406" i="2"/>
  <c r="X413" i="2" s="1"/>
  <c r="X423" i="2" s="1"/>
  <c r="X424" i="2" s="1"/>
  <c r="X418" i="2" s="1"/>
  <c r="W423" i="2"/>
  <c r="W424" i="2" s="1"/>
  <c r="W418" i="2" s="1"/>
  <c r="Y416" i="2"/>
  <c r="Y414" i="2"/>
  <c r="Y422" i="2"/>
  <c r="Y405" i="2"/>
  <c r="Y411" i="2"/>
  <c r="Y407" i="2"/>
  <c r="Y409" i="2"/>
  <c r="O872" i="2"/>
  <c r="V56" i="4"/>
  <c r="R902" i="2"/>
  <c r="W797" i="2"/>
  <c r="W790" i="2" s="1"/>
  <c r="M974" i="2"/>
  <c r="M81" i="4" s="1"/>
  <c r="X739" i="2"/>
  <c r="X733" i="2"/>
  <c r="W804" i="2"/>
  <c r="W962" i="2" s="1"/>
  <c r="W570" i="2"/>
  <c r="W600" i="2" s="1"/>
  <c r="W598" i="2" s="1"/>
  <c r="W53" i="4"/>
  <c r="Y312" i="2"/>
  <c r="Y276" i="2"/>
  <c r="Y203" i="2"/>
  <c r="Y130" i="2"/>
  <c r="Y352" i="2"/>
  <c r="Y294" i="2"/>
  <c r="Y257" i="2"/>
  <c r="Y239" i="2"/>
  <c r="Y148" i="2"/>
  <c r="Y221" i="2"/>
  <c r="Y185" i="2"/>
  <c r="Y166" i="2"/>
  <c r="Y112" i="2"/>
  <c r="Y94" i="2"/>
  <c r="Y442" i="2"/>
  <c r="Y750" i="2"/>
  <c r="Y722" i="2"/>
  <c r="Y548" i="2"/>
  <c r="Y567" i="2"/>
  <c r="Y556" i="2"/>
  <c r="Y537" i="2"/>
  <c r="Y521" i="2"/>
  <c r="Y692" i="2"/>
  <c r="Y378" i="2"/>
  <c r="Y529" i="2"/>
  <c r="Y399" i="2"/>
  <c r="Z72" i="1"/>
  <c r="W776" i="2"/>
  <c r="V817" i="2"/>
  <c r="V52" i="4"/>
  <c r="G53" i="7"/>
  <c r="T182" i="4"/>
  <c r="T279" i="4"/>
  <c r="T229" i="4"/>
  <c r="G73" i="7" s="1"/>
  <c r="V818" i="2"/>
  <c r="V968" i="2" s="1"/>
  <c r="U58" i="4"/>
  <c r="X767" i="2"/>
  <c r="X761" i="2"/>
  <c r="X708" i="2"/>
  <c r="X789" i="2" s="1"/>
  <c r="X702" i="2"/>
  <c r="X782" i="2" s="1"/>
  <c r="L1007" i="2"/>
  <c r="L1008" i="2" s="1"/>
  <c r="L1002" i="2" s="1"/>
  <c r="L336" i="4" s="1"/>
  <c r="L998" i="2"/>
  <c r="L334" i="4"/>
  <c r="X569" i="2"/>
  <c r="X565" i="2" s="1"/>
  <c r="X570" i="2" s="1"/>
  <c r="X600" i="2" s="1"/>
  <c r="G116" i="4"/>
  <c r="G159" i="4"/>
  <c r="G130" i="4"/>
  <c r="G49" i="4"/>
  <c r="J991" i="2"/>
  <c r="S143" i="4"/>
  <c r="X550" i="2"/>
  <c r="X546" i="2" s="1"/>
  <c r="X551" i="2" s="1"/>
  <c r="W587" i="2"/>
  <c r="V585" i="2"/>
  <c r="X558" i="2"/>
  <c r="X554" i="2" s="1"/>
  <c r="X559" i="2" s="1"/>
  <c r="W586" i="2"/>
  <c r="V597" i="2"/>
  <c r="V965" i="2"/>
  <c r="W574" i="2"/>
  <c r="X531" i="2"/>
  <c r="X527" i="2" s="1"/>
  <c r="X532" i="2" s="1"/>
  <c r="X539" i="2"/>
  <c r="X535" i="2" s="1"/>
  <c r="X540" i="2" s="1"/>
  <c r="U611" i="2"/>
  <c r="W573" i="2"/>
  <c r="X523" i="2"/>
  <c r="X519" i="2" s="1"/>
  <c r="X524" i="2" s="1"/>
  <c r="V572" i="2"/>
  <c r="P939" i="2"/>
  <c r="P278" i="4"/>
  <c r="P126" i="4"/>
  <c r="P181" i="4"/>
  <c r="Q921" i="2"/>
  <c r="Q938" i="2"/>
  <c r="Q44" i="4" s="1"/>
  <c r="R922" i="2"/>
  <c r="O324" i="4"/>
  <c r="X427" i="2"/>
  <c r="X428" i="2" s="1"/>
  <c r="X435" i="2" s="1"/>
  <c r="X445" i="2" s="1"/>
  <c r="R372" i="2"/>
  <c r="O944" i="2"/>
  <c r="O913" i="2"/>
  <c r="N959" i="2"/>
  <c r="N324" i="4"/>
  <c r="N1000" i="2"/>
  <c r="N997" i="2" s="1"/>
  <c r="N1009" i="2"/>
  <c r="N1005" i="2"/>
  <c r="S904" i="2"/>
  <c r="T903" i="2" s="1"/>
  <c r="Y931" i="2"/>
  <c r="Y932" i="2" s="1"/>
  <c r="Y905" i="2"/>
  <c r="Y924" i="2"/>
  <c r="W605" i="2"/>
  <c r="W15" i="4" s="1"/>
  <c r="S42" i="4"/>
  <c r="U608" i="2"/>
  <c r="T610" i="2"/>
  <c r="Y568" i="2"/>
  <c r="Y557" i="2"/>
  <c r="Y549" i="2"/>
  <c r="T584" i="2"/>
  <c r="U580" i="2"/>
  <c r="U575" i="2"/>
  <c r="T579" i="2"/>
  <c r="T10" i="4" s="1"/>
  <c r="T143" i="4" s="1"/>
  <c r="Y538" i="2"/>
  <c r="Y522" i="2"/>
  <c r="Y530" i="2"/>
  <c r="T356" i="2"/>
  <c r="U345" i="2"/>
  <c r="U355" i="2" s="1"/>
  <c r="Y438" i="2"/>
  <c r="Y436" i="2"/>
  <c r="Y444" i="2"/>
  <c r="Y429" i="2"/>
  <c r="Y426" i="2"/>
  <c r="Y433" i="2"/>
  <c r="Y431" i="2"/>
  <c r="W445" i="2"/>
  <c r="W446" i="2" s="1"/>
  <c r="W440" i="2" s="1"/>
  <c r="X385" i="2"/>
  <c r="X392" i="2" s="1"/>
  <c r="V339" i="2"/>
  <c r="W30" i="2"/>
  <c r="X25" i="2"/>
  <c r="X22" i="2"/>
  <c r="X33" i="2"/>
  <c r="X28" i="2"/>
  <c r="X36" i="2"/>
  <c r="W402" i="2"/>
  <c r="W403" i="2" s="1"/>
  <c r="W397" i="2" s="1"/>
  <c r="X337" i="2"/>
  <c r="X27" i="2"/>
  <c r="X35" i="2"/>
  <c r="X29" i="2"/>
  <c r="X37" i="2"/>
  <c r="Y395" i="2"/>
  <c r="Y393" i="2"/>
  <c r="Y390" i="2"/>
  <c r="Y19" i="2"/>
  <c r="Y401" i="2"/>
  <c r="Y388" i="2"/>
  <c r="Y18" i="2"/>
  <c r="Y21" i="2"/>
  <c r="Y386" i="2"/>
  <c r="Y20" i="2"/>
  <c r="Y17" i="2"/>
  <c r="W38" i="2"/>
  <c r="W336" i="2" s="1"/>
  <c r="W338" i="2" s="1"/>
  <c r="W451" i="2" s="1"/>
  <c r="X26" i="2"/>
  <c r="X34" i="2"/>
  <c r="X470" i="2"/>
  <c r="X471" i="2" s="1"/>
  <c r="S348" i="2"/>
  <c r="R350" i="2"/>
  <c r="U346" i="2"/>
  <c r="Y354" i="2"/>
  <c r="Y343" i="2"/>
  <c r="W768" i="2"/>
  <c r="X304" i="2"/>
  <c r="X305" i="2" s="1"/>
  <c r="W794" i="2"/>
  <c r="W671" i="2" s="1"/>
  <c r="W670" i="2" s="1"/>
  <c r="W98" i="4" s="1"/>
  <c r="Q655" i="2"/>
  <c r="R374" i="2"/>
  <c r="R459" i="2" s="1"/>
  <c r="Q376" i="2"/>
  <c r="Q452" i="2" s="1"/>
  <c r="P653" i="2"/>
  <c r="P675" i="2" s="1"/>
  <c r="P77" i="4"/>
  <c r="V367" i="2"/>
  <c r="V457" i="2" s="1"/>
  <c r="S955" i="2"/>
  <c r="S321" i="4" s="1"/>
  <c r="S449" i="2"/>
  <c r="Q142" i="4"/>
  <c r="Q167" i="4"/>
  <c r="Q7" i="4"/>
  <c r="R8" i="4"/>
  <c r="O77" i="4"/>
  <c r="O653" i="2"/>
  <c r="O675" i="2" s="1"/>
  <c r="X364" i="2"/>
  <c r="V369" i="2"/>
  <c r="V456" i="2" s="1"/>
  <c r="T382" i="2"/>
  <c r="V365" i="2"/>
  <c r="U371" i="2"/>
  <c r="Y380" i="2"/>
  <c r="W793" i="2"/>
  <c r="W91" i="4" s="1"/>
  <c r="X755" i="2"/>
  <c r="X763" i="2" s="1"/>
  <c r="X764" i="2" s="1"/>
  <c r="S144" i="4"/>
  <c r="U509" i="2"/>
  <c r="U986" i="2" s="1"/>
  <c r="U331" i="4" s="1"/>
  <c r="T508" i="2"/>
  <c r="T41" i="4" s="1"/>
  <c r="G36" i="7" s="1"/>
  <c r="V502" i="2"/>
  <c r="V476" i="2"/>
  <c r="T637" i="2"/>
  <c r="T635" i="2" s="1"/>
  <c r="T79" i="4" s="1"/>
  <c r="U481" i="2"/>
  <c r="V984" i="2"/>
  <c r="V332" i="4" s="1"/>
  <c r="V506" i="2"/>
  <c r="V985" i="2" s="1"/>
  <c r="U479" i="2"/>
  <c r="T643" i="2"/>
  <c r="T641" i="2" s="1"/>
  <c r="T78" i="4" s="1"/>
  <c r="T166" i="4" s="1"/>
  <c r="T483" i="2"/>
  <c r="T9" i="4" s="1"/>
  <c r="G8" i="7" s="1"/>
  <c r="U504" i="2"/>
  <c r="U661" i="2" s="1"/>
  <c r="U659" i="2" s="1"/>
  <c r="U100" i="4" s="1"/>
  <c r="X757" i="2"/>
  <c r="W472" i="2"/>
  <c r="W478" i="2" s="1"/>
  <c r="W503" i="2" s="1"/>
  <c r="W477" i="2"/>
  <c r="U500" i="2"/>
  <c r="Y744" i="2"/>
  <c r="Y755" i="2" s="1"/>
  <c r="Y501" i="2"/>
  <c r="Y474" i="2"/>
  <c r="X177" i="2"/>
  <c r="X178" i="2" s="1"/>
  <c r="X268" i="2"/>
  <c r="X269" i="2" s="1"/>
  <c r="X231" i="2"/>
  <c r="X232" i="2" s="1"/>
  <c r="V798" i="2"/>
  <c r="V970" i="2" s="1"/>
  <c r="X698" i="2"/>
  <c r="X778" i="2" s="1"/>
  <c r="Y689" i="2"/>
  <c r="Y697" i="2" s="1"/>
  <c r="Y716" i="2"/>
  <c r="X699" i="2"/>
  <c r="X779" i="2" s="1"/>
  <c r="W734" i="2"/>
  <c r="W798" i="2" s="1"/>
  <c r="W970" i="2" s="1"/>
  <c r="X727" i="2"/>
  <c r="X730" i="2"/>
  <c r="X794" i="2" s="1"/>
  <c r="X729" i="2"/>
  <c r="W740" i="2"/>
  <c r="X195" i="2"/>
  <c r="X196" i="2" s="1"/>
  <c r="X703" i="2"/>
  <c r="X783" i="2" s="1"/>
  <c r="V197" i="2"/>
  <c r="X213" i="2"/>
  <c r="X214" i="2" s="1"/>
  <c r="X249" i="2"/>
  <c r="X250" i="2" s="1"/>
  <c r="U310" i="2"/>
  <c r="V306" i="2"/>
  <c r="W207" i="2"/>
  <c r="W208" i="2" s="1"/>
  <c r="W197" i="2" s="1"/>
  <c r="W316" i="2"/>
  <c r="W317" i="2" s="1"/>
  <c r="V251" i="2"/>
  <c r="V142" i="2"/>
  <c r="V160" i="2"/>
  <c r="V233" i="2"/>
  <c r="V270" i="2"/>
  <c r="W225" i="2"/>
  <c r="W226" i="2" s="1"/>
  <c r="V124" i="2"/>
  <c r="V179" i="2"/>
  <c r="W243" i="2"/>
  <c r="W244" i="2" s="1"/>
  <c r="V106" i="2"/>
  <c r="X286" i="2"/>
  <c r="X287" i="2" s="1"/>
  <c r="X140" i="2"/>
  <c r="X141" i="2" s="1"/>
  <c r="X158" i="2"/>
  <c r="X159" i="2" s="1"/>
  <c r="X86" i="2"/>
  <c r="X87" i="2" s="1"/>
  <c r="T325" i="2"/>
  <c r="W321" i="2"/>
  <c r="W6" i="4" s="1"/>
  <c r="S326" i="2"/>
  <c r="S961" i="2" s="1"/>
  <c r="V327" i="2"/>
  <c r="V954" i="2" s="1"/>
  <c r="V320" i="4" s="1"/>
  <c r="R323" i="2"/>
  <c r="R39" i="4" s="1"/>
  <c r="V299" i="2"/>
  <c r="V288" i="2" s="1"/>
  <c r="U300" i="2"/>
  <c r="V290" i="2"/>
  <c r="Y315" i="2"/>
  <c r="Y279" i="2"/>
  <c r="Y297" i="2"/>
  <c r="Y302" i="2"/>
  <c r="Y284" i="2"/>
  <c r="Y266" i="2"/>
  <c r="U282" i="2"/>
  <c r="V272" i="2"/>
  <c r="U274" i="2"/>
  <c r="W298" i="2"/>
  <c r="W280" i="2"/>
  <c r="W281" i="2" s="1"/>
  <c r="U318" i="2"/>
  <c r="V308" i="2"/>
  <c r="U292" i="2"/>
  <c r="S619" i="2"/>
  <c r="S617" i="2" s="1"/>
  <c r="T88" i="2"/>
  <c r="T324" i="2" s="1"/>
  <c r="S92" i="2"/>
  <c r="R76" i="4"/>
  <c r="R165" i="4" s="1"/>
  <c r="Y260" i="2"/>
  <c r="Y224" i="2"/>
  <c r="Y188" i="2"/>
  <c r="Y247" i="2"/>
  <c r="Y242" i="2"/>
  <c r="Y211" i="2"/>
  <c r="Y206" i="2"/>
  <c r="Y193" i="2"/>
  <c r="Y175" i="2"/>
  <c r="Y229" i="2"/>
  <c r="W189" i="2"/>
  <c r="W190" i="2" s="1"/>
  <c r="U245" i="2"/>
  <c r="V235" i="2"/>
  <c r="U237" i="2"/>
  <c r="T209" i="2"/>
  <c r="U199" i="2"/>
  <c r="T263" i="2"/>
  <c r="U253" i="2"/>
  <c r="T255" i="2"/>
  <c r="X104" i="2"/>
  <c r="X105" i="2" s="1"/>
  <c r="T191" i="2"/>
  <c r="U181" i="2"/>
  <c r="T183" i="2"/>
  <c r="T227" i="2"/>
  <c r="U217" i="2"/>
  <c r="T219" i="2"/>
  <c r="V226" i="2"/>
  <c r="V215" i="2" s="1"/>
  <c r="W261" i="2"/>
  <c r="T201" i="2"/>
  <c r="X122" i="2"/>
  <c r="X123" i="2" s="1"/>
  <c r="R625" i="2"/>
  <c r="R101" i="4" s="1"/>
  <c r="V146" i="4"/>
  <c r="V141" i="4"/>
  <c r="W116" i="2"/>
  <c r="W117" i="2" s="1"/>
  <c r="W170" i="2"/>
  <c r="W171" i="2" s="1"/>
  <c r="W152" i="2"/>
  <c r="W153" i="2" s="1"/>
  <c r="T136" i="2"/>
  <c r="U126" i="2"/>
  <c r="T128" i="2"/>
  <c r="Y169" i="2"/>
  <c r="Y156" i="2"/>
  <c r="Y151" i="2"/>
  <c r="Y138" i="2"/>
  <c r="Y102" i="2"/>
  <c r="Y115" i="2"/>
  <c r="Y120" i="2"/>
  <c r="Y133" i="2"/>
  <c r="W134" i="2"/>
  <c r="W135" i="2" s="1"/>
  <c r="U154" i="2"/>
  <c r="V144" i="2"/>
  <c r="T118" i="2"/>
  <c r="U108" i="2"/>
  <c r="T110" i="2"/>
  <c r="U146" i="2"/>
  <c r="T172" i="2"/>
  <c r="U162" i="2"/>
  <c r="T164" i="2"/>
  <c r="V99" i="2"/>
  <c r="W98" i="2"/>
  <c r="U100" i="2"/>
  <c r="V90" i="2"/>
  <c r="Y97" i="2"/>
  <c r="Y84" i="2"/>
  <c r="Y577" i="2"/>
  <c r="U90" i="10"/>
  <c r="U841" i="2"/>
  <c r="U38" i="1"/>
  <c r="U4" i="2"/>
  <c r="U119" i="4"/>
  <c r="U313" i="4"/>
  <c r="U682" i="2"/>
  <c r="U73" i="4"/>
  <c r="U1" i="2"/>
  <c r="U4" i="4"/>
  <c r="U68" i="1"/>
  <c r="U1" i="1"/>
  <c r="U138" i="4"/>
  <c r="U222" i="4"/>
  <c r="U826" i="2"/>
  <c r="U1" i="4"/>
  <c r="U615" i="2"/>
  <c r="U891" i="2"/>
  <c r="U464" i="2"/>
  <c r="U4" i="5"/>
  <c r="U862" i="2"/>
  <c r="U513" i="2"/>
  <c r="U113" i="1"/>
  <c r="U102" i="10"/>
  <c r="U880" i="2"/>
  <c r="U174" i="4"/>
  <c r="U1" i="10"/>
  <c r="U952" i="2"/>
  <c r="U332" i="2"/>
  <c r="U271" i="4"/>
  <c r="U1" i="5"/>
  <c r="U55" i="10"/>
  <c r="U14" i="1"/>
  <c r="U80" i="2"/>
  <c r="U37" i="4"/>
  <c r="U42" i="2"/>
  <c r="Y13" i="2"/>
  <c r="Y157" i="2" s="1"/>
  <c r="Y14" i="2"/>
  <c r="Y139" i="2" s="1"/>
  <c r="Y12" i="2"/>
  <c r="Y121" i="2" s="1"/>
  <c r="S112" i="10"/>
  <c r="S117" i="10" s="1"/>
  <c r="AB87" i="1"/>
  <c r="AA91" i="1"/>
  <c r="Y203" i="4"/>
  <c r="Y236" i="4"/>
  <c r="Y294" i="4"/>
  <c r="Y187" i="4"/>
  <c r="Y252" i="4"/>
  <c r="Y590" i="2"/>
  <c r="Y83" i="4"/>
  <c r="Y489" i="2"/>
  <c r="Q114" i="10"/>
  <c r="Q122" i="10"/>
  <c r="Y883" i="2"/>
  <c r="Y92" i="4"/>
  <c r="Y289" i="4"/>
  <c r="Y247" i="4"/>
  <c r="Y198" i="4"/>
  <c r="Y603" i="2"/>
  <c r="Y497" i="2"/>
  <c r="Z2" i="4"/>
  <c r="Z113" i="4" s="1"/>
  <c r="Z2" i="5"/>
  <c r="Z2" i="10"/>
  <c r="Z2" i="2"/>
  <c r="Z2" i="1"/>
  <c r="Z45" i="1" s="1"/>
  <c r="AA25" i="1"/>
  <c r="Y595" i="2"/>
  <c r="Y44" i="1"/>
  <c r="AB43" i="1"/>
  <c r="AA49" i="1"/>
  <c r="AA48" i="1"/>
  <c r="AA288" i="4"/>
  <c r="AA197" i="4"/>
  <c r="AA246" i="4"/>
  <c r="AA47" i="1"/>
  <c r="AA50" i="1"/>
  <c r="AD86" i="1"/>
  <c r="R120" i="10"/>
  <c r="S107" i="10"/>
  <c r="S118" i="10" s="1"/>
  <c r="Y108" i="4"/>
  <c r="AD79" i="1"/>
  <c r="AC81" i="1"/>
  <c r="X858" i="2"/>
  <c r="Y857" i="2"/>
  <c r="Y856" i="2" s="1"/>
  <c r="Y850" i="2"/>
  <c r="Z849" i="2"/>
  <c r="Z848" i="2" s="1"/>
  <c r="Z54" i="1"/>
  <c r="Y55" i="1"/>
  <c r="Y53" i="1" s="1"/>
  <c r="AA62" i="10"/>
  <c r="AA57" i="10"/>
  <c r="W668" i="2"/>
  <c r="X667" i="2"/>
  <c r="X644" i="2"/>
  <c r="Y601" i="2"/>
  <c r="W82" i="4"/>
  <c r="X97" i="10"/>
  <c r="W226" i="4"/>
  <c r="X120" i="1"/>
  <c r="W90" i="4"/>
  <c r="X93" i="10"/>
  <c r="X621" i="2"/>
  <c r="L86" i="10"/>
  <c r="V317" i="4"/>
  <c r="W146" i="1"/>
  <c r="W102" i="4"/>
  <c r="X125" i="10"/>
  <c r="X673" i="2"/>
  <c r="Y672" i="2"/>
  <c r="V34" i="1"/>
  <c r="V55" i="2" s="1"/>
  <c r="W86" i="4"/>
  <c r="X65" i="10"/>
  <c r="W663" i="2"/>
  <c r="X662" i="2"/>
  <c r="W651" i="2"/>
  <c r="X650" i="2"/>
  <c r="X124" i="10"/>
  <c r="X656" i="2"/>
  <c r="X632" i="2"/>
  <c r="X633" i="2" s="1"/>
  <c r="X140" i="1"/>
  <c r="X499" i="2"/>
  <c r="Y495" i="2"/>
  <c r="Y582" i="2"/>
  <c r="W657" i="2"/>
  <c r="X638" i="2"/>
  <c r="X639" i="2" s="1"/>
  <c r="W275" i="4"/>
  <c r="X123" i="1"/>
  <c r="V592" i="2"/>
  <c r="V14" i="4" s="1"/>
  <c r="W588" i="2"/>
  <c r="W639" i="2"/>
  <c r="P70" i="10"/>
  <c r="V491" i="2"/>
  <c r="V13" i="4" s="1"/>
  <c r="W487" i="2"/>
  <c r="T178" i="4"/>
  <c r="U131" i="1"/>
  <c r="M78" i="10"/>
  <c r="W29" i="1"/>
  <c r="X26" i="1"/>
  <c r="W28" i="1"/>
  <c r="W27" i="1"/>
  <c r="V47" i="4"/>
  <c r="Y593" i="2"/>
  <c r="X606" i="2"/>
  <c r="Y111" i="4"/>
  <c r="W627" i="2"/>
  <c r="X626" i="2"/>
  <c r="W645" i="2"/>
  <c r="G346" i="4"/>
  <c r="I988" i="2"/>
  <c r="Z108" i="4" l="1"/>
  <c r="Z247" i="4"/>
  <c r="Z92" i="4"/>
  <c r="Z103" i="4"/>
  <c r="L979" i="2"/>
  <c r="L976" i="2" s="1"/>
  <c r="L87" i="4"/>
  <c r="H989" i="2"/>
  <c r="H1011" i="2"/>
  <c r="H29" i="4"/>
  <c r="H326" i="4"/>
  <c r="H990" i="2"/>
  <c r="N704" i="2"/>
  <c r="M785" i="2"/>
  <c r="Z198" i="4"/>
  <c r="Z289" i="4"/>
  <c r="Z83" i="4"/>
  <c r="M780" i="2"/>
  <c r="M701" i="2"/>
  <c r="V709" i="2"/>
  <c r="U822" i="2"/>
  <c r="M796" i="2"/>
  <c r="N731" i="2"/>
  <c r="M800" i="2"/>
  <c r="N735" i="2"/>
  <c r="K148" i="4"/>
  <c r="K17" i="4"/>
  <c r="V58" i="4"/>
  <c r="V182" i="4" s="1"/>
  <c r="W818" i="2"/>
  <c r="W968" i="2" s="1"/>
  <c r="T111" i="10"/>
  <c r="T112" i="10" s="1"/>
  <c r="T117" i="10" s="1"/>
  <c r="S110" i="10"/>
  <c r="T453" i="2"/>
  <c r="T964" i="2" s="1"/>
  <c r="V455" i="2"/>
  <c r="V631" i="2" s="1"/>
  <c r="V629" i="2" s="1"/>
  <c r="V80" i="4" s="1"/>
  <c r="P40" i="4"/>
  <c r="F35" i="7" s="1"/>
  <c r="P460" i="2"/>
  <c r="R458" i="2"/>
  <c r="R649" i="2" s="1"/>
  <c r="R647" i="2" s="1"/>
  <c r="R97" i="4" s="1"/>
  <c r="M998" i="2"/>
  <c r="M999" i="2" s="1"/>
  <c r="M333" i="4" s="1"/>
  <c r="M334" i="4"/>
  <c r="X341" i="2"/>
  <c r="Z416" i="2"/>
  <c r="Z414" i="2"/>
  <c r="Z422" i="2"/>
  <c r="Z405" i="2"/>
  <c r="Z411" i="2"/>
  <c r="Z407" i="2"/>
  <c r="Z409" i="2"/>
  <c r="Y406" i="2"/>
  <c r="Y413" i="2" s="1"/>
  <c r="O26" i="4"/>
  <c r="O871" i="2"/>
  <c r="O46" i="4" s="1"/>
  <c r="N974" i="2"/>
  <c r="O974" i="2" s="1"/>
  <c r="L1003" i="2"/>
  <c r="L1004" i="2" s="1"/>
  <c r="L335" i="4" s="1"/>
  <c r="M1006" i="2"/>
  <c r="M1007" i="2" s="1"/>
  <c r="M1008" i="2" s="1"/>
  <c r="M1002" i="2" s="1"/>
  <c r="M336" i="4" s="1"/>
  <c r="Z312" i="2"/>
  <c r="Z239" i="2"/>
  <c r="Z294" i="2"/>
  <c r="Z352" i="2"/>
  <c r="Z257" i="2"/>
  <c r="Z148" i="2"/>
  <c r="Z112" i="2"/>
  <c r="Z203" i="2"/>
  <c r="Z94" i="2"/>
  <c r="Z130" i="2"/>
  <c r="Z221" i="2"/>
  <c r="Z185" i="2"/>
  <c r="Z276" i="2"/>
  <c r="Z166" i="2"/>
  <c r="Z750" i="2"/>
  <c r="Z722" i="2"/>
  <c r="Z378" i="2"/>
  <c r="Z548" i="2"/>
  <c r="Z399" i="2"/>
  <c r="Z529" i="2"/>
  <c r="Z521" i="2"/>
  <c r="Z692" i="2"/>
  <c r="Z567" i="2"/>
  <c r="Z442" i="2"/>
  <c r="Z537" i="2"/>
  <c r="Z556" i="2"/>
  <c r="AA72" i="1"/>
  <c r="Y708" i="2"/>
  <c r="Y789" i="2" s="1"/>
  <c r="Y702" i="2"/>
  <c r="Y782" i="2" s="1"/>
  <c r="V973" i="2"/>
  <c r="U279" i="4"/>
  <c r="U182" i="4"/>
  <c r="U229" i="4"/>
  <c r="W56" i="4"/>
  <c r="W52" i="4"/>
  <c r="W817" i="2"/>
  <c r="X797" i="2"/>
  <c r="X790" i="2" s="1"/>
  <c r="X53" i="4" s="1"/>
  <c r="X776" i="2"/>
  <c r="X52" i="4" s="1"/>
  <c r="Y739" i="2"/>
  <c r="Y733" i="2"/>
  <c r="X804" i="2"/>
  <c r="X962" i="2" s="1"/>
  <c r="L999" i="2"/>
  <c r="L333" i="4" s="1"/>
  <c r="Y767" i="2"/>
  <c r="Y761" i="2"/>
  <c r="X599" i="2"/>
  <c r="X605" i="2" s="1"/>
  <c r="X15" i="4" s="1"/>
  <c r="H13" i="7" s="1"/>
  <c r="Y569" i="2"/>
  <c r="Y565" i="2" s="1"/>
  <c r="Y599" i="2" s="1"/>
  <c r="Y605" i="2" s="1"/>
  <c r="Y15" i="4" s="1"/>
  <c r="G180" i="4"/>
  <c r="G179" i="4" s="1"/>
  <c r="G190" i="4" s="1"/>
  <c r="G210" i="4" s="1"/>
  <c r="G277" i="4"/>
  <c r="G276" i="4" s="1"/>
  <c r="G282" i="4" s="1"/>
  <c r="G67" i="4"/>
  <c r="G125" i="4"/>
  <c r="G128" i="4" s="1"/>
  <c r="G948" i="2" s="1"/>
  <c r="G228" i="4"/>
  <c r="W597" i="2"/>
  <c r="Q11" i="4"/>
  <c r="G9" i="7"/>
  <c r="W585" i="2"/>
  <c r="W965" i="2"/>
  <c r="Y550" i="2"/>
  <c r="Y546" i="2" s="1"/>
  <c r="Y551" i="2" s="1"/>
  <c r="X587" i="2"/>
  <c r="V611" i="2"/>
  <c r="X586" i="2"/>
  <c r="Y558" i="2"/>
  <c r="Y554" i="2" s="1"/>
  <c r="Y559" i="2" s="1"/>
  <c r="Y531" i="2"/>
  <c r="Y527" i="2" s="1"/>
  <c r="Y532" i="2" s="1"/>
  <c r="W572" i="2"/>
  <c r="Y539" i="2"/>
  <c r="Y535" i="2" s="1"/>
  <c r="Y540" i="2" s="1"/>
  <c r="X573" i="2"/>
  <c r="X574" i="2"/>
  <c r="Y523" i="2"/>
  <c r="Y519" i="2" s="1"/>
  <c r="Y524" i="2" s="1"/>
  <c r="Y427" i="2"/>
  <c r="Y428" i="2" s="1"/>
  <c r="Y435" i="2" s="1"/>
  <c r="Y445" i="2" s="1"/>
  <c r="Y446" i="2" s="1"/>
  <c r="Y440" i="2" s="1"/>
  <c r="Q939" i="2"/>
  <c r="Q106" i="4" s="1"/>
  <c r="P106" i="4"/>
  <c r="P867" i="2" s="1"/>
  <c r="P934" i="2"/>
  <c r="P945" i="2"/>
  <c r="Q181" i="4"/>
  <c r="Q126" i="4"/>
  <c r="Q278" i="4"/>
  <c r="S372" i="2"/>
  <c r="R923" i="2"/>
  <c r="R921" i="2" s="1"/>
  <c r="R937" i="2"/>
  <c r="R21" i="4" s="1"/>
  <c r="N960" i="2"/>
  <c r="N323" i="4" s="1"/>
  <c r="O960" i="2"/>
  <c r="O323" i="4" s="1"/>
  <c r="O943" i="2"/>
  <c r="P912" i="2"/>
  <c r="N998" i="2"/>
  <c r="N334" i="4"/>
  <c r="S902" i="2"/>
  <c r="T904" i="2"/>
  <c r="Z905" i="2"/>
  <c r="Z924" i="2"/>
  <c r="Z931" i="2"/>
  <c r="Z932" i="2" s="1"/>
  <c r="V608" i="2"/>
  <c r="U610" i="2"/>
  <c r="T42" i="4"/>
  <c r="G37" i="7" s="1"/>
  <c r="Z568" i="2"/>
  <c r="Z557" i="2"/>
  <c r="Z549" i="2"/>
  <c r="V575" i="2"/>
  <c r="U579" i="2"/>
  <c r="U10" i="4" s="1"/>
  <c r="U584" i="2"/>
  <c r="V580" i="2"/>
  <c r="Z538" i="2"/>
  <c r="Z530" i="2"/>
  <c r="Z522" i="2"/>
  <c r="U356" i="2"/>
  <c r="X446" i="2"/>
  <c r="X440" i="2" s="1"/>
  <c r="Z438" i="2"/>
  <c r="Z436" i="2"/>
  <c r="Z444" i="2"/>
  <c r="Z433" i="2"/>
  <c r="Z431" i="2"/>
  <c r="Z426" i="2"/>
  <c r="Z429" i="2"/>
  <c r="Y337" i="2"/>
  <c r="W339" i="2"/>
  <c r="V345" i="2"/>
  <c r="Y29" i="2"/>
  <c r="Y37" i="2"/>
  <c r="Z395" i="2"/>
  <c r="Z393" i="2"/>
  <c r="Z401" i="2"/>
  <c r="Z390" i="2"/>
  <c r="Z388" i="2"/>
  <c r="Z386" i="2"/>
  <c r="Z17" i="2"/>
  <c r="Z20" i="2"/>
  <c r="Z19" i="2"/>
  <c r="Z21" i="2"/>
  <c r="Z18" i="2"/>
  <c r="Y25" i="2"/>
  <c r="Y22" i="2"/>
  <c r="Y33" i="2"/>
  <c r="Y27" i="2"/>
  <c r="Y35" i="2"/>
  <c r="X38" i="2"/>
  <c r="X336" i="2" s="1"/>
  <c r="X338" i="2" s="1"/>
  <c r="X451" i="2" s="1"/>
  <c r="Y26" i="2"/>
  <c r="Y34" i="2"/>
  <c r="Y28" i="2"/>
  <c r="Y36" i="2"/>
  <c r="Y385" i="2"/>
  <c r="Y392" i="2" s="1"/>
  <c r="X402" i="2"/>
  <c r="X403" i="2" s="1"/>
  <c r="X397" i="2" s="1"/>
  <c r="X30" i="2"/>
  <c r="Y470" i="2"/>
  <c r="Y471" i="2" s="1"/>
  <c r="Q450" i="2"/>
  <c r="T348" i="2"/>
  <c r="S350" i="2"/>
  <c r="V346" i="2"/>
  <c r="X762" i="2"/>
  <c r="Z354" i="2"/>
  <c r="Z343" i="2"/>
  <c r="Y304" i="2"/>
  <c r="Y305" i="2" s="1"/>
  <c r="S8" i="4"/>
  <c r="W365" i="2"/>
  <c r="V371" i="2"/>
  <c r="V381" i="2" s="1"/>
  <c r="X793" i="2"/>
  <c r="X91" i="4" s="1"/>
  <c r="T955" i="2"/>
  <c r="T321" i="4" s="1"/>
  <c r="T449" i="2"/>
  <c r="W367" i="2"/>
  <c r="W457" i="2" s="1"/>
  <c r="R655" i="2"/>
  <c r="S374" i="2"/>
  <c r="S459" i="2" s="1"/>
  <c r="R376" i="2"/>
  <c r="R452" i="2" s="1"/>
  <c r="Q77" i="4"/>
  <c r="Q653" i="2"/>
  <c r="Q675" i="2" s="1"/>
  <c r="U381" i="2"/>
  <c r="U454" i="2" s="1"/>
  <c r="W369" i="2"/>
  <c r="W456" i="2" s="1"/>
  <c r="R142" i="4"/>
  <c r="R167" i="4"/>
  <c r="R7" i="4"/>
  <c r="R11" i="4" s="1"/>
  <c r="X759" i="2"/>
  <c r="X760" i="2" s="1"/>
  <c r="Y759" i="2" s="1"/>
  <c r="Y760" i="2" s="1"/>
  <c r="Z380" i="2"/>
  <c r="Z364" i="2" s="1"/>
  <c r="X768" i="2"/>
  <c r="Y757" i="2"/>
  <c r="Y364" i="2"/>
  <c r="Y177" i="2"/>
  <c r="Y178" i="2" s="1"/>
  <c r="U508" i="2"/>
  <c r="U41" i="4" s="1"/>
  <c r="V509" i="2"/>
  <c r="V986" i="2" s="1"/>
  <c r="V331" i="4" s="1"/>
  <c r="V479" i="2"/>
  <c r="U643" i="2"/>
  <c r="U641" i="2" s="1"/>
  <c r="U78" i="4" s="1"/>
  <c r="U166" i="4" s="1"/>
  <c r="Y231" i="2"/>
  <c r="Y232" i="2" s="1"/>
  <c r="W502" i="2"/>
  <c r="W476" i="2"/>
  <c r="Y758" i="2"/>
  <c r="W984" i="2"/>
  <c r="W332" i="4" s="1"/>
  <c r="W506" i="2"/>
  <c r="W985" i="2" s="1"/>
  <c r="X472" i="2"/>
  <c r="X478" i="2" s="1"/>
  <c r="X503" i="2" s="1"/>
  <c r="X477" i="2"/>
  <c r="T144" i="4"/>
  <c r="V500" i="2"/>
  <c r="V481" i="2"/>
  <c r="U637" i="2"/>
  <c r="U635" i="2" s="1"/>
  <c r="U79" i="4" s="1"/>
  <c r="U483" i="2"/>
  <c r="U9" i="4" s="1"/>
  <c r="V504" i="2"/>
  <c r="V661" i="2" s="1"/>
  <c r="V659" i="2" s="1"/>
  <c r="V100" i="4" s="1"/>
  <c r="Y268" i="2"/>
  <c r="Y269" i="2" s="1"/>
  <c r="Z744" i="2"/>
  <c r="Z757" i="2" s="1"/>
  <c r="Z474" i="2"/>
  <c r="Z501" i="2"/>
  <c r="W973" i="2"/>
  <c r="Y698" i="2"/>
  <c r="Y778" i="2" s="1"/>
  <c r="Y699" i="2"/>
  <c r="Y779" i="2" s="1"/>
  <c r="Y195" i="2"/>
  <c r="Y196" i="2" s="1"/>
  <c r="Y763" i="2"/>
  <c r="Y764" i="2" s="1"/>
  <c r="Y762" i="2"/>
  <c r="X671" i="2"/>
  <c r="X670" i="2" s="1"/>
  <c r="X98" i="4" s="1"/>
  <c r="Z689" i="2"/>
  <c r="Z697" i="2" s="1"/>
  <c r="Z716" i="2"/>
  <c r="X740" i="2"/>
  <c r="Y727" i="2"/>
  <c r="Y730" i="2"/>
  <c r="Y729" i="2"/>
  <c r="X734" i="2"/>
  <c r="W215" i="2"/>
  <c r="W306" i="2"/>
  <c r="Y703" i="2"/>
  <c r="Y783" i="2" s="1"/>
  <c r="Y249" i="2"/>
  <c r="Y250" i="2" s="1"/>
  <c r="Y213" i="2"/>
  <c r="Y214" i="2" s="1"/>
  <c r="W233" i="2"/>
  <c r="W160" i="2"/>
  <c r="Y286" i="2"/>
  <c r="Y287" i="2" s="1"/>
  <c r="W270" i="2"/>
  <c r="X225" i="2"/>
  <c r="X226" i="2" s="1"/>
  <c r="W106" i="2"/>
  <c r="W179" i="2"/>
  <c r="W124" i="2"/>
  <c r="W142" i="2"/>
  <c r="Y140" i="2"/>
  <c r="Y141" i="2" s="1"/>
  <c r="V292" i="2"/>
  <c r="Y86" i="2"/>
  <c r="Y87" i="2" s="1"/>
  <c r="Y158" i="2"/>
  <c r="Y159" i="2" s="1"/>
  <c r="V322" i="2"/>
  <c r="T326" i="2"/>
  <c r="T961" i="2" s="1"/>
  <c r="U325" i="2"/>
  <c r="X298" i="2"/>
  <c r="X299" i="2" s="1"/>
  <c r="R328" i="2"/>
  <c r="W327" i="2"/>
  <c r="W954" i="2" s="1"/>
  <c r="W320" i="4" s="1"/>
  <c r="S323" i="2"/>
  <c r="S39" i="4" s="1"/>
  <c r="X321" i="2"/>
  <c r="X6" i="4" s="1"/>
  <c r="H5" i="7" s="1"/>
  <c r="W299" i="2"/>
  <c r="W288" i="2" s="1"/>
  <c r="V318" i="2"/>
  <c r="W308" i="2"/>
  <c r="V310" i="2"/>
  <c r="Z315" i="2"/>
  <c r="Z302" i="2"/>
  <c r="Z297" i="2"/>
  <c r="Z284" i="2"/>
  <c r="Z266" i="2"/>
  <c r="Z279" i="2"/>
  <c r="V282" i="2"/>
  <c r="W272" i="2"/>
  <c r="X316" i="2"/>
  <c r="X317" i="2" s="1"/>
  <c r="V274" i="2"/>
  <c r="V300" i="2"/>
  <c r="W290" i="2"/>
  <c r="X280" i="2"/>
  <c r="X281" i="2" s="1"/>
  <c r="Y104" i="2"/>
  <c r="Y105" i="2" s="1"/>
  <c r="T619" i="2"/>
  <c r="T617" i="2" s="1"/>
  <c r="T92" i="2"/>
  <c r="U88" i="2"/>
  <c r="U324" i="2" s="1"/>
  <c r="S76" i="4"/>
  <c r="S165" i="4" s="1"/>
  <c r="W262" i="2"/>
  <c r="W251" i="2" s="1"/>
  <c r="U263" i="2"/>
  <c r="V253" i="2"/>
  <c r="U255" i="2"/>
  <c r="U191" i="2"/>
  <c r="V181" i="2"/>
  <c r="U183" i="2"/>
  <c r="U209" i="2"/>
  <c r="V199" i="2"/>
  <c r="U201" i="2"/>
  <c r="X261" i="2"/>
  <c r="X262" i="2" s="1"/>
  <c r="X189" i="2"/>
  <c r="X190" i="2" s="1"/>
  <c r="X207" i="2"/>
  <c r="X208" i="2" s="1"/>
  <c r="X243" i="2"/>
  <c r="Z260" i="2"/>
  <c r="Z247" i="2"/>
  <c r="Z242" i="2"/>
  <c r="Z224" i="2"/>
  <c r="Z229" i="2"/>
  <c r="Z188" i="2"/>
  <c r="Z211" i="2"/>
  <c r="Z206" i="2"/>
  <c r="Z193" i="2"/>
  <c r="Z175" i="2"/>
  <c r="U227" i="2"/>
  <c r="V217" i="2"/>
  <c r="U219" i="2"/>
  <c r="V245" i="2"/>
  <c r="W235" i="2"/>
  <c r="V237" i="2"/>
  <c r="Y122" i="2"/>
  <c r="Y123" i="2" s="1"/>
  <c r="R623" i="2"/>
  <c r="S625" i="2"/>
  <c r="S101" i="4" s="1"/>
  <c r="X116" i="2"/>
  <c r="X117" i="2" s="1"/>
  <c r="U136" i="2"/>
  <c r="V126" i="2"/>
  <c r="U128" i="2"/>
  <c r="X134" i="2"/>
  <c r="X135" i="2" s="1"/>
  <c r="X170" i="2"/>
  <c r="X171" i="2" s="1"/>
  <c r="Z169" i="2"/>
  <c r="Z156" i="2"/>
  <c r="Z151" i="2"/>
  <c r="Z115" i="2"/>
  <c r="Z120" i="2"/>
  <c r="Z133" i="2"/>
  <c r="Z102" i="2"/>
  <c r="Z138" i="2"/>
  <c r="U172" i="2"/>
  <c r="V162" i="2"/>
  <c r="U164" i="2"/>
  <c r="U118" i="2"/>
  <c r="V108" i="2"/>
  <c r="U110" i="2"/>
  <c r="V154" i="2"/>
  <c r="W144" i="2"/>
  <c r="X152" i="2"/>
  <c r="X153" i="2" s="1"/>
  <c r="V146" i="2"/>
  <c r="W99" i="2"/>
  <c r="W141" i="4"/>
  <c r="W146" i="4"/>
  <c r="Z577" i="2"/>
  <c r="Z97" i="2"/>
  <c r="Z84" i="2"/>
  <c r="V100" i="2"/>
  <c r="W90" i="2"/>
  <c r="X98" i="2"/>
  <c r="Z497" i="2"/>
  <c r="Z883" i="2"/>
  <c r="Z489" i="2"/>
  <c r="Z603" i="2"/>
  <c r="Z595" i="2"/>
  <c r="W34" i="1"/>
  <c r="W55" i="2" s="1"/>
  <c r="Z44" i="1"/>
  <c r="AE86" i="1"/>
  <c r="AA2" i="5"/>
  <c r="AA2" i="4"/>
  <c r="AA103" i="4" s="1"/>
  <c r="AA2" i="2"/>
  <c r="AA2" i="1"/>
  <c r="AA45" i="1" s="1"/>
  <c r="AA2" i="10"/>
  <c r="AB25" i="1"/>
  <c r="AB47" i="1"/>
  <c r="AC43" i="1"/>
  <c r="AB49" i="1"/>
  <c r="AB246" i="4"/>
  <c r="AB288" i="4"/>
  <c r="AB48" i="1"/>
  <c r="AB50" i="1"/>
  <c r="AB197" i="4"/>
  <c r="S120" i="10"/>
  <c r="T107" i="10"/>
  <c r="T118" i="10" s="1"/>
  <c r="AD81" i="1"/>
  <c r="AE79" i="1"/>
  <c r="Z252" i="4"/>
  <c r="Z203" i="4"/>
  <c r="Z187" i="4"/>
  <c r="Z294" i="4"/>
  <c r="Z236" i="4"/>
  <c r="Z590" i="2"/>
  <c r="AC87" i="1"/>
  <c r="AB91" i="1"/>
  <c r="R114" i="10"/>
  <c r="R122" i="10"/>
  <c r="Z12" i="2"/>
  <c r="Z121" i="2" s="1"/>
  <c r="Z13" i="2"/>
  <c r="Z157" i="2" s="1"/>
  <c r="Z14" i="2"/>
  <c r="Z139" i="2" s="1"/>
  <c r="Z59" i="1"/>
  <c r="V4" i="2"/>
  <c r="V42" i="2"/>
  <c r="Z850" i="2"/>
  <c r="AA849" i="2"/>
  <c r="AA848" i="2" s="1"/>
  <c r="Y858" i="2"/>
  <c r="Z857" i="2"/>
  <c r="Z856" i="2" s="1"/>
  <c r="AA54" i="1"/>
  <c r="Z55" i="1"/>
  <c r="Z53" i="1" s="1"/>
  <c r="AB57" i="10"/>
  <c r="AB62" i="10"/>
  <c r="X86" i="4"/>
  <c r="Y65" i="10"/>
  <c r="Z601" i="2"/>
  <c r="X226" i="4"/>
  <c r="Y120" i="1"/>
  <c r="Z593" i="2"/>
  <c r="U178" i="4"/>
  <c r="V131" i="1"/>
  <c r="P71" i="10"/>
  <c r="P72" i="10" s="1"/>
  <c r="Y638" i="2"/>
  <c r="Y140" i="1"/>
  <c r="Y673" i="2"/>
  <c r="Z672" i="2"/>
  <c r="Y644" i="2"/>
  <c r="Y645" i="2" s="1"/>
  <c r="X627" i="2"/>
  <c r="Y626" i="2"/>
  <c r="Z582" i="2"/>
  <c r="Y124" i="10"/>
  <c r="L89" i="4"/>
  <c r="L93" i="4" s="1"/>
  <c r="L169" i="4" s="1"/>
  <c r="M84" i="10"/>
  <c r="W47" i="4"/>
  <c r="X645" i="2"/>
  <c r="X102" i="4"/>
  <c r="Y125" i="10"/>
  <c r="X90" i="4"/>
  <c r="Y93" i="10"/>
  <c r="W592" i="2"/>
  <c r="W14" i="4" s="1"/>
  <c r="X588" i="2"/>
  <c r="X668" i="2"/>
  <c r="Y667" i="2"/>
  <c r="Y656" i="2"/>
  <c r="Y657" i="2" s="1"/>
  <c r="X657" i="2"/>
  <c r="W317" i="4"/>
  <c r="X146" i="1"/>
  <c r="W491" i="2"/>
  <c r="W13" i="4" s="1"/>
  <c r="X487" i="2"/>
  <c r="Y499" i="2"/>
  <c r="Z495" i="2"/>
  <c r="Y632" i="2"/>
  <c r="Y633" i="2" s="1"/>
  <c r="X651" i="2"/>
  <c r="Y650" i="2"/>
  <c r="X663" i="2"/>
  <c r="Y662" i="2"/>
  <c r="X82" i="4"/>
  <c r="Y97" i="10"/>
  <c r="Y606" i="2"/>
  <c r="M79" i="10"/>
  <c r="V4" i="5"/>
  <c r="V1" i="5"/>
  <c r="V73" i="4"/>
  <c r="V222" i="4"/>
  <c r="V313" i="4"/>
  <c r="V119" i="4"/>
  <c r="V37" i="4"/>
  <c r="V1" i="4"/>
  <c r="V138" i="4"/>
  <c r="V4" i="4"/>
  <c r="V174" i="4"/>
  <c r="V271" i="4"/>
  <c r="V891" i="2"/>
  <c r="V841" i="2"/>
  <c r="V862" i="2"/>
  <c r="V682" i="2"/>
  <c r="V880" i="2"/>
  <c r="V513" i="2"/>
  <c r="V464" i="2"/>
  <c r="V1" i="10"/>
  <c r="V80" i="2"/>
  <c r="V102" i="10"/>
  <c r="V952" i="2"/>
  <c r="V826" i="2"/>
  <c r="V332" i="2"/>
  <c r="V113" i="1"/>
  <c r="V68" i="1"/>
  <c r="V1" i="2"/>
  <c r="V55" i="10"/>
  <c r="V14" i="1"/>
  <c r="V1" i="1"/>
  <c r="V615" i="2"/>
  <c r="V90" i="10"/>
  <c r="V38" i="1"/>
  <c r="Z111" i="4"/>
  <c r="X29" i="1"/>
  <c r="X28" i="1"/>
  <c r="X27" i="1"/>
  <c r="Y26" i="1"/>
  <c r="X275" i="4"/>
  <c r="Y123" i="1"/>
  <c r="I326" i="4"/>
  <c r="I29" i="4"/>
  <c r="I989" i="2"/>
  <c r="I1011" i="2"/>
  <c r="J994" i="2"/>
  <c r="J995" i="2" s="1"/>
  <c r="J327" i="4"/>
  <c r="I990" i="2" l="1"/>
  <c r="I1012" i="2" s="1"/>
  <c r="T116" i="10"/>
  <c r="AA198" i="4"/>
  <c r="AA92" i="4"/>
  <c r="AA108" i="4"/>
  <c r="AA113" i="4"/>
  <c r="V279" i="4"/>
  <c r="K121" i="4"/>
  <c r="K123" i="4" s="1"/>
  <c r="K22" i="4"/>
  <c r="K28" i="4" s="1"/>
  <c r="K238" i="4"/>
  <c r="K152" i="4"/>
  <c r="K161" i="4"/>
  <c r="K189" i="4"/>
  <c r="N799" i="2"/>
  <c r="N736" i="2"/>
  <c r="N795" i="2"/>
  <c r="N732" i="2"/>
  <c r="M781" i="2"/>
  <c r="N700" i="2"/>
  <c r="H1012" i="2"/>
  <c r="H43" i="4" s="1"/>
  <c r="H325" i="4"/>
  <c r="H337" i="4" s="1"/>
  <c r="H344" i="4" s="1"/>
  <c r="H345" i="4" s="1"/>
  <c r="H346" i="4" s="1"/>
  <c r="H147" i="4"/>
  <c r="H30" i="4"/>
  <c r="D24" i="7"/>
  <c r="H328" i="4"/>
  <c r="H1013" i="2"/>
  <c r="H666" i="2" s="1"/>
  <c r="H665" i="2" s="1"/>
  <c r="L330" i="4"/>
  <c r="L16" i="4"/>
  <c r="L977" i="2"/>
  <c r="L978" i="2" s="1"/>
  <c r="L329" i="4" s="1"/>
  <c r="AA44" i="1"/>
  <c r="T110" i="10"/>
  <c r="V822" i="2"/>
  <c r="W709" i="2"/>
  <c r="N784" i="2"/>
  <c r="N705" i="2"/>
  <c r="V229" i="4"/>
  <c r="P25" i="4"/>
  <c r="W455" i="2"/>
  <c r="W631" i="2" s="1"/>
  <c r="W629" i="2" s="1"/>
  <c r="W80" i="4" s="1"/>
  <c r="S458" i="2"/>
  <c r="S649" i="2" s="1"/>
  <c r="S647" i="2" s="1"/>
  <c r="S97" i="4" s="1"/>
  <c r="Y341" i="2"/>
  <c r="Y423" i="2"/>
  <c r="Y424" i="2" s="1"/>
  <c r="Y418" i="2" s="1"/>
  <c r="AA422" i="2"/>
  <c r="AA416" i="2"/>
  <c r="AA414" i="2"/>
  <c r="AA411" i="2"/>
  <c r="AA407" i="2"/>
  <c r="AA409" i="2"/>
  <c r="Z406" i="2"/>
  <c r="Z413" i="2" s="1"/>
  <c r="Q867" i="2"/>
  <c r="Q869" i="2" s="1"/>
  <c r="Q873" i="2" s="1"/>
  <c r="Q963" i="2" s="1"/>
  <c r="Q972" i="2" s="1"/>
  <c r="Q958" i="2" s="1"/>
  <c r="X818" i="2"/>
  <c r="X968" i="2" s="1"/>
  <c r="O1000" i="2"/>
  <c r="O997" i="2" s="1"/>
  <c r="O1005" i="2"/>
  <c r="O1009" i="2"/>
  <c r="H47" i="7"/>
  <c r="N81" i="4"/>
  <c r="W58" i="4"/>
  <c r="W182" i="4" s="1"/>
  <c r="Y804" i="2"/>
  <c r="Y56" i="4" s="1"/>
  <c r="X965" i="2"/>
  <c r="N1006" i="2"/>
  <c r="N1007" i="2" s="1"/>
  <c r="N1008" i="2" s="1"/>
  <c r="N1002" i="2" s="1"/>
  <c r="N336" i="4" s="1"/>
  <c r="M1003" i="2"/>
  <c r="M1004" i="2" s="1"/>
  <c r="M335" i="4" s="1"/>
  <c r="X817" i="2"/>
  <c r="Y776" i="2"/>
  <c r="Z739" i="2"/>
  <c r="Z733" i="2"/>
  <c r="AA294" i="2"/>
  <c r="AA352" i="2"/>
  <c r="AA257" i="2"/>
  <c r="AA185" i="2"/>
  <c r="AA112" i="2"/>
  <c r="AA94" i="2"/>
  <c r="AA312" i="2"/>
  <c r="AA148" i="2"/>
  <c r="AA239" i="2"/>
  <c r="AA276" i="2"/>
  <c r="AA221" i="2"/>
  <c r="AA130" i="2"/>
  <c r="AA166" i="2"/>
  <c r="AA203" i="2"/>
  <c r="AA722" i="2"/>
  <c r="AA556" i="2"/>
  <c r="AA548" i="2"/>
  <c r="AA537" i="2"/>
  <c r="AA692" i="2"/>
  <c r="AA399" i="2"/>
  <c r="AA378" i="2"/>
  <c r="AA567" i="2"/>
  <c r="AA521" i="2"/>
  <c r="AA529" i="2"/>
  <c r="AA442" i="2"/>
  <c r="AA750" i="2"/>
  <c r="AB72" i="1"/>
  <c r="H48" i="7"/>
  <c r="Y797" i="2"/>
  <c r="Y790" i="2" s="1"/>
  <c r="Y53" i="4" s="1"/>
  <c r="Z767" i="2"/>
  <c r="Z761" i="2"/>
  <c r="X56" i="4"/>
  <c r="X58" i="4" s="1"/>
  <c r="Z708" i="2"/>
  <c r="Z789" i="2" s="1"/>
  <c r="Z702" i="2"/>
  <c r="Z782" i="2" s="1"/>
  <c r="Q122" i="4"/>
  <c r="Q109" i="4"/>
  <c r="W611" i="2"/>
  <c r="Y570" i="2"/>
  <c r="Y600" i="2" s="1"/>
  <c r="Y598" i="2" s="1"/>
  <c r="X598" i="2"/>
  <c r="Z569" i="2"/>
  <c r="Z565" i="2" s="1"/>
  <c r="Z570" i="2" s="1"/>
  <c r="Z600" i="2" s="1"/>
  <c r="G306" i="4"/>
  <c r="G307" i="4" s="1"/>
  <c r="G290" i="4"/>
  <c r="G301" i="4"/>
  <c r="G308" i="4"/>
  <c r="G309" i="4" s="1"/>
  <c r="G183" i="4"/>
  <c r="G184" i="4" s="1"/>
  <c r="Z550" i="2"/>
  <c r="Z546" i="2" s="1"/>
  <c r="Z551" i="2" s="1"/>
  <c r="G69" i="4"/>
  <c r="G227" i="4"/>
  <c r="K991" i="2"/>
  <c r="I147" i="4"/>
  <c r="U143" i="4"/>
  <c r="X585" i="2"/>
  <c r="Y586" i="2"/>
  <c r="Y587" i="2"/>
  <c r="Z558" i="2"/>
  <c r="Z554" i="2" s="1"/>
  <c r="Z559" i="2" s="1"/>
  <c r="X597" i="2"/>
  <c r="Z531" i="2"/>
  <c r="Z527" i="2" s="1"/>
  <c r="Z532" i="2" s="1"/>
  <c r="Z539" i="2"/>
  <c r="Z535" i="2" s="1"/>
  <c r="Z540" i="2" s="1"/>
  <c r="Y574" i="2"/>
  <c r="X572" i="2"/>
  <c r="Y573" i="2"/>
  <c r="Z523" i="2"/>
  <c r="Z519" i="2" s="1"/>
  <c r="Z524" i="2" s="1"/>
  <c r="U42" i="4"/>
  <c r="Z427" i="2"/>
  <c r="Z428" i="2" s="1"/>
  <c r="Z435" i="2" s="1"/>
  <c r="Z445" i="2" s="1"/>
  <c r="Q945" i="2"/>
  <c r="Q934" i="2"/>
  <c r="R939" i="2"/>
  <c r="R106" i="4" s="1"/>
  <c r="P109" i="4"/>
  <c r="P122" i="4"/>
  <c r="T372" i="2"/>
  <c r="S922" i="2"/>
  <c r="R938" i="2"/>
  <c r="R44" i="4" s="1"/>
  <c r="N999" i="2"/>
  <c r="N333" i="4" s="1"/>
  <c r="U903" i="2"/>
  <c r="P913" i="2"/>
  <c r="P944" i="2"/>
  <c r="O81" i="4"/>
  <c r="AA931" i="2"/>
  <c r="AA932" i="2" s="1"/>
  <c r="AA924" i="2"/>
  <c r="AA905" i="2"/>
  <c r="T902" i="2"/>
  <c r="W608" i="2"/>
  <c r="V610" i="2"/>
  <c r="AA568" i="2"/>
  <c r="AA557" i="2"/>
  <c r="AA549" i="2"/>
  <c r="W580" i="2"/>
  <c r="V584" i="2"/>
  <c r="V579" i="2"/>
  <c r="V10" i="4" s="1"/>
  <c r="V143" i="4" s="1"/>
  <c r="W575" i="2"/>
  <c r="AA538" i="2"/>
  <c r="AA530" i="2"/>
  <c r="AA522" i="2"/>
  <c r="AA444" i="2"/>
  <c r="AA433" i="2"/>
  <c r="AA429" i="2"/>
  <c r="AA426" i="2"/>
  <c r="AA436" i="2"/>
  <c r="AA438" i="2"/>
  <c r="AA431" i="2"/>
  <c r="Z337" i="2"/>
  <c r="Z385" i="2"/>
  <c r="Z392" i="2" s="1"/>
  <c r="X339" i="2"/>
  <c r="W345" i="2"/>
  <c r="W355" i="2" s="1"/>
  <c r="V355" i="2"/>
  <c r="V454" i="2" s="1"/>
  <c r="Y38" i="2"/>
  <c r="Y336" i="2" s="1"/>
  <c r="Y338" i="2" s="1"/>
  <c r="Y451" i="2" s="1"/>
  <c r="AA401" i="2"/>
  <c r="AA18" i="2"/>
  <c r="AA21" i="2"/>
  <c r="AA388" i="2"/>
  <c r="AA20" i="2"/>
  <c r="AA395" i="2"/>
  <c r="AA19" i="2"/>
  <c r="AA17" i="2"/>
  <c r="AA390" i="2"/>
  <c r="AA393" i="2"/>
  <c r="AA386" i="2"/>
  <c r="Z29" i="2"/>
  <c r="Z37" i="2"/>
  <c r="Z27" i="2"/>
  <c r="Z35" i="2"/>
  <c r="Z28" i="2"/>
  <c r="Z36" i="2"/>
  <c r="Y30" i="2"/>
  <c r="Z25" i="2"/>
  <c r="Z33" i="2"/>
  <c r="Z22" i="2"/>
  <c r="Y402" i="2"/>
  <c r="Y403" i="2" s="1"/>
  <c r="Y397" i="2" s="1"/>
  <c r="Z26" i="2"/>
  <c r="Z34" i="2"/>
  <c r="Z470" i="2"/>
  <c r="Z471" i="2" s="1"/>
  <c r="U382" i="2"/>
  <c r="U453" i="2" s="1"/>
  <c r="Z304" i="2"/>
  <c r="Z305" i="2" s="1"/>
  <c r="Q460" i="2"/>
  <c r="Q40" i="4"/>
  <c r="W346" i="2"/>
  <c r="R450" i="2"/>
  <c r="R40" i="4" s="1"/>
  <c r="U348" i="2"/>
  <c r="T350" i="2"/>
  <c r="X798" i="2"/>
  <c r="X970" i="2" s="1"/>
  <c r="AA354" i="2"/>
  <c r="AA343" i="2"/>
  <c r="Y768" i="2"/>
  <c r="X369" i="2"/>
  <c r="X456" i="2" s="1"/>
  <c r="Z177" i="2"/>
  <c r="Z178" i="2" s="1"/>
  <c r="S655" i="2"/>
  <c r="T374" i="2"/>
  <c r="T459" i="2" s="1"/>
  <c r="S376" i="2"/>
  <c r="S452" i="2" s="1"/>
  <c r="S142" i="4"/>
  <c r="S167" i="4"/>
  <c r="S7" i="4"/>
  <c r="S11" i="4" s="1"/>
  <c r="U955" i="2"/>
  <c r="U321" i="4" s="1"/>
  <c r="U449" i="2"/>
  <c r="X367" i="2"/>
  <c r="X457" i="2" s="1"/>
  <c r="V382" i="2"/>
  <c r="R77" i="4"/>
  <c r="R653" i="2"/>
  <c r="R675" i="2" s="1"/>
  <c r="T8" i="4"/>
  <c r="G7" i="7" s="1"/>
  <c r="X365" i="2"/>
  <c r="W371" i="2"/>
  <c r="W381" i="2" s="1"/>
  <c r="AA380" i="2"/>
  <c r="Y794" i="2"/>
  <c r="Y671" i="2" s="1"/>
  <c r="Y670" i="2" s="1"/>
  <c r="Y98" i="4" s="1"/>
  <c r="Y793" i="2"/>
  <c r="Y91" i="4" s="1"/>
  <c r="V483" i="2"/>
  <c r="V9" i="4" s="1"/>
  <c r="V144" i="4" s="1"/>
  <c r="V508" i="2"/>
  <c r="V41" i="4" s="1"/>
  <c r="Z231" i="2"/>
  <c r="Z232" i="2" s="1"/>
  <c r="Y472" i="2"/>
  <c r="Y478" i="2" s="1"/>
  <c r="Y503" i="2" s="1"/>
  <c r="Y477" i="2"/>
  <c r="W500" i="2"/>
  <c r="Z268" i="2"/>
  <c r="Z269" i="2" s="1"/>
  <c r="U144" i="4"/>
  <c r="X984" i="2"/>
  <c r="X332" i="4" s="1"/>
  <c r="X506" i="2"/>
  <c r="X985" i="2" s="1"/>
  <c r="X502" i="2"/>
  <c r="X476" i="2"/>
  <c r="Z758" i="2"/>
  <c r="W504" i="2"/>
  <c r="W661" i="2" s="1"/>
  <c r="W659" i="2" s="1"/>
  <c r="W100" i="4" s="1"/>
  <c r="Z755" i="2"/>
  <c r="Z762" i="2" s="1"/>
  <c r="W481" i="2"/>
  <c r="V637" i="2"/>
  <c r="V635" i="2" s="1"/>
  <c r="V79" i="4" s="1"/>
  <c r="W509" i="2"/>
  <c r="W986" i="2" s="1"/>
  <c r="W331" i="4" s="1"/>
  <c r="W479" i="2"/>
  <c r="V643" i="2"/>
  <c r="V641" i="2" s="1"/>
  <c r="V78" i="4" s="1"/>
  <c r="V166" i="4" s="1"/>
  <c r="AA744" i="2"/>
  <c r="AA758" i="2" s="1"/>
  <c r="AA474" i="2"/>
  <c r="Z249" i="2"/>
  <c r="Z250" i="2" s="1"/>
  <c r="Z698" i="2"/>
  <c r="Z778" i="2" s="1"/>
  <c r="Z195" i="2"/>
  <c r="Z196" i="2" s="1"/>
  <c r="Z699" i="2"/>
  <c r="Z779" i="2" s="1"/>
  <c r="Y740" i="2"/>
  <c r="Y734" i="2"/>
  <c r="Z727" i="2"/>
  <c r="Z729" i="2"/>
  <c r="Z793" i="2" s="1"/>
  <c r="Z730" i="2"/>
  <c r="AA689" i="2"/>
  <c r="AA698" i="2" s="1"/>
  <c r="AA716" i="2"/>
  <c r="Z703" i="2"/>
  <c r="Z783" i="2" s="1"/>
  <c r="Z213" i="2"/>
  <c r="Z214" i="2" s="1"/>
  <c r="X215" i="2"/>
  <c r="Z140" i="2"/>
  <c r="Z141" i="2" s="1"/>
  <c r="X142" i="2"/>
  <c r="W146" i="2"/>
  <c r="X160" i="2"/>
  <c r="Z158" i="2"/>
  <c r="Z159" i="2" s="1"/>
  <c r="X197" i="2"/>
  <c r="Z86" i="2"/>
  <c r="Z87" i="2" s="1"/>
  <c r="W274" i="2"/>
  <c r="X124" i="2"/>
  <c r="X288" i="2"/>
  <c r="Z286" i="2"/>
  <c r="Z287" i="2" s="1"/>
  <c r="X306" i="2"/>
  <c r="X106" i="2"/>
  <c r="X251" i="2"/>
  <c r="X179" i="2"/>
  <c r="Y207" i="2"/>
  <c r="Y208" i="2" s="1"/>
  <c r="X270" i="2"/>
  <c r="Y189" i="2"/>
  <c r="Y190" i="2" s="1"/>
  <c r="Y280" i="2"/>
  <c r="Y281" i="2" s="1"/>
  <c r="Y270" i="2" s="1"/>
  <c r="W322" i="2"/>
  <c r="V325" i="2"/>
  <c r="W292" i="2"/>
  <c r="U326" i="2"/>
  <c r="U625" i="2" s="1"/>
  <c r="X327" i="2"/>
  <c r="X954" i="2" s="1"/>
  <c r="X320" i="4" s="1"/>
  <c r="Y321" i="2"/>
  <c r="Y6" i="4" s="1"/>
  <c r="T323" i="2"/>
  <c r="T39" i="4" s="1"/>
  <c r="G34" i="7" s="1"/>
  <c r="S328" i="2"/>
  <c r="AA297" i="2"/>
  <c r="AA315" i="2"/>
  <c r="AA302" i="2"/>
  <c r="AA279" i="2"/>
  <c r="AA266" i="2"/>
  <c r="AA284" i="2"/>
  <c r="Y316" i="2"/>
  <c r="Y317" i="2" s="1"/>
  <c r="Y298" i="2"/>
  <c r="Y299" i="2" s="1"/>
  <c r="W318" i="2"/>
  <c r="X308" i="2"/>
  <c r="W310" i="2"/>
  <c r="Z104" i="2"/>
  <c r="Z105" i="2" s="1"/>
  <c r="W300" i="2"/>
  <c r="X290" i="2"/>
  <c r="W282" i="2"/>
  <c r="X272" i="2"/>
  <c r="T76" i="4"/>
  <c r="T165" i="4" s="1"/>
  <c r="U619" i="2"/>
  <c r="U617" i="2" s="1"/>
  <c r="U92" i="2"/>
  <c r="V88" i="2"/>
  <c r="V324" i="2" s="1"/>
  <c r="W245" i="2"/>
  <c r="X235" i="2"/>
  <c r="W237" i="2"/>
  <c r="AA247" i="2"/>
  <c r="AA260" i="2"/>
  <c r="AA242" i="2"/>
  <c r="AA211" i="2"/>
  <c r="AA224" i="2"/>
  <c r="AA206" i="2"/>
  <c r="AA229" i="2"/>
  <c r="AA188" i="2"/>
  <c r="AA193" i="2"/>
  <c r="AA175" i="2"/>
  <c r="X244" i="2"/>
  <c r="X233" i="2" s="1"/>
  <c r="V209" i="2"/>
  <c r="W199" i="2"/>
  <c r="V201" i="2"/>
  <c r="V263" i="2"/>
  <c r="W253" i="2"/>
  <c r="W255" i="2" s="1"/>
  <c r="V255" i="2"/>
  <c r="Y261" i="2"/>
  <c r="Y262" i="2" s="1"/>
  <c r="Y243" i="2"/>
  <c r="Y244" i="2" s="1"/>
  <c r="V227" i="2"/>
  <c r="W217" i="2"/>
  <c r="Y225" i="2"/>
  <c r="Y226" i="2" s="1"/>
  <c r="V191" i="2"/>
  <c r="W181" i="2"/>
  <c r="V183" i="2"/>
  <c r="V219" i="2"/>
  <c r="Z122" i="2"/>
  <c r="Z123" i="2" s="1"/>
  <c r="S623" i="2"/>
  <c r="T625" i="2"/>
  <c r="T623" i="2" s="1"/>
  <c r="Y116" i="2"/>
  <c r="Y117" i="2" s="1"/>
  <c r="V136" i="2"/>
  <c r="W126" i="2"/>
  <c r="V128" i="2"/>
  <c r="Y152" i="2"/>
  <c r="Y153" i="2" s="1"/>
  <c r="V118" i="2"/>
  <c r="W108" i="2"/>
  <c r="V110" i="2"/>
  <c r="W154" i="2"/>
  <c r="X144" i="2"/>
  <c r="V172" i="2"/>
  <c r="W162" i="2"/>
  <c r="V164" i="2"/>
  <c r="AA169" i="2"/>
  <c r="AA138" i="2"/>
  <c r="AA156" i="2"/>
  <c r="AA151" i="2"/>
  <c r="AA133" i="2"/>
  <c r="AA120" i="2"/>
  <c r="AA102" i="2"/>
  <c r="AA115" i="2"/>
  <c r="Y134" i="2"/>
  <c r="Y135" i="2" s="1"/>
  <c r="Y170" i="2"/>
  <c r="Y171" i="2" s="1"/>
  <c r="X146" i="4"/>
  <c r="X141" i="4"/>
  <c r="X99" i="2"/>
  <c r="AA883" i="2"/>
  <c r="AA84" i="2"/>
  <c r="AA97" i="2"/>
  <c r="W100" i="2"/>
  <c r="X90" i="2"/>
  <c r="Y98" i="2"/>
  <c r="AA595" i="2"/>
  <c r="W513" i="2"/>
  <c r="W119" i="4"/>
  <c r="AA577" i="2"/>
  <c r="W174" i="4"/>
  <c r="W38" i="1"/>
  <c r="AA603" i="2"/>
  <c r="W90" i="10"/>
  <c r="AA489" i="2"/>
  <c r="AA497" i="2"/>
  <c r="W55" i="10"/>
  <c r="W682" i="2"/>
  <c r="W4" i="5"/>
  <c r="W464" i="2"/>
  <c r="W313" i="4"/>
  <c r="W1" i="10"/>
  <c r="W271" i="4"/>
  <c r="W102" i="10"/>
  <c r="W1" i="5"/>
  <c r="W80" i="2"/>
  <c r="S114" i="10"/>
  <c r="S122" i="10"/>
  <c r="W1" i="2"/>
  <c r="W891" i="2"/>
  <c r="W332" i="2"/>
  <c r="W222" i="4"/>
  <c r="AC48" i="1"/>
  <c r="AC288" i="4"/>
  <c r="AC50" i="1"/>
  <c r="AC246" i="4"/>
  <c r="AC197" i="4"/>
  <c r="AC47" i="1"/>
  <c r="AD43" i="1"/>
  <c r="AC49" i="1"/>
  <c r="AA13" i="2"/>
  <c r="AA157" i="2" s="1"/>
  <c r="AA12" i="2"/>
  <c r="AA121" i="2" s="1"/>
  <c r="AA14" i="2"/>
  <c r="AA139" i="2" s="1"/>
  <c r="W138" i="4"/>
  <c r="W14" i="1"/>
  <c r="AD87" i="1"/>
  <c r="AC91" i="1"/>
  <c r="AA236" i="4"/>
  <c r="AA187" i="4"/>
  <c r="AF86" i="1"/>
  <c r="AA289" i="4"/>
  <c r="T120" i="10"/>
  <c r="U107" i="10"/>
  <c r="U118" i="10" s="1"/>
  <c r="AE81" i="1"/>
  <c r="AF79" i="1"/>
  <c r="W826" i="2"/>
  <c r="W37" i="4"/>
  <c r="W880" i="2"/>
  <c r="W73" i="4"/>
  <c r="W68" i="1"/>
  <c r="W862" i="2"/>
  <c r="W841" i="2"/>
  <c r="W1" i="4"/>
  <c r="W42" i="2"/>
  <c r="AA59" i="1"/>
  <c r="AA590" i="2"/>
  <c r="AA83" i="4"/>
  <c r="AA247" i="4"/>
  <c r="U111" i="10"/>
  <c r="AB2" i="2"/>
  <c r="AB2" i="4"/>
  <c r="AB108" i="4" s="1"/>
  <c r="AB2" i="10"/>
  <c r="AC25" i="1"/>
  <c r="AB2" i="1"/>
  <c r="AB45" i="1" s="1"/>
  <c r="AB2" i="5"/>
  <c r="W113" i="1"/>
  <c r="W1" i="1"/>
  <c r="W952" i="2"/>
  <c r="W615" i="2"/>
  <c r="W4" i="4"/>
  <c r="W4" i="2"/>
  <c r="Z858" i="2"/>
  <c r="AA857" i="2"/>
  <c r="AA856" i="2" s="1"/>
  <c r="AB849" i="2"/>
  <c r="AB848" i="2" s="1"/>
  <c r="AA850" i="2"/>
  <c r="AB54" i="1"/>
  <c r="AA55" i="1"/>
  <c r="AA53" i="1" s="1"/>
  <c r="AC62" i="10"/>
  <c r="AC57" i="10"/>
  <c r="X47" i="4"/>
  <c r="H42" i="7" s="1"/>
  <c r="Z621" i="2"/>
  <c r="X34" i="1"/>
  <c r="X55" i="2" s="1"/>
  <c r="Y627" i="2"/>
  <c r="Z626" i="2"/>
  <c r="V178" i="4"/>
  <c r="W131" i="1"/>
  <c r="Y86" i="4"/>
  <c r="Z65" i="10"/>
  <c r="M88" i="4"/>
  <c r="M981" i="2"/>
  <c r="N77" i="10"/>
  <c r="X592" i="2"/>
  <c r="X14" i="4" s="1"/>
  <c r="H12" i="7" s="1"/>
  <c r="Y588" i="2"/>
  <c r="Y90" i="4"/>
  <c r="Z93" i="10"/>
  <c r="M85" i="10"/>
  <c r="M20" i="4"/>
  <c r="Y82" i="4"/>
  <c r="Z97" i="10"/>
  <c r="Q70" i="10"/>
  <c r="Z124" i="10"/>
  <c r="Y663" i="2"/>
  <c r="Z662" i="2"/>
  <c r="AA593" i="2"/>
  <c r="Z638" i="2"/>
  <c r="Z499" i="2"/>
  <c r="AA495" i="2"/>
  <c r="Y651" i="2"/>
  <c r="Z650" i="2"/>
  <c r="Y29" i="1"/>
  <c r="Z26" i="1"/>
  <c r="Y28" i="1"/>
  <c r="Y27" i="1"/>
  <c r="Z606" i="2"/>
  <c r="Z656" i="2"/>
  <c r="Z657" i="2" s="1"/>
  <c r="Y668" i="2"/>
  <c r="Z667" i="2"/>
  <c r="AA582" i="2"/>
  <c r="Z140" i="1"/>
  <c r="X317" i="4"/>
  <c r="Y146" i="1"/>
  <c r="Y102" i="4"/>
  <c r="Z125" i="10"/>
  <c r="Z673" i="2"/>
  <c r="AA672" i="2"/>
  <c r="AA111" i="4"/>
  <c r="Y275" i="4"/>
  <c r="Z123" i="1"/>
  <c r="Y621" i="2"/>
  <c r="Z632" i="2"/>
  <c r="X491" i="2"/>
  <c r="X13" i="4" s="1"/>
  <c r="Y487" i="2"/>
  <c r="Z644" i="2"/>
  <c r="Y639" i="2"/>
  <c r="Y226" i="4"/>
  <c r="Z120" i="1"/>
  <c r="AA601" i="2"/>
  <c r="G199" i="4"/>
  <c r="G215" i="4"/>
  <c r="G216" i="4" s="1"/>
  <c r="G217" i="4"/>
  <c r="K993" i="2"/>
  <c r="I30" i="4"/>
  <c r="G283" i="4"/>
  <c r="J988" i="2"/>
  <c r="G191" i="4"/>
  <c r="I328" i="4"/>
  <c r="I1013" i="2"/>
  <c r="I666" i="2" s="1"/>
  <c r="I665" i="2" s="1"/>
  <c r="I325" i="4" l="1"/>
  <c r="I337" i="4" s="1"/>
  <c r="Y34" i="1"/>
  <c r="Y55" i="2" s="1"/>
  <c r="AB83" i="4"/>
  <c r="AB92" i="4"/>
  <c r="O704" i="2"/>
  <c r="N785" i="2"/>
  <c r="X709" i="2"/>
  <c r="W822" i="2"/>
  <c r="H33" i="4"/>
  <c r="D28" i="7" s="1"/>
  <c r="D25" i="7"/>
  <c r="H151" i="4"/>
  <c r="H112" i="4"/>
  <c r="H114" i="4" s="1"/>
  <c r="H159" i="4" s="1"/>
  <c r="N780" i="2"/>
  <c r="N701" i="2"/>
  <c r="N796" i="2"/>
  <c r="O731" i="2"/>
  <c r="N800" i="2"/>
  <c r="O735" i="2"/>
  <c r="AB247" i="4"/>
  <c r="AB289" i="4"/>
  <c r="AB198" i="4"/>
  <c r="AB103" i="4"/>
  <c r="L148" i="4"/>
  <c r="L17" i="4"/>
  <c r="H99" i="4"/>
  <c r="H104" i="4" s="1"/>
  <c r="H676" i="2"/>
  <c r="H677" i="2" s="1"/>
  <c r="H678" i="2" s="1"/>
  <c r="H49" i="4"/>
  <c r="D38" i="7"/>
  <c r="M979" i="2"/>
  <c r="M976" i="2" s="1"/>
  <c r="M87" i="4"/>
  <c r="AA406" i="2"/>
  <c r="AA413" i="2" s="1"/>
  <c r="T458" i="2"/>
  <c r="T649" i="2" s="1"/>
  <c r="T647" i="2" s="1"/>
  <c r="T97" i="4" s="1"/>
  <c r="X973" i="2"/>
  <c r="W454" i="2"/>
  <c r="Z341" i="2"/>
  <c r="X455" i="2"/>
  <c r="X631" i="2" s="1"/>
  <c r="X629" i="2" s="1"/>
  <c r="X80" i="4" s="1"/>
  <c r="W279" i="4"/>
  <c r="Z423" i="2"/>
  <c r="Z424" i="2" s="1"/>
  <c r="Z418" i="2" s="1"/>
  <c r="AB422" i="2"/>
  <c r="AB405" i="2"/>
  <c r="AB416" i="2"/>
  <c r="AB414" i="2"/>
  <c r="AB409" i="2"/>
  <c r="AB411" i="2"/>
  <c r="AB407" i="2"/>
  <c r="Q959" i="2"/>
  <c r="Q324" i="4"/>
  <c r="R867" i="2"/>
  <c r="R869" i="2" s="1"/>
  <c r="R873" i="2" s="1"/>
  <c r="R963" i="2" s="1"/>
  <c r="R972" i="2" s="1"/>
  <c r="R958" i="2" s="1"/>
  <c r="O998" i="2"/>
  <c r="O999" i="2" s="1"/>
  <c r="O333" i="4" s="1"/>
  <c r="O334" i="4"/>
  <c r="Q872" i="2"/>
  <c r="Q26" i="4" s="1"/>
  <c r="Y962" i="2"/>
  <c r="W229" i="4"/>
  <c r="O1006" i="2"/>
  <c r="O1007" i="2" s="1"/>
  <c r="O1008" i="2" s="1"/>
  <c r="O1002" i="2" s="1"/>
  <c r="O1003" i="2" s="1"/>
  <c r="N1003" i="2"/>
  <c r="N1004" i="2" s="1"/>
  <c r="N335" i="4" s="1"/>
  <c r="H53" i="7"/>
  <c r="X279" i="4"/>
  <c r="X229" i="4"/>
  <c r="X182" i="4"/>
  <c r="Z797" i="2"/>
  <c r="Z790" i="2" s="1"/>
  <c r="Z53" i="4" s="1"/>
  <c r="Y52" i="4"/>
  <c r="Y817" i="2"/>
  <c r="AA739" i="2"/>
  <c r="AA733" i="2"/>
  <c r="Z804" i="2"/>
  <c r="Z962" i="2" s="1"/>
  <c r="H51" i="7"/>
  <c r="AB294" i="2"/>
  <c r="AB221" i="2"/>
  <c r="AB276" i="2"/>
  <c r="AB312" i="2"/>
  <c r="AB257" i="2"/>
  <c r="AB239" i="2"/>
  <c r="AB166" i="2"/>
  <c r="AB112" i="2"/>
  <c r="AB203" i="2"/>
  <c r="AB185" i="2"/>
  <c r="AB130" i="2"/>
  <c r="AB94" i="2"/>
  <c r="AB352" i="2"/>
  <c r="AB148" i="2"/>
  <c r="AB548" i="2"/>
  <c r="AB399" i="2"/>
  <c r="AB378" i="2"/>
  <c r="AB567" i="2"/>
  <c r="AB556" i="2"/>
  <c r="AB537" i="2"/>
  <c r="AB521" i="2"/>
  <c r="AB692" i="2"/>
  <c r="AB442" i="2"/>
  <c r="AB750" i="2"/>
  <c r="AB529" i="2"/>
  <c r="AB722" i="2"/>
  <c r="AC72" i="1"/>
  <c r="AA708" i="2"/>
  <c r="AA789" i="2" s="1"/>
  <c r="AA702" i="2"/>
  <c r="AA782" i="2" s="1"/>
  <c r="Z776" i="2"/>
  <c r="AA767" i="2"/>
  <c r="AA761" i="2"/>
  <c r="Y818" i="2"/>
  <c r="Y968" i="2" s="1"/>
  <c r="Z599" i="2"/>
  <c r="Z605" i="2" s="1"/>
  <c r="Z15" i="4" s="1"/>
  <c r="AA569" i="2"/>
  <c r="AA565" i="2" s="1"/>
  <c r="AA599" i="2" s="1"/>
  <c r="AA605" i="2" s="1"/>
  <c r="AA15" i="4" s="1"/>
  <c r="X611" i="2"/>
  <c r="R109" i="4"/>
  <c r="Q25" i="4"/>
  <c r="AA550" i="2"/>
  <c r="AA546" i="2" s="1"/>
  <c r="AA551" i="2" s="1"/>
  <c r="G947" i="2"/>
  <c r="H68" i="4"/>
  <c r="G887" i="2"/>
  <c r="G75" i="4"/>
  <c r="G84" i="4" s="1"/>
  <c r="G163" i="4" s="1"/>
  <c r="M145" i="4"/>
  <c r="G239" i="4"/>
  <c r="G232" i="4"/>
  <c r="Y965" i="2"/>
  <c r="Y597" i="2"/>
  <c r="Y585" i="2"/>
  <c r="AA539" i="2"/>
  <c r="AA535" i="2" s="1"/>
  <c r="AA540" i="2" s="1"/>
  <c r="Z587" i="2"/>
  <c r="AA531" i="2"/>
  <c r="AA527" i="2" s="1"/>
  <c r="AA532" i="2" s="1"/>
  <c r="Z586" i="2"/>
  <c r="AA558" i="2"/>
  <c r="AA554" i="2" s="1"/>
  <c r="AA559" i="2" s="1"/>
  <c r="Z574" i="2"/>
  <c r="Y572" i="2"/>
  <c r="Z573" i="2"/>
  <c r="AA523" i="2"/>
  <c r="AA519" i="2" s="1"/>
  <c r="AA427" i="2"/>
  <c r="AA428" i="2" s="1"/>
  <c r="AA435" i="2" s="1"/>
  <c r="U372" i="2"/>
  <c r="R122" i="4"/>
  <c r="R934" i="2"/>
  <c r="P869" i="2"/>
  <c r="P873" i="2" s="1"/>
  <c r="P963" i="2" s="1"/>
  <c r="P972" i="2" s="1"/>
  <c r="P872" i="2"/>
  <c r="R278" i="4"/>
  <c r="R126" i="4"/>
  <c r="R181" i="4"/>
  <c r="S923" i="2"/>
  <c r="S921" i="2" s="1"/>
  <c r="S937" i="2"/>
  <c r="S21" i="4" s="1"/>
  <c r="R945" i="2"/>
  <c r="U904" i="2"/>
  <c r="U902" i="2" s="1"/>
  <c r="P943" i="2"/>
  <c r="Q912" i="2"/>
  <c r="AB905" i="2"/>
  <c r="AB924" i="2"/>
  <c r="AB931" i="2"/>
  <c r="AB932" i="2" s="1"/>
  <c r="V42" i="4"/>
  <c r="X608" i="2"/>
  <c r="W610" i="2"/>
  <c r="AB568" i="2"/>
  <c r="AB557" i="2"/>
  <c r="AB549" i="2"/>
  <c r="W579" i="2"/>
  <c r="W10" i="4" s="1"/>
  <c r="X575" i="2"/>
  <c r="W584" i="2"/>
  <c r="X580" i="2"/>
  <c r="AB538" i="2"/>
  <c r="AB530" i="2"/>
  <c r="AB522" i="2"/>
  <c r="Z446" i="2"/>
  <c r="Z440" i="2" s="1"/>
  <c r="X345" i="2"/>
  <c r="X355" i="2" s="1"/>
  <c r="AB444" i="2"/>
  <c r="AB436" i="2"/>
  <c r="AB431" i="2"/>
  <c r="AB429" i="2"/>
  <c r="AB438" i="2"/>
  <c r="AB426" i="2"/>
  <c r="AB433" i="2"/>
  <c r="AA337" i="2"/>
  <c r="AA385" i="2"/>
  <c r="AA392" i="2" s="1"/>
  <c r="Y339" i="2"/>
  <c r="V356" i="2"/>
  <c r="V453" i="2" s="1"/>
  <c r="U964" i="2"/>
  <c r="Z30" i="2"/>
  <c r="W356" i="2"/>
  <c r="Z38" i="2"/>
  <c r="Z336" i="2" s="1"/>
  <c r="Z338" i="2" s="1"/>
  <c r="Z451" i="2" s="1"/>
  <c r="AB401" i="2"/>
  <c r="AB17" i="2"/>
  <c r="AB388" i="2"/>
  <c r="AB21" i="2"/>
  <c r="AB386" i="2"/>
  <c r="AB20" i="2"/>
  <c r="AB390" i="2"/>
  <c r="AB19" i="2"/>
  <c r="AB18" i="2"/>
  <c r="AB393" i="2"/>
  <c r="AB395" i="2"/>
  <c r="AA27" i="2"/>
  <c r="AA35" i="2"/>
  <c r="AA29" i="2"/>
  <c r="AA37" i="2"/>
  <c r="Z402" i="2"/>
  <c r="Z403" i="2" s="1"/>
  <c r="Z397" i="2" s="1"/>
  <c r="AA26" i="2"/>
  <c r="AA34" i="2"/>
  <c r="AA25" i="2"/>
  <c r="AA22" i="2"/>
  <c r="AA33" i="2"/>
  <c r="AA28" i="2"/>
  <c r="AA36" i="2"/>
  <c r="AA470" i="2"/>
  <c r="AA471" i="2" s="1"/>
  <c r="AA304" i="2"/>
  <c r="AA305" i="2" s="1"/>
  <c r="X346" i="2"/>
  <c r="S450" i="2"/>
  <c r="R460" i="2"/>
  <c r="V348" i="2"/>
  <c r="U350" i="2"/>
  <c r="AB354" i="2"/>
  <c r="AB343" i="2"/>
  <c r="Z759" i="2"/>
  <c r="Z760" i="2" s="1"/>
  <c r="AA231" i="2"/>
  <c r="AA232" i="2" s="1"/>
  <c r="U8" i="4"/>
  <c r="W382" i="2"/>
  <c r="T142" i="4"/>
  <c r="T167" i="4"/>
  <c r="T7" i="4"/>
  <c r="T11" i="4" s="1"/>
  <c r="G10" i="7" s="1"/>
  <c r="Y369" i="2"/>
  <c r="Y456" i="2" s="1"/>
  <c r="Y367" i="2"/>
  <c r="Y457" i="2" s="1"/>
  <c r="Y365" i="2"/>
  <c r="X371" i="2"/>
  <c r="X381" i="2" s="1"/>
  <c r="T655" i="2"/>
  <c r="U374" i="2"/>
  <c r="U459" i="2" s="1"/>
  <c r="T376" i="2"/>
  <c r="T452" i="2" s="1"/>
  <c r="S653" i="2"/>
  <c r="S675" i="2" s="1"/>
  <c r="S77" i="4"/>
  <c r="V955" i="2"/>
  <c r="V321" i="4" s="1"/>
  <c r="V449" i="2"/>
  <c r="AA177" i="2"/>
  <c r="AA178" i="2" s="1"/>
  <c r="AA364" i="2"/>
  <c r="Z763" i="2"/>
  <c r="Z764" i="2" s="1"/>
  <c r="Z768" i="2"/>
  <c r="AB380" i="2"/>
  <c r="Z794" i="2"/>
  <c r="Z671" i="2" s="1"/>
  <c r="Z670" i="2" s="1"/>
  <c r="Z98" i="4" s="1"/>
  <c r="W508" i="2"/>
  <c r="W41" i="4" s="1"/>
  <c r="Z472" i="2"/>
  <c r="Z478" i="2" s="1"/>
  <c r="Z503" i="2" s="1"/>
  <c r="Z477" i="2"/>
  <c r="AA757" i="2"/>
  <c r="AA755" i="2"/>
  <c r="AA762" i="2" s="1"/>
  <c r="X479" i="2"/>
  <c r="W643" i="2"/>
  <c r="W641" i="2" s="1"/>
  <c r="W78" i="4" s="1"/>
  <c r="W166" i="4" s="1"/>
  <c r="AA501" i="2"/>
  <c r="X504" i="2"/>
  <c r="X661" i="2" s="1"/>
  <c r="X659" i="2" s="1"/>
  <c r="X100" i="4" s="1"/>
  <c r="X500" i="2"/>
  <c r="AA249" i="2"/>
  <c r="AA250" i="2" s="1"/>
  <c r="AA268" i="2"/>
  <c r="AA269" i="2" s="1"/>
  <c r="X481" i="2"/>
  <c r="W637" i="2"/>
  <c r="W635" i="2" s="1"/>
  <c r="W79" i="4" s="1"/>
  <c r="X509" i="2"/>
  <c r="X986" i="2" s="1"/>
  <c r="X331" i="4" s="1"/>
  <c r="Y502" i="2"/>
  <c r="Y476" i="2"/>
  <c r="W483" i="2"/>
  <c r="W9" i="4" s="1"/>
  <c r="Y984" i="2"/>
  <c r="Y332" i="4" s="1"/>
  <c r="Y506" i="2"/>
  <c r="Y985" i="2" s="1"/>
  <c r="AB744" i="2"/>
  <c r="AB758" i="2" s="1"/>
  <c r="AB474" i="2"/>
  <c r="Z91" i="4"/>
  <c r="AA195" i="2"/>
  <c r="AA196" i="2" s="1"/>
  <c r="AA699" i="2"/>
  <c r="AA779" i="2" s="1"/>
  <c r="Y798" i="2"/>
  <c r="Y970" i="2" s="1"/>
  <c r="AA697" i="2"/>
  <c r="AA703" i="2" s="1"/>
  <c r="AA783" i="2" s="1"/>
  <c r="AA213" i="2"/>
  <c r="AA214" i="2" s="1"/>
  <c r="Z734" i="2"/>
  <c r="AB689" i="2"/>
  <c r="AB697" i="2" s="1"/>
  <c r="AB716" i="2"/>
  <c r="Z740" i="2"/>
  <c r="AA727" i="2"/>
  <c r="AA729" i="2"/>
  <c r="AA730" i="2"/>
  <c r="AA140" i="2"/>
  <c r="AA141" i="2" s="1"/>
  <c r="AA778" i="2"/>
  <c r="Y179" i="2"/>
  <c r="AA158" i="2"/>
  <c r="AA159" i="2" s="1"/>
  <c r="AA86" i="2"/>
  <c r="AA87" i="2" s="1"/>
  <c r="AA286" i="2"/>
  <c r="AA287" i="2" s="1"/>
  <c r="Y160" i="2"/>
  <c r="Y197" i="2"/>
  <c r="Z316" i="2"/>
  <c r="Z317" i="2" s="1"/>
  <c r="Y124" i="2"/>
  <c r="Z298" i="2"/>
  <c r="Y251" i="2"/>
  <c r="Y233" i="2"/>
  <c r="Z261" i="2"/>
  <c r="Z262" i="2" s="1"/>
  <c r="Z251" i="2" s="1"/>
  <c r="Y215" i="2"/>
  <c r="Y142" i="2"/>
  <c r="Y306" i="2"/>
  <c r="Y106" i="2"/>
  <c r="Y288" i="2"/>
  <c r="Z321" i="2"/>
  <c r="Z6" i="4" s="1"/>
  <c r="X322" i="2"/>
  <c r="W325" i="2"/>
  <c r="V326" i="2"/>
  <c r="V961" i="2" s="1"/>
  <c r="U323" i="2"/>
  <c r="U328" i="2" s="1"/>
  <c r="T328" i="2"/>
  <c r="Y327" i="2"/>
  <c r="Y954" i="2" s="1"/>
  <c r="Y320" i="4" s="1"/>
  <c r="X318" i="2"/>
  <c r="Y308" i="2"/>
  <c r="X310" i="2"/>
  <c r="AB297" i="2"/>
  <c r="AB315" i="2"/>
  <c r="AB302" i="2"/>
  <c r="AB284" i="2"/>
  <c r="AB266" i="2"/>
  <c r="AB279" i="2"/>
  <c r="Z280" i="2"/>
  <c r="Z281" i="2" s="1"/>
  <c r="AA104" i="2"/>
  <c r="AA105" i="2" s="1"/>
  <c r="X282" i="2"/>
  <c r="Y272" i="2"/>
  <c r="X300" i="2"/>
  <c r="X292" i="2"/>
  <c r="Y290" i="2"/>
  <c r="X274" i="2"/>
  <c r="U76" i="4"/>
  <c r="U165" i="4" s="1"/>
  <c r="V619" i="2"/>
  <c r="V617" i="2" s="1"/>
  <c r="V92" i="2"/>
  <c r="W88" i="2"/>
  <c r="W324" i="2" s="1"/>
  <c r="X237" i="2"/>
  <c r="Z189" i="2"/>
  <c r="Z190" i="2" s="1"/>
  <c r="W191" i="2"/>
  <c r="X181" i="2"/>
  <c r="W183" i="2"/>
  <c r="W227" i="2"/>
  <c r="X217" i="2"/>
  <c r="W219" i="2"/>
  <c r="W209" i="2"/>
  <c r="X199" i="2"/>
  <c r="W201" i="2"/>
  <c r="Z225" i="2"/>
  <c r="Z226" i="2" s="1"/>
  <c r="Z243" i="2"/>
  <c r="Z244" i="2" s="1"/>
  <c r="AB260" i="2"/>
  <c r="AB247" i="2"/>
  <c r="AB229" i="2"/>
  <c r="AB224" i="2"/>
  <c r="AB242" i="2"/>
  <c r="AB206" i="2"/>
  <c r="AB193" i="2"/>
  <c r="AB211" i="2"/>
  <c r="AB175" i="2"/>
  <c r="AB188" i="2"/>
  <c r="Z207" i="2"/>
  <c r="Z208" i="2" s="1"/>
  <c r="W263" i="2"/>
  <c r="X253" i="2"/>
  <c r="X245" i="2"/>
  <c r="Y235" i="2"/>
  <c r="AA122" i="2"/>
  <c r="AA123" i="2" s="1"/>
  <c r="T101" i="4"/>
  <c r="U961" i="2"/>
  <c r="U623" i="2"/>
  <c r="U101" i="4"/>
  <c r="W136" i="2"/>
  <c r="X126" i="2"/>
  <c r="W128" i="2"/>
  <c r="W118" i="2"/>
  <c r="X108" i="2"/>
  <c r="W110" i="2"/>
  <c r="Z170" i="2"/>
  <c r="W172" i="2"/>
  <c r="X162" i="2"/>
  <c r="W164" i="2"/>
  <c r="Z134" i="2"/>
  <c r="AB169" i="2"/>
  <c r="AB156" i="2"/>
  <c r="AB151" i="2"/>
  <c r="AB115" i="2"/>
  <c r="AB133" i="2"/>
  <c r="AB138" i="2"/>
  <c r="AB120" i="2"/>
  <c r="AB102" i="2"/>
  <c r="Z152" i="2"/>
  <c r="Z153" i="2" s="1"/>
  <c r="X154" i="2"/>
  <c r="Y144" i="2"/>
  <c r="X146" i="2"/>
  <c r="Z116" i="2"/>
  <c r="Z117" i="2" s="1"/>
  <c r="Y146" i="4"/>
  <c r="Y141" i="4"/>
  <c r="Y99" i="2"/>
  <c r="Y322" i="2" s="1"/>
  <c r="Z98" i="2"/>
  <c r="AB97" i="2"/>
  <c r="AB84" i="2"/>
  <c r="X100" i="2"/>
  <c r="Y90" i="2"/>
  <c r="AB497" i="2"/>
  <c r="AB577" i="2"/>
  <c r="AB883" i="2"/>
  <c r="AE87" i="1"/>
  <c r="AD91" i="1"/>
  <c r="AB236" i="4"/>
  <c r="I80" i="7" s="1"/>
  <c r="AB294" i="4"/>
  <c r="AB203" i="4"/>
  <c r="AB252" i="4"/>
  <c r="AB187" i="4"/>
  <c r="AB590" i="2"/>
  <c r="AB113" i="4"/>
  <c r="AB14" i="2"/>
  <c r="AB139" i="2" s="1"/>
  <c r="AB13" i="2"/>
  <c r="AB157" i="2" s="1"/>
  <c r="AB12" i="2"/>
  <c r="AB121" i="2" s="1"/>
  <c r="U116" i="10"/>
  <c r="U112" i="10"/>
  <c r="U117" i="10" s="1"/>
  <c r="T114" i="10"/>
  <c r="T122" i="10"/>
  <c r="AB59" i="1"/>
  <c r="AG86" i="1"/>
  <c r="AB489" i="2"/>
  <c r="AB603" i="2"/>
  <c r="AF81" i="1"/>
  <c r="AG79" i="1"/>
  <c r="AE43" i="1"/>
  <c r="AD197" i="4"/>
  <c r="AD48" i="1"/>
  <c r="AD50" i="1"/>
  <c r="AD246" i="4"/>
  <c r="AD288" i="4"/>
  <c r="AD47" i="1"/>
  <c r="AD49" i="1"/>
  <c r="AC2" i="1"/>
  <c r="AC45" i="1" s="1"/>
  <c r="AD25" i="1"/>
  <c r="AC2" i="5"/>
  <c r="AC2" i="4"/>
  <c r="AC2" i="2"/>
  <c r="AC2" i="10"/>
  <c r="AB595" i="2"/>
  <c r="AB44" i="1"/>
  <c r="AC44" i="1" s="1"/>
  <c r="X4" i="2"/>
  <c r="X42" i="2"/>
  <c r="AB850" i="2"/>
  <c r="AC849" i="2"/>
  <c r="AC848" i="2" s="1"/>
  <c r="AB857" i="2"/>
  <c r="AB856" i="2" s="1"/>
  <c r="AA858" i="2"/>
  <c r="AC54" i="1"/>
  <c r="AB55" i="1"/>
  <c r="AB53" i="1" s="1"/>
  <c r="AD62" i="10"/>
  <c r="AD57" i="10"/>
  <c r="AA606" i="2"/>
  <c r="AA499" i="2"/>
  <c r="AB495" i="2"/>
  <c r="N78" i="10"/>
  <c r="Z627" i="2"/>
  <c r="AA626" i="2"/>
  <c r="Q71" i="10"/>
  <c r="Q72" i="10" s="1"/>
  <c r="Z82" i="4"/>
  <c r="AA97" i="10"/>
  <c r="Z86" i="4"/>
  <c r="AA65" i="10"/>
  <c r="AA621" i="2"/>
  <c r="AA140" i="1"/>
  <c r="AA124" i="10"/>
  <c r="X4" i="5"/>
  <c r="X1" i="5"/>
  <c r="X174" i="4"/>
  <c r="X138" i="4"/>
  <c r="X313" i="4"/>
  <c r="X222" i="4"/>
  <c r="X119" i="4"/>
  <c r="X73" i="4"/>
  <c r="X4" i="4"/>
  <c r="X271" i="4"/>
  <c r="X1" i="4"/>
  <c r="X37" i="4"/>
  <c r="X880" i="2"/>
  <c r="X615" i="2"/>
  <c r="X80" i="2"/>
  <c r="X332" i="2"/>
  <c r="X1" i="2"/>
  <c r="X891" i="2"/>
  <c r="X862" i="2"/>
  <c r="X1" i="10"/>
  <c r="X102" i="10"/>
  <c r="X682" i="2"/>
  <c r="X68" i="1"/>
  <c r="X90" i="10"/>
  <c r="X841" i="2"/>
  <c r="X113" i="1"/>
  <c r="X14" i="1"/>
  <c r="X826" i="2"/>
  <c r="X952" i="2"/>
  <c r="X55" i="10"/>
  <c r="X513" i="2"/>
  <c r="X464" i="2"/>
  <c r="X38" i="1"/>
  <c r="X1" i="1"/>
  <c r="Y592" i="2"/>
  <c r="Y14" i="4" s="1"/>
  <c r="Z588" i="2"/>
  <c r="Z668" i="2"/>
  <c r="AA667" i="2"/>
  <c r="Y491" i="2"/>
  <c r="Y13" i="4" s="1"/>
  <c r="Z487" i="2"/>
  <c r="AB111" i="4"/>
  <c r="Z102" i="4"/>
  <c r="AA125" i="10"/>
  <c r="Z663" i="2"/>
  <c r="AA662" i="2"/>
  <c r="M86" i="10"/>
  <c r="AB601" i="2"/>
  <c r="Y47" i="4"/>
  <c r="Z29" i="1"/>
  <c r="Z28" i="1"/>
  <c r="Z27" i="1"/>
  <c r="AA26" i="1"/>
  <c r="Z651" i="2"/>
  <c r="AA650" i="2"/>
  <c r="AA638" i="2"/>
  <c r="W178" i="4"/>
  <c r="X131" i="1"/>
  <c r="Z275" i="4"/>
  <c r="AA123" i="1"/>
  <c r="Z639" i="2"/>
  <c r="AB593" i="2"/>
  <c r="Z226" i="4"/>
  <c r="AA120" i="1"/>
  <c r="AA644" i="2"/>
  <c r="AA645" i="2" s="1"/>
  <c r="AA632" i="2"/>
  <c r="AA673" i="2"/>
  <c r="AB672" i="2"/>
  <c r="Y317" i="4"/>
  <c r="Z146" i="1"/>
  <c r="AA656" i="2"/>
  <c r="AA657" i="2" s="1"/>
  <c r="Z645" i="2"/>
  <c r="Z633" i="2"/>
  <c r="AB582" i="2"/>
  <c r="Z90" i="4"/>
  <c r="AA93" i="10"/>
  <c r="G218" i="4"/>
  <c r="G192" i="4"/>
  <c r="J29" i="4"/>
  <c r="J989" i="2"/>
  <c r="J326" i="4"/>
  <c r="J1011" i="2"/>
  <c r="K994" i="2"/>
  <c r="L993" i="2" s="1"/>
  <c r="K327" i="4"/>
  <c r="I99" i="4"/>
  <c r="I676" i="2"/>
  <c r="I677" i="2" s="1"/>
  <c r="I43" i="4"/>
  <c r="I33" i="4"/>
  <c r="I151" i="4"/>
  <c r="Y55" i="10" l="1"/>
  <c r="Y952" i="2"/>
  <c r="Y1" i="2"/>
  <c r="Y4" i="4"/>
  <c r="Y14" i="1"/>
  <c r="Y68" i="1"/>
  <c r="Y513" i="2"/>
  <c r="Y1" i="4"/>
  <c r="Y1" i="5"/>
  <c r="Y113" i="1"/>
  <c r="Y891" i="2"/>
  <c r="Y826" i="2"/>
  <c r="Y80" i="2"/>
  <c r="Y682" i="2"/>
  <c r="Y37" i="4"/>
  <c r="Y73" i="4"/>
  <c r="Y271" i="4"/>
  <c r="Y42" i="2"/>
  <c r="I112" i="4"/>
  <c r="I678" i="2"/>
  <c r="Y38" i="1"/>
  <c r="Y1" i="10"/>
  <c r="Y90" i="10"/>
  <c r="Y1" i="1"/>
  <c r="Y332" i="2"/>
  <c r="Y102" i="10"/>
  <c r="Y615" i="2"/>
  <c r="Y464" i="2"/>
  <c r="Y880" i="2"/>
  <c r="Y862" i="2"/>
  <c r="Y841" i="2"/>
  <c r="Y174" i="4"/>
  <c r="Y119" i="4"/>
  <c r="Y313" i="4"/>
  <c r="Y138" i="4"/>
  <c r="Y222" i="4"/>
  <c r="Y4" i="5"/>
  <c r="Y4" i="2"/>
  <c r="H116" i="4"/>
  <c r="AC198" i="4"/>
  <c r="AC247" i="4"/>
  <c r="M330" i="4"/>
  <c r="M977" i="2"/>
  <c r="M978" i="2" s="1"/>
  <c r="M329" i="4" s="1"/>
  <c r="M16" i="4"/>
  <c r="M148" i="4" s="1"/>
  <c r="AC92" i="4"/>
  <c r="AC289" i="4"/>
  <c r="AC83" i="4"/>
  <c r="D44" i="7"/>
  <c r="H277" i="4"/>
  <c r="H276" i="4" s="1"/>
  <c r="H125" i="4"/>
  <c r="H128" i="4" s="1"/>
  <c r="H948" i="2" s="1"/>
  <c r="H180" i="4"/>
  <c r="H179" i="4" s="1"/>
  <c r="H228" i="4"/>
  <c r="H67" i="4"/>
  <c r="O799" i="2"/>
  <c r="O736" i="2"/>
  <c r="O795" i="2"/>
  <c r="O732" i="2"/>
  <c r="H158" i="4"/>
  <c r="H130" i="4"/>
  <c r="AC108" i="4"/>
  <c r="AC113" i="4"/>
  <c r="E14" i="7"/>
  <c r="L121" i="4"/>
  <c r="L123" i="4" s="1"/>
  <c r="L152" i="4"/>
  <c r="L161" i="4"/>
  <c r="L189" i="4"/>
  <c r="L22" i="4"/>
  <c r="L238" i="4"/>
  <c r="O700" i="2"/>
  <c r="N781" i="2"/>
  <c r="Y709" i="2"/>
  <c r="X822" i="2"/>
  <c r="O784" i="2"/>
  <c r="O705" i="2"/>
  <c r="Y973" i="2"/>
  <c r="W453" i="2"/>
  <c r="W964" i="2" s="1"/>
  <c r="AB406" i="2"/>
  <c r="AB413" i="2" s="1"/>
  <c r="AB423" i="2" s="1"/>
  <c r="AB424" i="2" s="1"/>
  <c r="AB418" i="2" s="1"/>
  <c r="AA341" i="2"/>
  <c r="U458" i="2"/>
  <c r="U649" i="2" s="1"/>
  <c r="U647" i="2" s="1"/>
  <c r="U97" i="4" s="1"/>
  <c r="X454" i="2"/>
  <c r="H73" i="7"/>
  <c r="Y455" i="2"/>
  <c r="Y631" i="2" s="1"/>
  <c r="Y629" i="2" s="1"/>
  <c r="Y80" i="4" s="1"/>
  <c r="AC422" i="2"/>
  <c r="AC411" i="2"/>
  <c r="AC405" i="2"/>
  <c r="AC407" i="2"/>
  <c r="AC416" i="2"/>
  <c r="AC414" i="2"/>
  <c r="AC409" i="2"/>
  <c r="AA423" i="2"/>
  <c r="AA424" i="2" s="1"/>
  <c r="AA418" i="2" s="1"/>
  <c r="Q871" i="2"/>
  <c r="Q46" i="4" s="1"/>
  <c r="R872" i="2"/>
  <c r="O336" i="4"/>
  <c r="O1004" i="2"/>
  <c r="O335" i="4" s="1"/>
  <c r="P1006" i="2"/>
  <c r="Z818" i="2"/>
  <c r="Z968" i="2" s="1"/>
  <c r="AA776" i="2"/>
  <c r="Y58" i="4"/>
  <c r="AB739" i="2"/>
  <c r="AB733" i="2"/>
  <c r="AB767" i="2"/>
  <c r="AB761" i="2"/>
  <c r="AB708" i="2"/>
  <c r="AB789" i="2" s="1"/>
  <c r="AB702" i="2"/>
  <c r="AB782" i="2" s="1"/>
  <c r="AA797" i="2"/>
  <c r="AA790" i="2" s="1"/>
  <c r="AA53" i="4" s="1"/>
  <c r="AC276" i="2"/>
  <c r="AC312" i="2"/>
  <c r="AC239" i="2"/>
  <c r="AC166" i="2"/>
  <c r="AC112" i="2"/>
  <c r="AC221" i="2"/>
  <c r="AC203" i="2"/>
  <c r="AC185" i="2"/>
  <c r="AC352" i="2"/>
  <c r="AC148" i="2"/>
  <c r="AC294" i="2"/>
  <c r="AC257" i="2"/>
  <c r="AC94" i="2"/>
  <c r="AC130" i="2"/>
  <c r="AC399" i="2"/>
  <c r="AC378" i="2"/>
  <c r="AC567" i="2"/>
  <c r="AC556" i="2"/>
  <c r="AC537" i="2"/>
  <c r="AC521" i="2"/>
  <c r="AC692" i="2"/>
  <c r="AC529" i="2"/>
  <c r="AC750" i="2"/>
  <c r="AC722" i="2"/>
  <c r="AC548" i="2"/>
  <c r="AC442" i="2"/>
  <c r="AD72" i="1"/>
  <c r="AA804" i="2"/>
  <c r="AA962" i="2" s="1"/>
  <c r="Z56" i="4"/>
  <c r="Z817" i="2"/>
  <c r="Z52" i="4"/>
  <c r="G95" i="4"/>
  <c r="G117" i="4" s="1"/>
  <c r="AB569" i="2"/>
  <c r="AB565" i="2" s="1"/>
  <c r="AB599" i="2" s="1"/>
  <c r="AB605" i="2" s="1"/>
  <c r="AB15" i="4" s="1"/>
  <c r="I13" i="7" s="1"/>
  <c r="Z598" i="2"/>
  <c r="AA570" i="2"/>
  <c r="AA600" i="2" s="1"/>
  <c r="AA598" i="2" s="1"/>
  <c r="AB550" i="2"/>
  <c r="AB546" i="2" s="1"/>
  <c r="AB551" i="2" s="1"/>
  <c r="AB539" i="2"/>
  <c r="AB535" i="2" s="1"/>
  <c r="AB540" i="2" s="1"/>
  <c r="G6" i="7"/>
  <c r="G259" i="4"/>
  <c r="G248" i="4"/>
  <c r="G266" i="4"/>
  <c r="G267" i="4" s="1"/>
  <c r="G240" i="4"/>
  <c r="G264" i="4"/>
  <c r="G265" i="4" s="1"/>
  <c r="W143" i="4"/>
  <c r="J147" i="4"/>
  <c r="G233" i="4"/>
  <c r="Z585" i="2"/>
  <c r="AA573" i="2"/>
  <c r="Z965" i="2"/>
  <c r="AB558" i="2"/>
  <c r="AB554" i="2" s="1"/>
  <c r="AB559" i="2" s="1"/>
  <c r="AB531" i="2"/>
  <c r="AB527" i="2" s="1"/>
  <c r="AB532" i="2" s="1"/>
  <c r="Y611" i="2"/>
  <c r="AA586" i="2"/>
  <c r="AA587" i="2"/>
  <c r="Z597" i="2"/>
  <c r="Z572" i="2"/>
  <c r="AA524" i="2"/>
  <c r="AA574" i="2" s="1"/>
  <c r="U376" i="2"/>
  <c r="AB523" i="2"/>
  <c r="AB519" i="2" s="1"/>
  <c r="V372" i="2"/>
  <c r="AB427" i="2"/>
  <c r="AB428" i="2" s="1"/>
  <c r="AB435" i="2" s="1"/>
  <c r="AB445" i="2" s="1"/>
  <c r="AB446" i="2" s="1"/>
  <c r="AB440" i="2" s="1"/>
  <c r="V903" i="2"/>
  <c r="V904" i="2" s="1"/>
  <c r="W903" i="2" s="1"/>
  <c r="R25" i="4"/>
  <c r="S939" i="2"/>
  <c r="S106" i="4" s="1"/>
  <c r="S867" i="2" s="1"/>
  <c r="P26" i="4"/>
  <c r="F21" i="7" s="1"/>
  <c r="P871" i="2"/>
  <c r="P46" i="4" s="1"/>
  <c r="F41" i="7" s="1"/>
  <c r="P958" i="2"/>
  <c r="P974" i="2"/>
  <c r="T922" i="2"/>
  <c r="S938" i="2"/>
  <c r="S44" i="4" s="1"/>
  <c r="R324" i="4"/>
  <c r="R959" i="2"/>
  <c r="R960" i="2" s="1"/>
  <c r="R323" i="4" s="1"/>
  <c r="Q913" i="2"/>
  <c r="Q944" i="2"/>
  <c r="AC924" i="2"/>
  <c r="AC905" i="2"/>
  <c r="AC931" i="2"/>
  <c r="AC932" i="2" s="1"/>
  <c r="Y608" i="2"/>
  <c r="X610" i="2"/>
  <c r="W42" i="4"/>
  <c r="AC568" i="2"/>
  <c r="AC557" i="2"/>
  <c r="AC549" i="2"/>
  <c r="Y580" i="2"/>
  <c r="X584" i="2"/>
  <c r="X579" i="2"/>
  <c r="X10" i="4" s="1"/>
  <c r="X143" i="4" s="1"/>
  <c r="Y575" i="2"/>
  <c r="AC538" i="2"/>
  <c r="AC530" i="2"/>
  <c r="AC522" i="2"/>
  <c r="X356" i="2"/>
  <c r="AB337" i="2"/>
  <c r="U655" i="2"/>
  <c r="Y345" i="2"/>
  <c r="Y355" i="2" s="1"/>
  <c r="V964" i="2"/>
  <c r="AC426" i="2"/>
  <c r="AC444" i="2"/>
  <c r="AC438" i="2"/>
  <c r="AC436" i="2"/>
  <c r="AC429" i="2"/>
  <c r="AC431" i="2"/>
  <c r="AC433" i="2"/>
  <c r="AA445" i="2"/>
  <c r="AA446" i="2" s="1"/>
  <c r="AA440" i="2" s="1"/>
  <c r="AB385" i="2"/>
  <c r="AB392" i="2" s="1"/>
  <c r="Z339" i="2"/>
  <c r="AC18" i="2"/>
  <c r="AC17" i="2"/>
  <c r="AC401" i="2"/>
  <c r="AC395" i="2"/>
  <c r="AC386" i="2"/>
  <c r="AC21" i="2"/>
  <c r="AC388" i="2"/>
  <c r="AC20" i="2"/>
  <c r="AC393" i="2"/>
  <c r="AC390" i="2"/>
  <c r="AC19" i="2"/>
  <c r="AB27" i="2"/>
  <c r="AB35" i="2"/>
  <c r="AB29" i="2"/>
  <c r="AB37" i="2"/>
  <c r="AB25" i="2"/>
  <c r="AB22" i="2"/>
  <c r="AB33" i="2"/>
  <c r="AA38" i="2"/>
  <c r="AA336" i="2" s="1"/>
  <c r="AA338" i="2" s="1"/>
  <c r="AA451" i="2" s="1"/>
  <c r="AB28" i="2"/>
  <c r="AB36" i="2"/>
  <c r="AB26" i="2"/>
  <c r="AB34" i="2"/>
  <c r="AA30" i="2"/>
  <c r="AA402" i="2"/>
  <c r="AA403" i="2" s="1"/>
  <c r="AA397" i="2" s="1"/>
  <c r="AB304" i="2"/>
  <c r="AB305" i="2" s="1"/>
  <c r="AB470" i="2"/>
  <c r="AB471" i="2" s="1"/>
  <c r="S40" i="4"/>
  <c r="S460" i="2"/>
  <c r="W348" i="2"/>
  <c r="V350" i="2"/>
  <c r="Y346" i="2"/>
  <c r="T450" i="2"/>
  <c r="T40" i="4" s="1"/>
  <c r="AC354" i="2"/>
  <c r="AC343" i="2"/>
  <c r="AB231" i="2"/>
  <c r="AB232" i="2" s="1"/>
  <c r="AA759" i="2"/>
  <c r="AA760" i="2" s="1"/>
  <c r="AA763" i="2"/>
  <c r="AA764" i="2" s="1"/>
  <c r="Z367" i="2"/>
  <c r="Z457" i="2" s="1"/>
  <c r="V8" i="4"/>
  <c r="AA768" i="2"/>
  <c r="Z369" i="2"/>
  <c r="Z456" i="2" s="1"/>
  <c r="AB177" i="2"/>
  <c r="AB178" i="2" s="1"/>
  <c r="AB757" i="2"/>
  <c r="V374" i="2"/>
  <c r="V459" i="2" s="1"/>
  <c r="T77" i="4"/>
  <c r="T653" i="2"/>
  <c r="T675" i="2" s="1"/>
  <c r="AB755" i="2"/>
  <c r="AB762" i="2" s="1"/>
  <c r="Z365" i="2"/>
  <c r="Y371" i="2"/>
  <c r="Y381" i="2" s="1"/>
  <c r="W955" i="2"/>
  <c r="W321" i="4" s="1"/>
  <c r="W449" i="2"/>
  <c r="X382" i="2"/>
  <c r="U142" i="4"/>
  <c r="U167" i="4"/>
  <c r="U7" i="4"/>
  <c r="AC380" i="2"/>
  <c r="AB364" i="2"/>
  <c r="AA793" i="2"/>
  <c r="AA91" i="4" s="1"/>
  <c r="X508" i="2"/>
  <c r="X41" i="4" s="1"/>
  <c r="H36" i="7" s="1"/>
  <c r="Y479" i="2"/>
  <c r="X643" i="2"/>
  <c r="X641" i="2" s="1"/>
  <c r="X78" i="4" s="1"/>
  <c r="X166" i="4" s="1"/>
  <c r="W144" i="4"/>
  <c r="X483" i="2"/>
  <c r="X9" i="4" s="1"/>
  <c r="H8" i="7" s="1"/>
  <c r="AB249" i="2"/>
  <c r="AB250" i="2" s="1"/>
  <c r="AB268" i="2"/>
  <c r="AB269" i="2" s="1"/>
  <c r="Y500" i="2"/>
  <c r="Z502" i="2"/>
  <c r="Z476" i="2"/>
  <c r="AB501" i="2"/>
  <c r="Y504" i="2"/>
  <c r="Y661" i="2" s="1"/>
  <c r="Y659" i="2" s="1"/>
  <c r="Y100" i="4" s="1"/>
  <c r="Y509" i="2"/>
  <c r="Y986" i="2" s="1"/>
  <c r="Y331" i="4" s="1"/>
  <c r="X637" i="2"/>
  <c r="X635" i="2" s="1"/>
  <c r="X79" i="4" s="1"/>
  <c r="Y481" i="2"/>
  <c r="AA472" i="2"/>
  <c r="AA478" i="2" s="1"/>
  <c r="AA503" i="2" s="1"/>
  <c r="AA477" i="2"/>
  <c r="Z984" i="2"/>
  <c r="Z332" i="4" s="1"/>
  <c r="Z506" i="2"/>
  <c r="Z985" i="2" s="1"/>
  <c r="AC744" i="2"/>
  <c r="AC758" i="2" s="1"/>
  <c r="AC501" i="2"/>
  <c r="AC474" i="2"/>
  <c r="AB195" i="2"/>
  <c r="AB196" i="2" s="1"/>
  <c r="AB213" i="2"/>
  <c r="AB214" i="2" s="1"/>
  <c r="Z798" i="2"/>
  <c r="Z970" i="2" s="1"/>
  <c r="AA794" i="2"/>
  <c r="AA671" i="2" s="1"/>
  <c r="AA670" i="2" s="1"/>
  <c r="AA98" i="4" s="1"/>
  <c r="AB86" i="2"/>
  <c r="AB87" i="2" s="1"/>
  <c r="AB698" i="2"/>
  <c r="AB778" i="2" s="1"/>
  <c r="AB699" i="2"/>
  <c r="AB779" i="2" s="1"/>
  <c r="AB727" i="2"/>
  <c r="AB729" i="2"/>
  <c r="AB730" i="2"/>
  <c r="AB794" i="2" s="1"/>
  <c r="AB140" i="2"/>
  <c r="AB141" i="2" s="1"/>
  <c r="AA740" i="2"/>
  <c r="AC689" i="2"/>
  <c r="AC697" i="2" s="1"/>
  <c r="AC716" i="2"/>
  <c r="AA734" i="2"/>
  <c r="AB286" i="2"/>
  <c r="AB287" i="2" s="1"/>
  <c r="AB703" i="2"/>
  <c r="AB783" i="2" s="1"/>
  <c r="AB158" i="2"/>
  <c r="AB159" i="2" s="1"/>
  <c r="Z233" i="2"/>
  <c r="AA316" i="2"/>
  <c r="AA317" i="2" s="1"/>
  <c r="AA306" i="2" s="1"/>
  <c r="Z179" i="2"/>
  <c r="Z270" i="2"/>
  <c r="AA189" i="2"/>
  <c r="AA190" i="2" s="1"/>
  <c r="AA179" i="2" s="1"/>
  <c r="Z197" i="2"/>
  <c r="Z215" i="2"/>
  <c r="AA243" i="2"/>
  <c r="AA244" i="2" s="1"/>
  <c r="AA233" i="2" s="1"/>
  <c r="Z299" i="2"/>
  <c r="Z288" i="2" s="1"/>
  <c r="Z106" i="2"/>
  <c r="Z142" i="2"/>
  <c r="Z306" i="2"/>
  <c r="U39" i="4"/>
  <c r="W326" i="2"/>
  <c r="W961" i="2" s="1"/>
  <c r="X325" i="2"/>
  <c r="V323" i="2"/>
  <c r="V39" i="4" s="1"/>
  <c r="AA321" i="2"/>
  <c r="AA6" i="4" s="1"/>
  <c r="Z327" i="2"/>
  <c r="Z954" i="2" s="1"/>
  <c r="Z320" i="4" s="1"/>
  <c r="Y318" i="2"/>
  <c r="Z308" i="2"/>
  <c r="AB104" i="2"/>
  <c r="AB105" i="2" s="1"/>
  <c r="AA298" i="2"/>
  <c r="AA299" i="2" s="1"/>
  <c r="Y300" i="2"/>
  <c r="Z290" i="2"/>
  <c r="Y292" i="2"/>
  <c r="AC315" i="2"/>
  <c r="AC297" i="2"/>
  <c r="AC302" i="2"/>
  <c r="AC279" i="2"/>
  <c r="AC284" i="2"/>
  <c r="AC266" i="2"/>
  <c r="Y310" i="2"/>
  <c r="AA280" i="2"/>
  <c r="AA281" i="2" s="1"/>
  <c r="Y282" i="2"/>
  <c r="Z272" i="2"/>
  <c r="Y274" i="2"/>
  <c r="V76" i="4"/>
  <c r="V165" i="4" s="1"/>
  <c r="W619" i="2"/>
  <c r="W617" i="2" s="1"/>
  <c r="W92" i="2"/>
  <c r="X88" i="2"/>
  <c r="X324" i="2" s="1"/>
  <c r="Y245" i="2"/>
  <c r="Z235" i="2"/>
  <c r="AA261" i="2"/>
  <c r="AA262" i="2" s="1"/>
  <c r="AA225" i="2"/>
  <c r="AA226" i="2" s="1"/>
  <c r="AA207" i="2"/>
  <c r="AA208" i="2" s="1"/>
  <c r="X191" i="2"/>
  <c r="Y181" i="2"/>
  <c r="X183" i="2"/>
  <c r="AC260" i="2"/>
  <c r="AC247" i="2"/>
  <c r="AC224" i="2"/>
  <c r="AC242" i="2"/>
  <c r="AC229" i="2"/>
  <c r="AC193" i="2"/>
  <c r="AC211" i="2"/>
  <c r="AC206" i="2"/>
  <c r="AC175" i="2"/>
  <c r="AC188" i="2"/>
  <c r="X209" i="2"/>
  <c r="Y199" i="2"/>
  <c r="X201" i="2"/>
  <c r="X227" i="2"/>
  <c r="X219" i="2"/>
  <c r="Y217" i="2"/>
  <c r="X263" i="2"/>
  <c r="Y253" i="2"/>
  <c r="X255" i="2"/>
  <c r="Y237" i="2"/>
  <c r="AB122" i="2"/>
  <c r="AB123" i="2" s="1"/>
  <c r="V625" i="2"/>
  <c r="V101" i="4" s="1"/>
  <c r="X118" i="2"/>
  <c r="Y108" i="2"/>
  <c r="X110" i="2"/>
  <c r="Y154" i="2"/>
  <c r="Z144" i="2"/>
  <c r="X172" i="2"/>
  <c r="Y162" i="2"/>
  <c r="X164" i="2"/>
  <c r="AA134" i="2"/>
  <c r="AA135" i="2" s="1"/>
  <c r="Z135" i="2"/>
  <c r="Z124" i="2" s="1"/>
  <c r="Z171" i="2"/>
  <c r="Z160" i="2" s="1"/>
  <c r="AA152" i="2"/>
  <c r="AA153" i="2" s="1"/>
  <c r="X136" i="2"/>
  <c r="Y126" i="2"/>
  <c r="X128" i="2"/>
  <c r="AA170" i="2"/>
  <c r="AA171" i="2" s="1"/>
  <c r="Y146" i="2"/>
  <c r="AC169" i="2"/>
  <c r="AC151" i="2"/>
  <c r="AC156" i="2"/>
  <c r="AC120" i="2"/>
  <c r="AC138" i="2"/>
  <c r="AC115" i="2"/>
  <c r="AC133" i="2"/>
  <c r="AC102" i="2"/>
  <c r="Z99" i="2"/>
  <c r="AA116" i="2"/>
  <c r="Z146" i="4"/>
  <c r="Z141" i="4"/>
  <c r="AC84" i="2"/>
  <c r="AC97" i="2"/>
  <c r="Y100" i="2"/>
  <c r="Z90" i="2"/>
  <c r="AA98" i="2"/>
  <c r="AC489" i="2"/>
  <c r="AC883" i="2"/>
  <c r="AC603" i="2"/>
  <c r="AC595" i="2"/>
  <c r="AC497" i="2"/>
  <c r="AC59" i="1"/>
  <c r="AG81" i="1"/>
  <c r="AH79" i="1"/>
  <c r="AC590" i="2"/>
  <c r="AC103" i="4"/>
  <c r="AF43" i="1"/>
  <c r="AE50" i="1"/>
  <c r="AE49" i="1"/>
  <c r="AE48" i="1"/>
  <c r="AE246" i="4"/>
  <c r="AE197" i="4"/>
  <c r="AE288" i="4"/>
  <c r="AE47" i="1"/>
  <c r="AC14" i="2"/>
  <c r="AC139" i="2" s="1"/>
  <c r="AC12" i="2"/>
  <c r="AC121" i="2" s="1"/>
  <c r="AC13" i="2"/>
  <c r="AC157" i="2" s="1"/>
  <c r="V111" i="10"/>
  <c r="AH86" i="1"/>
  <c r="AD2" i="1"/>
  <c r="AD45" i="1" s="1"/>
  <c r="AD2" i="5"/>
  <c r="AD2" i="2"/>
  <c r="AE25" i="1"/>
  <c r="AD2" i="4"/>
  <c r="AD2" i="10"/>
  <c r="AD113" i="4"/>
  <c r="AC294" i="4"/>
  <c r="AC236" i="4"/>
  <c r="AC187" i="4"/>
  <c r="AC203" i="4"/>
  <c r="AC252" i="4"/>
  <c r="U110" i="10"/>
  <c r="AC577" i="2"/>
  <c r="AF87" i="1"/>
  <c r="AE91" i="1"/>
  <c r="AC857" i="2"/>
  <c r="AC856" i="2" s="1"/>
  <c r="AB858" i="2"/>
  <c r="AD849" i="2"/>
  <c r="AD848" i="2" s="1"/>
  <c r="AC850" i="2"/>
  <c r="AD54" i="1"/>
  <c r="AC55" i="1"/>
  <c r="AC53" i="1" s="1"/>
  <c r="AE62" i="10"/>
  <c r="AE57" i="10"/>
  <c r="Z47" i="4"/>
  <c r="AC582" i="2"/>
  <c r="AA29" i="1"/>
  <c r="AA28" i="1"/>
  <c r="AA27" i="1"/>
  <c r="AB26" i="1"/>
  <c r="M89" i="4"/>
  <c r="M93" i="4" s="1"/>
  <c r="M169" i="4" s="1"/>
  <c r="N84" i="10"/>
  <c r="AB124" i="10"/>
  <c r="AB499" i="2"/>
  <c r="AC495" i="2"/>
  <c r="AA275" i="4"/>
  <c r="AB123" i="1"/>
  <c r="Z34" i="1"/>
  <c r="Z55" i="2" s="1"/>
  <c r="AA627" i="2"/>
  <c r="AB626" i="2"/>
  <c r="Z592" i="2"/>
  <c r="Z14" i="4" s="1"/>
  <c r="AA588" i="2"/>
  <c r="AA86" i="4"/>
  <c r="AB65" i="10"/>
  <c r="AB632" i="2"/>
  <c r="Z491" i="2"/>
  <c r="Z13" i="4" s="1"/>
  <c r="AA487" i="2"/>
  <c r="AB638" i="2"/>
  <c r="AB639" i="2" s="1"/>
  <c r="AB621" i="2"/>
  <c r="AB606" i="2"/>
  <c r="AC111" i="4"/>
  <c r="X178" i="4"/>
  <c r="Y131" i="1"/>
  <c r="AB656" i="2"/>
  <c r="AB657" i="2" s="1"/>
  <c r="AA633" i="2"/>
  <c r="AA82" i="4"/>
  <c r="AB97" i="10"/>
  <c r="Z317" i="4"/>
  <c r="AA146" i="1"/>
  <c r="AA663" i="2"/>
  <c r="AB662" i="2"/>
  <c r="R70" i="10"/>
  <c r="N79" i="10"/>
  <c r="AB644" i="2"/>
  <c r="AB645" i="2" s="1"/>
  <c r="AA639" i="2"/>
  <c r="AA102" i="4"/>
  <c r="AB125" i="10"/>
  <c r="AA668" i="2"/>
  <c r="AB667" i="2"/>
  <c r="AC593" i="2"/>
  <c r="AB140" i="1"/>
  <c r="M17" i="4"/>
  <c r="AA90" i="4"/>
  <c r="AB93" i="10"/>
  <c r="AB673" i="2"/>
  <c r="AC672" i="2"/>
  <c r="AA226" i="4"/>
  <c r="AB120" i="1"/>
  <c r="AA651" i="2"/>
  <c r="AB650" i="2"/>
  <c r="AC601" i="2"/>
  <c r="I104" i="4"/>
  <c r="I114" i="4"/>
  <c r="I159" i="4" s="1"/>
  <c r="I49" i="4"/>
  <c r="K995" i="2"/>
  <c r="J328" i="4"/>
  <c r="J1013" i="2"/>
  <c r="J666" i="2" s="1"/>
  <c r="J665" i="2" s="1"/>
  <c r="I344" i="4"/>
  <c r="J30" i="4"/>
  <c r="J990" i="2"/>
  <c r="AD59" i="1" l="1"/>
  <c r="Y822" i="2"/>
  <c r="Z709" i="2"/>
  <c r="O780" i="2"/>
  <c r="O701" i="2"/>
  <c r="E19" i="7"/>
  <c r="L28" i="4"/>
  <c r="O796" i="2"/>
  <c r="P731" i="2"/>
  <c r="O800" i="2"/>
  <c r="P735" i="2"/>
  <c r="D62" i="7"/>
  <c r="H69" i="4"/>
  <c r="H190" i="4"/>
  <c r="H183" i="4"/>
  <c r="H184" i="4" s="1"/>
  <c r="H290" i="4"/>
  <c r="H308" i="4"/>
  <c r="H309" i="4" s="1"/>
  <c r="H282" i="4"/>
  <c r="H283" i="4" s="1"/>
  <c r="H297" i="4" s="1"/>
  <c r="H301" i="4"/>
  <c r="H302" i="4" s="1"/>
  <c r="H306" i="4"/>
  <c r="H307" i="4" s="1"/>
  <c r="AD44" i="1"/>
  <c r="P704" i="2"/>
  <c r="O785" i="2"/>
  <c r="N87" i="4"/>
  <c r="N979" i="2"/>
  <c r="D72" i="7"/>
  <c r="H227" i="4"/>
  <c r="Y454" i="2"/>
  <c r="AC406" i="2"/>
  <c r="AC413" i="2" s="1"/>
  <c r="AC423" i="2" s="1"/>
  <c r="AC424" i="2" s="1"/>
  <c r="AC418" i="2" s="1"/>
  <c r="V458" i="2"/>
  <c r="V649" i="2" s="1"/>
  <c r="V647" i="2" s="1"/>
  <c r="V97" i="4" s="1"/>
  <c r="AB341" i="2"/>
  <c r="Z455" i="2"/>
  <c r="Z631" i="2" s="1"/>
  <c r="Z629" i="2" s="1"/>
  <c r="Z80" i="4" s="1"/>
  <c r="X453" i="2"/>
  <c r="X964" i="2" s="1"/>
  <c r="Z973" i="2"/>
  <c r="U452" i="2"/>
  <c r="U450" i="2" s="1"/>
  <c r="AD405" i="2"/>
  <c r="AD422" i="2"/>
  <c r="AD416" i="2"/>
  <c r="AD409" i="2"/>
  <c r="AD411" i="2"/>
  <c r="AD414" i="2"/>
  <c r="AD407" i="2"/>
  <c r="R26" i="4"/>
  <c r="R871" i="2"/>
  <c r="R46" i="4" s="1"/>
  <c r="Q1009" i="2"/>
  <c r="Q1000" i="2"/>
  <c r="Q997" i="2" s="1"/>
  <c r="Q1005" i="2"/>
  <c r="Z58" i="4"/>
  <c r="Z229" i="4" s="1"/>
  <c r="AA56" i="4"/>
  <c r="S934" i="2"/>
  <c r="G170" i="4"/>
  <c r="AD276" i="2"/>
  <c r="AD203" i="2"/>
  <c r="AD352" i="2"/>
  <c r="AD257" i="2"/>
  <c r="AD294" i="2"/>
  <c r="AD112" i="2"/>
  <c r="AD130" i="2"/>
  <c r="AD221" i="2"/>
  <c r="AD185" i="2"/>
  <c r="AD166" i="2"/>
  <c r="AD148" i="2"/>
  <c r="AD312" i="2"/>
  <c r="AD239" i="2"/>
  <c r="AD94" i="2"/>
  <c r="AD567" i="2"/>
  <c r="AD556" i="2"/>
  <c r="AD537" i="2"/>
  <c r="AD521" i="2"/>
  <c r="AD692" i="2"/>
  <c r="AD442" i="2"/>
  <c r="AD529" i="2"/>
  <c r="AD722" i="2"/>
  <c r="AD548" i="2"/>
  <c r="AD750" i="2"/>
  <c r="AD399" i="2"/>
  <c r="AD378" i="2"/>
  <c r="AE72" i="1"/>
  <c r="AB776" i="2"/>
  <c r="AC708" i="2"/>
  <c r="AC789" i="2" s="1"/>
  <c r="AC702" i="2"/>
  <c r="AC782" i="2" s="1"/>
  <c r="Y279" i="4"/>
  <c r="Y182" i="4"/>
  <c r="Y229" i="4"/>
  <c r="AC739" i="2"/>
  <c r="AC733" i="2"/>
  <c r="AB797" i="2"/>
  <c r="AB790" i="2" s="1"/>
  <c r="AB53" i="4" s="1"/>
  <c r="I48" i="7" s="1"/>
  <c r="AA818" i="2"/>
  <c r="AA968" i="2" s="1"/>
  <c r="AC767" i="2"/>
  <c r="AC761" i="2"/>
  <c r="AB804" i="2"/>
  <c r="AB962" i="2" s="1"/>
  <c r="AA52" i="4"/>
  <c r="AA817" i="2"/>
  <c r="AC569" i="2"/>
  <c r="AC565" i="2" s="1"/>
  <c r="AC570" i="2" s="1"/>
  <c r="AC600" i="2" s="1"/>
  <c r="AB570" i="2"/>
  <c r="AB600" i="2" s="1"/>
  <c r="AB598" i="2" s="1"/>
  <c r="G160" i="4"/>
  <c r="AC539" i="2"/>
  <c r="AC535" i="2" s="1"/>
  <c r="AC540" i="2" s="1"/>
  <c r="AB573" i="2"/>
  <c r="AC550" i="2"/>
  <c r="AC546" i="2" s="1"/>
  <c r="AC551" i="2" s="1"/>
  <c r="G35" i="7"/>
  <c r="H9" i="7"/>
  <c r="G241" i="4"/>
  <c r="U11" i="4"/>
  <c r="AA585" i="2"/>
  <c r="Z611" i="2"/>
  <c r="AB586" i="2"/>
  <c r="AA572" i="2"/>
  <c r="AC531" i="2"/>
  <c r="AC527" i="2" s="1"/>
  <c r="AC532" i="2" s="1"/>
  <c r="AC558" i="2"/>
  <c r="AC554" i="2" s="1"/>
  <c r="AC559" i="2" s="1"/>
  <c r="AA597" i="2"/>
  <c r="AB587" i="2"/>
  <c r="AC523" i="2"/>
  <c r="AC519" i="2" s="1"/>
  <c r="AC524" i="2" s="1"/>
  <c r="AB524" i="2"/>
  <c r="AB574" i="2" s="1"/>
  <c r="AA965" i="2"/>
  <c r="W372" i="2"/>
  <c r="AC427" i="2"/>
  <c r="AC428" i="2" s="1"/>
  <c r="AC435" i="2" s="1"/>
  <c r="AC445" i="2" s="1"/>
  <c r="AC446" i="2" s="1"/>
  <c r="AC440" i="2" s="1"/>
  <c r="P81" i="4"/>
  <c r="Q974" i="2"/>
  <c r="P324" i="4"/>
  <c r="P959" i="2"/>
  <c r="P1000" i="2"/>
  <c r="P997" i="2" s="1"/>
  <c r="P1009" i="2"/>
  <c r="P1005" i="2"/>
  <c r="S945" i="2"/>
  <c r="S25" i="4" s="1"/>
  <c r="S109" i="4"/>
  <c r="S122" i="4"/>
  <c r="S181" i="4"/>
  <c r="S126" i="4"/>
  <c r="S278" i="4"/>
  <c r="T923" i="2"/>
  <c r="T921" i="2" s="1"/>
  <c r="T937" i="2"/>
  <c r="T21" i="4" s="1"/>
  <c r="G18" i="7" s="1"/>
  <c r="Q943" i="2"/>
  <c r="R912" i="2"/>
  <c r="V902" i="2"/>
  <c r="AD924" i="2"/>
  <c r="AD905" i="2"/>
  <c r="AD931" i="2"/>
  <c r="AD932" i="2" s="1"/>
  <c r="W904" i="2"/>
  <c r="X42" i="4"/>
  <c r="H37" i="7" s="1"/>
  <c r="Z608" i="2"/>
  <c r="Y610" i="2"/>
  <c r="AD568" i="2"/>
  <c r="AD557" i="2"/>
  <c r="AD549" i="2"/>
  <c r="Y584" i="2"/>
  <c r="Z580" i="2"/>
  <c r="AC337" i="2"/>
  <c r="Y579" i="2"/>
  <c r="Y10" i="4" s="1"/>
  <c r="Z575" i="2"/>
  <c r="AD530" i="2"/>
  <c r="AD522" i="2"/>
  <c r="AD538" i="2"/>
  <c r="Y356" i="2"/>
  <c r="Z345" i="2"/>
  <c r="Z355" i="2" s="1"/>
  <c r="AD426" i="2"/>
  <c r="AD438" i="2"/>
  <c r="AD436" i="2"/>
  <c r="AD444" i="2"/>
  <c r="AD429" i="2"/>
  <c r="AD431" i="2"/>
  <c r="AD433" i="2"/>
  <c r="AC385" i="2"/>
  <c r="AC392" i="2" s="1"/>
  <c r="AA339" i="2"/>
  <c r="AB402" i="2"/>
  <c r="AB403" i="2" s="1"/>
  <c r="AB397" i="2" s="1"/>
  <c r="AC28" i="2"/>
  <c r="AC36" i="2"/>
  <c r="AB38" i="2"/>
  <c r="AB336" i="2" s="1"/>
  <c r="AB338" i="2" s="1"/>
  <c r="AB451" i="2" s="1"/>
  <c r="AC27" i="2"/>
  <c r="AC35" i="2"/>
  <c r="AC29" i="2"/>
  <c r="AC37" i="2"/>
  <c r="AC25" i="2"/>
  <c r="AC33" i="2"/>
  <c r="AC22" i="2"/>
  <c r="AD390" i="2"/>
  <c r="AD388" i="2"/>
  <c r="AD386" i="2"/>
  <c r="AD17" i="2"/>
  <c r="AD401" i="2"/>
  <c r="AD395" i="2"/>
  <c r="AD393" i="2"/>
  <c r="AD20" i="2"/>
  <c r="AD21" i="2"/>
  <c r="AD18" i="2"/>
  <c r="AD19" i="2"/>
  <c r="AB30" i="2"/>
  <c r="AC26" i="2"/>
  <c r="AC34" i="2"/>
  <c r="AC304" i="2"/>
  <c r="AC305" i="2" s="1"/>
  <c r="AC470" i="2"/>
  <c r="AC471" i="2" s="1"/>
  <c r="T460" i="2"/>
  <c r="AB763" i="2"/>
  <c r="AB764" i="2" s="1"/>
  <c r="AB793" i="2"/>
  <c r="AB91" i="4" s="1"/>
  <c r="Z346" i="2"/>
  <c r="X348" i="2"/>
  <c r="W350" i="2"/>
  <c r="AC231" i="2"/>
  <c r="AC232" i="2" s="1"/>
  <c r="AD354" i="2"/>
  <c r="AD343" i="2"/>
  <c r="AC177" i="2"/>
  <c r="AC178" i="2" s="1"/>
  <c r="AB759" i="2"/>
  <c r="AB760" i="2" s="1"/>
  <c r="AB768" i="2"/>
  <c r="AC249" i="2"/>
  <c r="AC250" i="2" s="1"/>
  <c r="Y382" i="2"/>
  <c r="AA367" i="2"/>
  <c r="AA457" i="2" s="1"/>
  <c r="Z371" i="2"/>
  <c r="AA365" i="2"/>
  <c r="W8" i="4"/>
  <c r="V142" i="4"/>
  <c r="V167" i="4"/>
  <c r="V7" i="4"/>
  <c r="V11" i="4" s="1"/>
  <c r="V655" i="2"/>
  <c r="W374" i="2"/>
  <c r="W459" i="2" s="1"/>
  <c r="V376" i="2"/>
  <c r="V452" i="2" s="1"/>
  <c r="AA369" i="2"/>
  <c r="AA456" i="2" s="1"/>
  <c r="X955" i="2"/>
  <c r="X321" i="4" s="1"/>
  <c r="X449" i="2"/>
  <c r="U77" i="4"/>
  <c r="U653" i="2"/>
  <c r="U675" i="2" s="1"/>
  <c r="AC757" i="2"/>
  <c r="AC755" i="2"/>
  <c r="AC762" i="2" s="1"/>
  <c r="Z509" i="2"/>
  <c r="Z986" i="2" s="1"/>
  <c r="Z331" i="4" s="1"/>
  <c r="Y508" i="2"/>
  <c r="Y41" i="4" s="1"/>
  <c r="AC195" i="2"/>
  <c r="AC196" i="2" s="1"/>
  <c r="AD380" i="2"/>
  <c r="AC364" i="2"/>
  <c r="AC268" i="2"/>
  <c r="AC269" i="2" s="1"/>
  <c r="AA502" i="2"/>
  <c r="AA476" i="2"/>
  <c r="AA984" i="2"/>
  <c r="AA332" i="4" s="1"/>
  <c r="AA506" i="2"/>
  <c r="AA985" i="2" s="1"/>
  <c r="Z500" i="2"/>
  <c r="AC213" i="2"/>
  <c r="AC214" i="2" s="1"/>
  <c r="Y637" i="2"/>
  <c r="Y635" i="2" s="1"/>
  <c r="Y79" i="4" s="1"/>
  <c r="Z481" i="2"/>
  <c r="Z504" i="2"/>
  <c r="Z661" i="2" s="1"/>
  <c r="Z659" i="2" s="1"/>
  <c r="Z100" i="4" s="1"/>
  <c r="AB472" i="2"/>
  <c r="AB478" i="2" s="1"/>
  <c r="AB503" i="2" s="1"/>
  <c r="AB477" i="2"/>
  <c r="X144" i="4"/>
  <c r="Y483" i="2"/>
  <c r="Y9" i="4" s="1"/>
  <c r="Z479" i="2"/>
  <c r="Y643" i="2"/>
  <c r="Y641" i="2" s="1"/>
  <c r="Y78" i="4" s="1"/>
  <c r="Y166" i="4" s="1"/>
  <c r="AD744" i="2"/>
  <c r="AD755" i="2" s="1"/>
  <c r="AD474" i="2"/>
  <c r="AD501" i="2"/>
  <c r="AC86" i="2"/>
  <c r="AC87" i="2" s="1"/>
  <c r="AA798" i="2"/>
  <c r="AA970" i="2" s="1"/>
  <c r="AB671" i="2"/>
  <c r="AB670" i="2" s="1"/>
  <c r="AB98" i="4" s="1"/>
  <c r="AC699" i="2"/>
  <c r="AC779" i="2" s="1"/>
  <c r="AB740" i="2"/>
  <c r="AC140" i="2"/>
  <c r="AC141" i="2" s="1"/>
  <c r="AC698" i="2"/>
  <c r="AC778" i="2" s="1"/>
  <c r="AC727" i="2"/>
  <c r="AC730" i="2"/>
  <c r="AC794" i="2" s="1"/>
  <c r="AC729" i="2"/>
  <c r="AC158" i="2"/>
  <c r="AC159" i="2" s="1"/>
  <c r="AD689" i="2"/>
  <c r="AD697" i="2" s="1"/>
  <c r="AD716" i="2"/>
  <c r="AB734" i="2"/>
  <c r="AB798" i="2" s="1"/>
  <c r="AB970" i="2" s="1"/>
  <c r="AC286" i="2"/>
  <c r="AC287" i="2" s="1"/>
  <c r="AC703" i="2"/>
  <c r="AC783" i="2" s="1"/>
  <c r="Z237" i="2"/>
  <c r="Z274" i="2"/>
  <c r="AA142" i="2"/>
  <c r="AA160" i="2"/>
  <c r="AA215" i="2"/>
  <c r="AA197" i="2"/>
  <c r="AA124" i="2"/>
  <c r="AB134" i="2"/>
  <c r="AB135" i="2" s="1"/>
  <c r="AA270" i="2"/>
  <c r="AA288" i="2"/>
  <c r="AA251" i="2"/>
  <c r="Y325" i="2"/>
  <c r="X326" i="2"/>
  <c r="X625" i="2" s="1"/>
  <c r="V328" i="2"/>
  <c r="AA327" i="2"/>
  <c r="AA954" i="2" s="1"/>
  <c r="AA320" i="4" s="1"/>
  <c r="AB321" i="2"/>
  <c r="AB6" i="4" s="1"/>
  <c r="I5" i="7" s="1"/>
  <c r="W323" i="2"/>
  <c r="W328" i="2" s="1"/>
  <c r="Z322" i="2"/>
  <c r="AB280" i="2"/>
  <c r="AB281" i="2" s="1"/>
  <c r="AD315" i="2"/>
  <c r="AD302" i="2"/>
  <c r="AD297" i="2"/>
  <c r="AD284" i="2"/>
  <c r="AD279" i="2"/>
  <c r="AD266" i="2"/>
  <c r="Z282" i="2"/>
  <c r="AA272" i="2"/>
  <c r="Z300" i="2"/>
  <c r="AA290" i="2"/>
  <c r="Z292" i="2"/>
  <c r="Z318" i="2"/>
  <c r="AA308" i="2"/>
  <c r="Z310" i="2"/>
  <c r="AB316" i="2"/>
  <c r="AB317" i="2" s="1"/>
  <c r="AB298" i="2"/>
  <c r="AB299" i="2" s="1"/>
  <c r="AC104" i="2"/>
  <c r="AC105" i="2" s="1"/>
  <c r="X619" i="2"/>
  <c r="X617" i="2" s="1"/>
  <c r="Y88" i="2"/>
  <c r="Y324" i="2" s="1"/>
  <c r="X92" i="2"/>
  <c r="X323" i="2" s="1"/>
  <c r="X39" i="4" s="1"/>
  <c r="W76" i="4"/>
  <c r="W165" i="4" s="1"/>
  <c r="AA99" i="2"/>
  <c r="Y263" i="2"/>
  <c r="Z253" i="2"/>
  <c r="Y255" i="2"/>
  <c r="AB189" i="2"/>
  <c r="AB190" i="2" s="1"/>
  <c r="Y209" i="2"/>
  <c r="Z199" i="2"/>
  <c r="Y201" i="2"/>
  <c r="AB261" i="2"/>
  <c r="AB262" i="2" s="1"/>
  <c r="AB243" i="2"/>
  <c r="AB225" i="2"/>
  <c r="AB226" i="2" s="1"/>
  <c r="AD260" i="2"/>
  <c r="AD247" i="2"/>
  <c r="AD242" i="2"/>
  <c r="AD229" i="2"/>
  <c r="AD211" i="2"/>
  <c r="AD206" i="2"/>
  <c r="AD224" i="2"/>
  <c r="AD188" i="2"/>
  <c r="AD175" i="2"/>
  <c r="AD193" i="2"/>
  <c r="AB207" i="2"/>
  <c r="Y227" i="2"/>
  <c r="Z217" i="2"/>
  <c r="Y219" i="2"/>
  <c r="Y191" i="2"/>
  <c r="Z181" i="2"/>
  <c r="Y183" i="2"/>
  <c r="Z245" i="2"/>
  <c r="AA235" i="2"/>
  <c r="AC122" i="2"/>
  <c r="AC123" i="2" s="1"/>
  <c r="W625" i="2"/>
  <c r="W101" i="4" s="1"/>
  <c r="V623" i="2"/>
  <c r="Z154" i="2"/>
  <c r="AA144" i="2"/>
  <c r="AD169" i="2"/>
  <c r="AD151" i="2"/>
  <c r="AD138" i="2"/>
  <c r="AD156" i="2"/>
  <c r="AD133" i="2"/>
  <c r="AD115" i="2"/>
  <c r="AD120" i="2"/>
  <c r="AD102" i="2"/>
  <c r="AB152" i="2"/>
  <c r="Y172" i="2"/>
  <c r="Z162" i="2"/>
  <c r="Y164" i="2"/>
  <c r="AA117" i="2"/>
  <c r="AA106" i="2" s="1"/>
  <c r="Y118" i="2"/>
  <c r="Z108" i="2"/>
  <c r="Y110" i="2"/>
  <c r="Y136" i="2"/>
  <c r="Z126" i="2"/>
  <c r="Y128" i="2"/>
  <c r="AB116" i="2"/>
  <c r="AB117" i="2" s="1"/>
  <c r="AB170" i="2"/>
  <c r="AB171" i="2" s="1"/>
  <c r="Z146" i="2"/>
  <c r="AA146" i="4"/>
  <c r="AA141" i="4"/>
  <c r="AB98" i="2"/>
  <c r="AD84" i="2"/>
  <c r="AD97" i="2"/>
  <c r="Z100" i="2"/>
  <c r="AA90" i="2"/>
  <c r="AD595" i="2"/>
  <c r="AD883" i="2"/>
  <c r="AD489" i="2"/>
  <c r="AD603" i="2"/>
  <c r="AD577" i="2"/>
  <c r="AI86" i="1"/>
  <c r="AD294" i="4"/>
  <c r="AD203" i="4"/>
  <c r="AD187" i="4"/>
  <c r="AD236" i="4"/>
  <c r="AD252" i="4"/>
  <c r="AD108" i="4"/>
  <c r="AD103" i="4"/>
  <c r="AD198" i="4"/>
  <c r="U120" i="10"/>
  <c r="V107" i="10"/>
  <c r="V118" i="10" s="1"/>
  <c r="AD12" i="2"/>
  <c r="AD121" i="2" s="1"/>
  <c r="AD14" i="2"/>
  <c r="AD139" i="2" s="1"/>
  <c r="AD13" i="2"/>
  <c r="AD157" i="2" s="1"/>
  <c r="AD497" i="2"/>
  <c r="AD590" i="2"/>
  <c r="AE2" i="5"/>
  <c r="AE2" i="4"/>
  <c r="AE113" i="4" s="1"/>
  <c r="AE2" i="10"/>
  <c r="AE2" i="2"/>
  <c r="AE2" i="1"/>
  <c r="AE45" i="1" s="1"/>
  <c r="AF25" i="1"/>
  <c r="AD289" i="4"/>
  <c r="AE59" i="1"/>
  <c r="V116" i="10"/>
  <c r="V112" i="10"/>
  <c r="W111" i="10"/>
  <c r="AH81" i="1"/>
  <c r="AI79" i="1"/>
  <c r="AD247" i="4"/>
  <c r="AD83" i="4"/>
  <c r="AG87" i="1"/>
  <c r="AF91" i="1"/>
  <c r="AD92" i="4"/>
  <c r="AF288" i="4"/>
  <c r="AF197" i="4"/>
  <c r="AF246" i="4"/>
  <c r="AG43" i="1"/>
  <c r="AF50" i="1"/>
  <c r="AF47" i="1"/>
  <c r="AF48" i="1"/>
  <c r="AF49" i="1"/>
  <c r="Z4" i="2"/>
  <c r="Z42" i="2"/>
  <c r="AE849" i="2"/>
  <c r="AE848" i="2" s="1"/>
  <c r="AD850" i="2"/>
  <c r="AC858" i="2"/>
  <c r="AD857" i="2"/>
  <c r="AD856" i="2" s="1"/>
  <c r="AE54" i="1"/>
  <c r="AD55" i="1"/>
  <c r="AD53" i="1" s="1"/>
  <c r="AF62" i="10"/>
  <c r="AF57" i="10"/>
  <c r="AA47" i="4"/>
  <c r="AC606" i="2"/>
  <c r="R71" i="10"/>
  <c r="R72" i="10" s="1"/>
  <c r="AD111" i="4"/>
  <c r="AB226" i="4"/>
  <c r="AC120" i="1"/>
  <c r="AA491" i="2"/>
  <c r="AA13" i="4" s="1"/>
  <c r="AB487" i="2"/>
  <c r="AB86" i="4"/>
  <c r="AC65" i="10"/>
  <c r="AC124" i="10"/>
  <c r="AC140" i="1"/>
  <c r="AE141" i="1"/>
  <c r="AB102" i="4"/>
  <c r="AC125" i="10"/>
  <c r="AB663" i="2"/>
  <c r="AC662" i="2"/>
  <c r="N20" i="4"/>
  <c r="N85" i="10"/>
  <c r="Z1" i="5"/>
  <c r="Z4" i="5"/>
  <c r="Z313" i="4"/>
  <c r="Z222" i="4"/>
  <c r="Z1" i="4"/>
  <c r="Z138" i="4"/>
  <c r="Z271" i="4"/>
  <c r="Z73" i="4"/>
  <c r="Z37" i="4"/>
  <c r="Z174" i="4"/>
  <c r="Z4" i="4"/>
  <c r="Z615" i="2"/>
  <c r="Z119" i="4"/>
  <c r="Z891" i="2"/>
  <c r="Z841" i="2"/>
  <c r="Z880" i="2"/>
  <c r="Z513" i="2"/>
  <c r="Z464" i="2"/>
  <c r="Z682" i="2"/>
  <c r="Z332" i="2"/>
  <c r="Z1" i="2"/>
  <c r="Z952" i="2"/>
  <c r="Z826" i="2"/>
  <c r="Z862" i="2"/>
  <c r="Z80" i="2"/>
  <c r="Z1" i="10"/>
  <c r="Z102" i="10"/>
  <c r="Z68" i="1"/>
  <c r="Z90" i="10"/>
  <c r="Z55" i="10"/>
  <c r="Z113" i="1"/>
  <c r="Z38" i="1"/>
  <c r="Z14" i="1"/>
  <c r="Z1" i="1"/>
  <c r="AA317" i="4"/>
  <c r="AB146" i="1"/>
  <c r="AC632" i="2"/>
  <c r="AC633" i="2" s="1"/>
  <c r="AD593" i="2"/>
  <c r="Y178" i="4"/>
  <c r="Z131" i="1"/>
  <c r="AB627" i="2"/>
  <c r="AC626" i="2"/>
  <c r="AB275" i="4"/>
  <c r="AC123" i="1"/>
  <c r="M189" i="4"/>
  <c r="M152" i="4"/>
  <c r="M22" i="4"/>
  <c r="M238" i="4"/>
  <c r="M161" i="4"/>
  <c r="M121" i="4"/>
  <c r="M123" i="4" s="1"/>
  <c r="AD601" i="2"/>
  <c r="AB668" i="2"/>
  <c r="AC667" i="2"/>
  <c r="AC644" i="2"/>
  <c r="AC645" i="2" s="1"/>
  <c r="AC638" i="2"/>
  <c r="AC639" i="2" s="1"/>
  <c r="AB633" i="2"/>
  <c r="AA592" i="2"/>
  <c r="AA14" i="4" s="1"/>
  <c r="AB588" i="2"/>
  <c r="AC499" i="2"/>
  <c r="AD495" i="2"/>
  <c r="AB651" i="2"/>
  <c r="AC650" i="2"/>
  <c r="AB90" i="4"/>
  <c r="AC93" i="10"/>
  <c r="AA34" i="1"/>
  <c r="AA55" i="2" s="1"/>
  <c r="AD582" i="2"/>
  <c r="AC673" i="2"/>
  <c r="AD672" i="2"/>
  <c r="N88" i="4"/>
  <c r="N981" i="2"/>
  <c r="N976" i="2" s="1"/>
  <c r="O77" i="10"/>
  <c r="AB82" i="4"/>
  <c r="AC97" i="10"/>
  <c r="AC656" i="2"/>
  <c r="AC657" i="2" s="1"/>
  <c r="AB29" i="1"/>
  <c r="AB28" i="1"/>
  <c r="AB27" i="1"/>
  <c r="AC26" i="1"/>
  <c r="I116" i="4"/>
  <c r="I158" i="4"/>
  <c r="I130" i="4"/>
  <c r="J33" i="4"/>
  <c r="J151" i="4"/>
  <c r="J112" i="4"/>
  <c r="K988" i="2"/>
  <c r="J99" i="4"/>
  <c r="J676" i="2"/>
  <c r="J677" i="2" s="1"/>
  <c r="J678" i="2" s="1"/>
  <c r="I180" i="4"/>
  <c r="I277" i="4"/>
  <c r="I276" i="4" s="1"/>
  <c r="I228" i="4"/>
  <c r="I67" i="4"/>
  <c r="I125" i="4"/>
  <c r="J325" i="4"/>
  <c r="J1012" i="2"/>
  <c r="I345" i="4"/>
  <c r="AE44" i="1" l="1"/>
  <c r="H239" i="4"/>
  <c r="H232" i="4"/>
  <c r="D71" i="7"/>
  <c r="D64" i="7"/>
  <c r="I68" i="4"/>
  <c r="E63" i="7" s="1"/>
  <c r="H947" i="2"/>
  <c r="H887" i="2"/>
  <c r="H75" i="4"/>
  <c r="H84" i="4" s="1"/>
  <c r="P799" i="2"/>
  <c r="P736" i="2"/>
  <c r="P795" i="2"/>
  <c r="P732" i="2"/>
  <c r="E23" i="7"/>
  <c r="L991" i="2"/>
  <c r="P784" i="2"/>
  <c r="P705" i="2"/>
  <c r="H210" i="4"/>
  <c r="H211" i="4" s="1"/>
  <c r="H199" i="4"/>
  <c r="H215" i="4"/>
  <c r="H216" i="4" s="1"/>
  <c r="H217" i="4"/>
  <c r="H218" i="4" s="1"/>
  <c r="H191" i="4"/>
  <c r="H192" i="4" s="1"/>
  <c r="O781" i="2"/>
  <c r="P700" i="2"/>
  <c r="Z822" i="2"/>
  <c r="AA709" i="2"/>
  <c r="AA455" i="2"/>
  <c r="AA631" i="2" s="1"/>
  <c r="AA629" i="2" s="1"/>
  <c r="AA80" i="4" s="1"/>
  <c r="U40" i="4"/>
  <c r="U460" i="2"/>
  <c r="W458" i="2"/>
  <c r="W649" i="2" s="1"/>
  <c r="W647" i="2" s="1"/>
  <c r="W97" i="4" s="1"/>
  <c r="Y453" i="2"/>
  <c r="Y964" i="2" s="1"/>
  <c r="AA58" i="4"/>
  <c r="AA279" i="4" s="1"/>
  <c r="AC341" i="2"/>
  <c r="AE422" i="2"/>
  <c r="AE416" i="2"/>
  <c r="AE414" i="2"/>
  <c r="AE407" i="2"/>
  <c r="AE411" i="2"/>
  <c r="AE409" i="2"/>
  <c r="AD406" i="2"/>
  <c r="AD413" i="2" s="1"/>
  <c r="Z279" i="4"/>
  <c r="R1005" i="2"/>
  <c r="R1000" i="2"/>
  <c r="R997" i="2" s="1"/>
  <c r="R1009" i="2"/>
  <c r="Q998" i="2"/>
  <c r="Q334" i="4"/>
  <c r="Z182" i="4"/>
  <c r="AC804" i="2"/>
  <c r="AC962" i="2" s="1"/>
  <c r="AC797" i="2"/>
  <c r="AC790" i="2" s="1"/>
  <c r="AC53" i="4" s="1"/>
  <c r="AA973" i="2"/>
  <c r="AD708" i="2"/>
  <c r="AD789" i="2" s="1"/>
  <c r="AD702" i="2"/>
  <c r="AD782" i="2" s="1"/>
  <c r="AB818" i="2"/>
  <c r="AB968" i="2" s="1"/>
  <c r="AB973" i="2" s="1"/>
  <c r="AA182" i="4"/>
  <c r="AE352" i="2"/>
  <c r="AE257" i="2"/>
  <c r="AE294" i="2"/>
  <c r="AE221" i="2"/>
  <c r="AE148" i="2"/>
  <c r="AE185" i="2"/>
  <c r="AE166" i="2"/>
  <c r="AE203" i="2"/>
  <c r="AE276" i="2"/>
  <c r="AE130" i="2"/>
  <c r="AE312" i="2"/>
  <c r="AE239" i="2"/>
  <c r="AE112" i="2"/>
  <c r="AE94" i="2"/>
  <c r="AE529" i="2"/>
  <c r="AE442" i="2"/>
  <c r="AE750" i="2"/>
  <c r="AE548" i="2"/>
  <c r="AE399" i="2"/>
  <c r="AE378" i="2"/>
  <c r="AE521" i="2"/>
  <c r="AE556" i="2"/>
  <c r="AE692" i="2"/>
  <c r="AE567" i="2"/>
  <c r="AE722" i="2"/>
  <c r="AE537" i="2"/>
  <c r="AF72" i="1"/>
  <c r="AD739" i="2"/>
  <c r="AD733" i="2"/>
  <c r="AB817" i="2"/>
  <c r="AB52" i="4"/>
  <c r="AD767" i="2"/>
  <c r="AD761" i="2"/>
  <c r="AB56" i="4"/>
  <c r="I51" i="7" s="1"/>
  <c r="I47" i="7"/>
  <c r="AC776" i="2"/>
  <c r="AC52" i="4" s="1"/>
  <c r="AD569" i="2"/>
  <c r="AD565" i="2" s="1"/>
  <c r="AD599" i="2" s="1"/>
  <c r="AC599" i="2"/>
  <c r="AC605" i="2" s="1"/>
  <c r="AC15" i="4" s="1"/>
  <c r="AB572" i="2"/>
  <c r="AD550" i="2"/>
  <c r="AD546" i="2" s="1"/>
  <c r="AD551" i="2" s="1"/>
  <c r="AD539" i="2"/>
  <c r="AD535" i="2" s="1"/>
  <c r="AD540" i="2" s="1"/>
  <c r="N145" i="4"/>
  <c r="AB585" i="2"/>
  <c r="Y143" i="4"/>
  <c r="AA611" i="2"/>
  <c r="AB597" i="2"/>
  <c r="AD531" i="2"/>
  <c r="AD527" i="2" s="1"/>
  <c r="AD532" i="2" s="1"/>
  <c r="AC574" i="2"/>
  <c r="AD558" i="2"/>
  <c r="AD554" i="2" s="1"/>
  <c r="AD559" i="2" s="1"/>
  <c r="AC586" i="2"/>
  <c r="AC587" i="2"/>
  <c r="AD523" i="2"/>
  <c r="AD519" i="2" s="1"/>
  <c r="AD524" i="2" s="1"/>
  <c r="AB965" i="2"/>
  <c r="AC573" i="2"/>
  <c r="X372" i="2"/>
  <c r="AD427" i="2"/>
  <c r="AD428" i="2" s="1"/>
  <c r="AD435" i="2" s="1"/>
  <c r="AD445" i="2" s="1"/>
  <c r="AD446" i="2" s="1"/>
  <c r="AD440" i="2" s="1"/>
  <c r="P960" i="2"/>
  <c r="P323" i="4" s="1"/>
  <c r="Q960" i="2"/>
  <c r="Q323" i="4" s="1"/>
  <c r="Q81" i="4"/>
  <c r="R974" i="2"/>
  <c r="R81" i="4" s="1"/>
  <c r="T939" i="2"/>
  <c r="T934" i="2" s="1"/>
  <c r="P998" i="2"/>
  <c r="P334" i="4"/>
  <c r="P1007" i="2"/>
  <c r="P1008" i="2" s="1"/>
  <c r="P1002" i="2" s="1"/>
  <c r="S869" i="2"/>
  <c r="S873" i="2" s="1"/>
  <c r="S963" i="2" s="1"/>
  <c r="S972" i="2" s="1"/>
  <c r="S872" i="2"/>
  <c r="U922" i="2"/>
  <c r="T938" i="2"/>
  <c r="T44" i="4" s="1"/>
  <c r="G39" i="7" s="1"/>
  <c r="R913" i="2"/>
  <c r="R944" i="2"/>
  <c r="X903" i="2"/>
  <c r="W902" i="2"/>
  <c r="AE924" i="2"/>
  <c r="AE905" i="2"/>
  <c r="AE931" i="2"/>
  <c r="AE932" i="2" s="1"/>
  <c r="Y42" i="4"/>
  <c r="AA608" i="2"/>
  <c r="Z610" i="2"/>
  <c r="AE568" i="2"/>
  <c r="AE557" i="2"/>
  <c r="AE549" i="2"/>
  <c r="AD337" i="2"/>
  <c r="Z579" i="2"/>
  <c r="Z10" i="4" s="1"/>
  <c r="Z143" i="4" s="1"/>
  <c r="AA575" i="2"/>
  <c r="Z584" i="2"/>
  <c r="AA580" i="2"/>
  <c r="AE538" i="2"/>
  <c r="AE530" i="2"/>
  <c r="AE522" i="2"/>
  <c r="Z356" i="2"/>
  <c r="AA345" i="2"/>
  <c r="AA355" i="2" s="1"/>
  <c r="AE426" i="2"/>
  <c r="AE438" i="2"/>
  <c r="AE436" i="2"/>
  <c r="AE444" i="2"/>
  <c r="AE433" i="2"/>
  <c r="AE429" i="2"/>
  <c r="AE431" i="2"/>
  <c r="AB339" i="2"/>
  <c r="AD385" i="2"/>
  <c r="AD392" i="2" s="1"/>
  <c r="AD402" i="2" s="1"/>
  <c r="AD403" i="2" s="1"/>
  <c r="AD397" i="2" s="1"/>
  <c r="AC38" i="2"/>
  <c r="AC336" i="2" s="1"/>
  <c r="AC338" i="2" s="1"/>
  <c r="AC451" i="2" s="1"/>
  <c r="AE390" i="2"/>
  <c r="AE388" i="2"/>
  <c r="AE386" i="2"/>
  <c r="AE401" i="2"/>
  <c r="AE393" i="2"/>
  <c r="AE18" i="2"/>
  <c r="AE19" i="2"/>
  <c r="AE395" i="2"/>
  <c r="AE20" i="2"/>
  <c r="AE17" i="2"/>
  <c r="AE21" i="2"/>
  <c r="AC30" i="2"/>
  <c r="AC402" i="2"/>
  <c r="AC403" i="2" s="1"/>
  <c r="AC397" i="2" s="1"/>
  <c r="AD28" i="2"/>
  <c r="AD36" i="2"/>
  <c r="AD27" i="2"/>
  <c r="AD35" i="2"/>
  <c r="AD25" i="2"/>
  <c r="AD33" i="2"/>
  <c r="AD22" i="2"/>
  <c r="AD26" i="2"/>
  <c r="AD34" i="2"/>
  <c r="AD29" i="2"/>
  <c r="AD37" i="2"/>
  <c r="AD304" i="2"/>
  <c r="AD305" i="2" s="1"/>
  <c r="AD757" i="2"/>
  <c r="AD470" i="2"/>
  <c r="AD471" i="2" s="1"/>
  <c r="AD231" i="2"/>
  <c r="AD232" i="2" s="1"/>
  <c r="AD268" i="2"/>
  <c r="AD269" i="2" s="1"/>
  <c r="AC763" i="2"/>
  <c r="AC764" i="2" s="1"/>
  <c r="AD763" i="2" s="1"/>
  <c r="AD764" i="2" s="1"/>
  <c r="AC759" i="2"/>
  <c r="AC760" i="2" s="1"/>
  <c r="AD759" i="2" s="1"/>
  <c r="AD760" i="2" s="1"/>
  <c r="Y348" i="2"/>
  <c r="X350" i="2"/>
  <c r="AC768" i="2"/>
  <c r="V450" i="2"/>
  <c r="V40" i="4" s="1"/>
  <c r="AD177" i="2"/>
  <c r="AD178" i="2" s="1"/>
  <c r="AA346" i="2"/>
  <c r="AE354" i="2"/>
  <c r="AE343" i="2"/>
  <c r="AD249" i="2"/>
  <c r="AD250" i="2" s="1"/>
  <c r="Z483" i="2"/>
  <c r="Z9" i="4" s="1"/>
  <c r="Z144" i="4" s="1"/>
  <c r="AD195" i="2"/>
  <c r="AD196" i="2" s="1"/>
  <c r="X8" i="4"/>
  <c r="H7" i="7" s="1"/>
  <c r="AB369" i="2"/>
  <c r="AB456" i="2" s="1"/>
  <c r="Y955" i="2"/>
  <c r="Y321" i="4" s="1"/>
  <c r="Y449" i="2"/>
  <c r="W142" i="4"/>
  <c r="W167" i="4"/>
  <c r="W7" i="4"/>
  <c r="W11" i="4" s="1"/>
  <c r="AB367" i="2"/>
  <c r="AB457" i="2" s="1"/>
  <c r="AC793" i="2"/>
  <c r="AC91" i="4" s="1"/>
  <c r="W655" i="2"/>
  <c r="X374" i="2"/>
  <c r="X459" i="2" s="1"/>
  <c r="W376" i="2"/>
  <c r="W452" i="2" s="1"/>
  <c r="AA371" i="2"/>
  <c r="AA381" i="2" s="1"/>
  <c r="AB365" i="2"/>
  <c r="V77" i="4"/>
  <c r="V653" i="2"/>
  <c r="V675" i="2" s="1"/>
  <c r="Z381" i="2"/>
  <c r="Z454" i="2" s="1"/>
  <c r="AE380" i="2"/>
  <c r="AD364" i="2"/>
  <c r="AD213" i="2"/>
  <c r="AD214" i="2" s="1"/>
  <c r="Z508" i="2"/>
  <c r="Z41" i="4" s="1"/>
  <c r="AA509" i="2"/>
  <c r="AA986" i="2" s="1"/>
  <c r="AA331" i="4" s="1"/>
  <c r="AD758" i="2"/>
  <c r="AB502" i="2"/>
  <c r="AB476" i="2"/>
  <c r="AB984" i="2"/>
  <c r="AB332" i="4" s="1"/>
  <c r="AB506" i="2"/>
  <c r="AB985" i="2" s="1"/>
  <c r="AA479" i="2"/>
  <c r="Z643" i="2"/>
  <c r="Z641" i="2" s="1"/>
  <c r="Z78" i="4" s="1"/>
  <c r="Z166" i="4" s="1"/>
  <c r="Z637" i="2"/>
  <c r="Z635" i="2" s="1"/>
  <c r="Z79" i="4" s="1"/>
  <c r="AA481" i="2"/>
  <c r="AC472" i="2"/>
  <c r="AC478" i="2" s="1"/>
  <c r="AC503" i="2" s="1"/>
  <c r="AC477" i="2"/>
  <c r="Y144" i="4"/>
  <c r="AA500" i="2"/>
  <c r="AA504" i="2"/>
  <c r="AA661" i="2" s="1"/>
  <c r="AA659" i="2" s="1"/>
  <c r="AA100" i="4" s="1"/>
  <c r="AE744" i="2"/>
  <c r="AE758" i="2" s="1"/>
  <c r="AE474" i="2"/>
  <c r="AE501" i="2"/>
  <c r="AD86" i="2"/>
  <c r="AD87" i="2" s="1"/>
  <c r="AD698" i="2"/>
  <c r="AD778" i="2" s="1"/>
  <c r="AC671" i="2"/>
  <c r="AC670" i="2" s="1"/>
  <c r="AC98" i="4" s="1"/>
  <c r="AD762" i="2"/>
  <c r="AC740" i="2"/>
  <c r="AD140" i="2"/>
  <c r="AD141" i="2" s="1"/>
  <c r="AD699" i="2"/>
  <c r="AD779" i="2" s="1"/>
  <c r="AE689" i="2"/>
  <c r="AE698" i="2" s="1"/>
  <c r="AE778" i="2" s="1"/>
  <c r="AE716" i="2"/>
  <c r="AD158" i="2"/>
  <c r="AD159" i="2" s="1"/>
  <c r="AC734" i="2"/>
  <c r="AC798" i="2" s="1"/>
  <c r="AC970" i="2" s="1"/>
  <c r="AD727" i="2"/>
  <c r="AD730" i="2"/>
  <c r="AD729" i="2"/>
  <c r="AD286" i="2"/>
  <c r="AD287" i="2" s="1"/>
  <c r="AD703" i="2"/>
  <c r="AD783" i="2" s="1"/>
  <c r="AA146" i="2"/>
  <c r="AA292" i="2"/>
  <c r="AB160" i="2"/>
  <c r="AB124" i="2"/>
  <c r="AB251" i="2"/>
  <c r="AB106" i="2"/>
  <c r="AC298" i="2"/>
  <c r="AC299" i="2" s="1"/>
  <c r="AC288" i="2" s="1"/>
  <c r="AB306" i="2"/>
  <c r="AB179" i="2"/>
  <c r="AB288" i="2"/>
  <c r="AB270" i="2"/>
  <c r="AB215" i="2"/>
  <c r="Z325" i="2"/>
  <c r="W39" i="4"/>
  <c r="H34" i="7" s="1"/>
  <c r="AD104" i="2"/>
  <c r="AD105" i="2" s="1"/>
  <c r="AA322" i="2"/>
  <c r="Y326" i="2"/>
  <c r="Y625" i="2" s="1"/>
  <c r="AB327" i="2"/>
  <c r="AB954" i="2" s="1"/>
  <c r="AB320" i="4" s="1"/>
  <c r="AC321" i="2"/>
  <c r="AC6" i="4" s="1"/>
  <c r="AA282" i="2"/>
  <c r="AB272" i="2"/>
  <c r="AC316" i="2"/>
  <c r="AC317" i="2" s="1"/>
  <c r="AE302" i="2"/>
  <c r="AE315" i="2"/>
  <c r="AE297" i="2"/>
  <c r="AE279" i="2"/>
  <c r="AE284" i="2"/>
  <c r="AE266" i="2"/>
  <c r="AC280" i="2"/>
  <c r="AC281" i="2" s="1"/>
  <c r="AA274" i="2"/>
  <c r="AA318" i="2"/>
  <c r="AB308" i="2"/>
  <c r="AA300" i="2"/>
  <c r="AB290" i="2"/>
  <c r="AA310" i="2"/>
  <c r="Y619" i="2"/>
  <c r="Y617" i="2" s="1"/>
  <c r="Z88" i="2"/>
  <c r="Z324" i="2" s="1"/>
  <c r="Y92" i="2"/>
  <c r="Y323" i="2" s="1"/>
  <c r="X76" i="4"/>
  <c r="X165" i="4" s="1"/>
  <c r="Z191" i="2"/>
  <c r="AA181" i="2"/>
  <c r="Z183" i="2"/>
  <c r="AC225" i="2"/>
  <c r="AC226" i="2" s="1"/>
  <c r="AC243" i="2"/>
  <c r="AC244" i="2" s="1"/>
  <c r="AE247" i="2"/>
  <c r="AE242" i="2"/>
  <c r="AE260" i="2"/>
  <c r="AE229" i="2"/>
  <c r="AE211" i="2"/>
  <c r="AE224" i="2"/>
  <c r="AE193" i="2"/>
  <c r="AE175" i="2"/>
  <c r="AE206" i="2"/>
  <c r="AE188" i="2"/>
  <c r="AC207" i="2"/>
  <c r="AC208" i="2" s="1"/>
  <c r="AC189" i="2"/>
  <c r="AC190" i="2" s="1"/>
  <c r="AC261" i="2"/>
  <c r="AC262" i="2" s="1"/>
  <c r="Z263" i="2"/>
  <c r="AA253" i="2"/>
  <c r="Z255" i="2"/>
  <c r="Z227" i="2"/>
  <c r="AA217" i="2"/>
  <c r="Z219" i="2"/>
  <c r="AA245" i="2"/>
  <c r="AB235" i="2"/>
  <c r="AA237" i="2"/>
  <c r="AB208" i="2"/>
  <c r="AB197" i="2" s="1"/>
  <c r="AB244" i="2"/>
  <c r="AB233" i="2" s="1"/>
  <c r="Z209" i="2"/>
  <c r="AA199" i="2"/>
  <c r="Z201" i="2"/>
  <c r="AD122" i="2"/>
  <c r="AD123" i="2" s="1"/>
  <c r="X328" i="2"/>
  <c r="W623" i="2"/>
  <c r="X961" i="2"/>
  <c r="AB146" i="4"/>
  <c r="AB141" i="4"/>
  <c r="AC134" i="2"/>
  <c r="AC135" i="2" s="1"/>
  <c r="X101" i="4"/>
  <c r="X623" i="2"/>
  <c r="AE169" i="2"/>
  <c r="AE151" i="2"/>
  <c r="AE138" i="2"/>
  <c r="AE133" i="2"/>
  <c r="AE115" i="2"/>
  <c r="AE156" i="2"/>
  <c r="AE120" i="2"/>
  <c r="AE102" i="2"/>
  <c r="Z118" i="2"/>
  <c r="AA108" i="2"/>
  <c r="Z110" i="2"/>
  <c r="AB153" i="2"/>
  <c r="AB142" i="2" s="1"/>
  <c r="Z172" i="2"/>
  <c r="AA162" i="2"/>
  <c r="Z136" i="2"/>
  <c r="AA126" i="2"/>
  <c r="AC152" i="2"/>
  <c r="AC153" i="2" s="1"/>
  <c r="Z128" i="2"/>
  <c r="AC170" i="2"/>
  <c r="AC171" i="2" s="1"/>
  <c r="AC116" i="2"/>
  <c r="AC117" i="2" s="1"/>
  <c r="AA154" i="2"/>
  <c r="AB144" i="2"/>
  <c r="Z164" i="2"/>
  <c r="AB99" i="2"/>
  <c r="AA100" i="2"/>
  <c r="AB90" i="2"/>
  <c r="AC98" i="2"/>
  <c r="AE84" i="2"/>
  <c r="AE97" i="2"/>
  <c r="AE577" i="2"/>
  <c r="AE489" i="2"/>
  <c r="AE603" i="2"/>
  <c r="AE590" i="2"/>
  <c r="AE595" i="2"/>
  <c r="AE883" i="2"/>
  <c r="AE497" i="2"/>
  <c r="AJ86" i="1"/>
  <c r="AE108" i="4"/>
  <c r="AB34" i="1"/>
  <c r="AB55" i="2" s="1"/>
  <c r="AE83" i="4"/>
  <c r="AI81" i="1"/>
  <c r="AJ79" i="1"/>
  <c r="AF2" i="4"/>
  <c r="AF113" i="4" s="1"/>
  <c r="AF2" i="2"/>
  <c r="AF2" i="10"/>
  <c r="AF2" i="5"/>
  <c r="AG25" i="1"/>
  <c r="AF2" i="1"/>
  <c r="AF45" i="1" s="1"/>
  <c r="AF141" i="1"/>
  <c r="AG49" i="1"/>
  <c r="AG48" i="1"/>
  <c r="AG197" i="4"/>
  <c r="AH43" i="1"/>
  <c r="AG246" i="4"/>
  <c r="AG288" i="4"/>
  <c r="AG47" i="1"/>
  <c r="AG50" i="1"/>
  <c r="AE289" i="4"/>
  <c r="U114" i="10"/>
  <c r="U122" i="10"/>
  <c r="AE294" i="4"/>
  <c r="AE203" i="4"/>
  <c r="AE252" i="4"/>
  <c r="AE236" i="4"/>
  <c r="AE187" i="4"/>
  <c r="AE198" i="4"/>
  <c r="AH87" i="1"/>
  <c r="AG91" i="1"/>
  <c r="AE247" i="4"/>
  <c r="AF247" i="4" s="1"/>
  <c r="AE12" i="2"/>
  <c r="AE121" i="2" s="1"/>
  <c r="AE14" i="2"/>
  <c r="AE139" i="2" s="1"/>
  <c r="AE13" i="2"/>
  <c r="AE157" i="2" s="1"/>
  <c r="W116" i="10"/>
  <c r="W112" i="10"/>
  <c r="W117" i="10" s="1"/>
  <c r="W110" i="10"/>
  <c r="AE103" i="4"/>
  <c r="V110" i="10"/>
  <c r="V117" i="10"/>
  <c r="AF44" i="1"/>
  <c r="AE92" i="4"/>
  <c r="AA4" i="2"/>
  <c r="AA42" i="2"/>
  <c r="AD858" i="2"/>
  <c r="AE857" i="2"/>
  <c r="AE856" i="2" s="1"/>
  <c r="AE850" i="2"/>
  <c r="AF849" i="2"/>
  <c r="AF848" i="2" s="1"/>
  <c r="AF54" i="1"/>
  <c r="AE55" i="1"/>
  <c r="AE53" i="1" s="1"/>
  <c r="AG62" i="10"/>
  <c r="AG57" i="10"/>
  <c r="AC29" i="1"/>
  <c r="AC28" i="1"/>
  <c r="AC27" i="1"/>
  <c r="AD26" i="1"/>
  <c r="AD141" i="1"/>
  <c r="AD140" i="1"/>
  <c r="AE593" i="2"/>
  <c r="AC226" i="4"/>
  <c r="AD120" i="1"/>
  <c r="AD606" i="2"/>
  <c r="AD656" i="2"/>
  <c r="AD657" i="2" s="1"/>
  <c r="AC651" i="2"/>
  <c r="AD650" i="2"/>
  <c r="AD644" i="2"/>
  <c r="AD645" i="2" s="1"/>
  <c r="M28" i="4"/>
  <c r="AE111" i="4"/>
  <c r="AC668" i="2"/>
  <c r="AD667" i="2"/>
  <c r="AB491" i="2"/>
  <c r="AB13" i="4" s="1"/>
  <c r="AC487" i="2"/>
  <c r="Z178" i="4"/>
  <c r="AA131" i="1"/>
  <c r="AB47" i="4"/>
  <c r="I42" i="7" s="1"/>
  <c r="AC102" i="4"/>
  <c r="AD125" i="10"/>
  <c r="AC86" i="4"/>
  <c r="AD65" i="10"/>
  <c r="S70" i="10"/>
  <c r="AA1" i="5"/>
  <c r="AA4" i="5"/>
  <c r="AA313" i="4"/>
  <c r="AA119" i="4"/>
  <c r="AA271" i="4"/>
  <c r="AA37" i="4"/>
  <c r="AA1" i="4"/>
  <c r="AA138" i="4"/>
  <c r="AA73" i="4"/>
  <c r="AA174" i="4"/>
  <c r="AA222" i="4"/>
  <c r="AA4" i="4"/>
  <c r="AA332" i="2"/>
  <c r="AA1" i="2"/>
  <c r="AA615" i="2"/>
  <c r="AA841" i="2"/>
  <c r="AA891" i="2"/>
  <c r="AA80" i="2"/>
  <c r="AA682" i="2"/>
  <c r="AA513" i="2"/>
  <c r="AA862" i="2"/>
  <c r="AA102" i="10"/>
  <c r="AA952" i="2"/>
  <c r="AA880" i="2"/>
  <c r="AA113" i="1"/>
  <c r="AA826" i="2"/>
  <c r="AA464" i="2"/>
  <c r="AA68" i="1"/>
  <c r="AA1" i="1"/>
  <c r="AA38" i="1"/>
  <c r="AA90" i="10"/>
  <c r="AA55" i="10"/>
  <c r="AA14" i="1"/>
  <c r="AA1" i="10"/>
  <c r="AE601" i="2"/>
  <c r="AC663" i="2"/>
  <c r="AD662" i="2"/>
  <c r="O78" i="10"/>
  <c r="AE582" i="2"/>
  <c r="AC621" i="2"/>
  <c r="AC627" i="2"/>
  <c r="AD626" i="2"/>
  <c r="AD124" i="10"/>
  <c r="AC90" i="4"/>
  <c r="AD93" i="10"/>
  <c r="AD673" i="2"/>
  <c r="AE672" i="2"/>
  <c r="AB592" i="2"/>
  <c r="AB14" i="4" s="1"/>
  <c r="I12" i="7" s="1"/>
  <c r="AC588" i="2"/>
  <c r="AC82" i="4"/>
  <c r="AD97" i="10"/>
  <c r="AD499" i="2"/>
  <c r="AE495" i="2"/>
  <c r="N330" i="4"/>
  <c r="N16" i="4"/>
  <c r="N977" i="2"/>
  <c r="N978" i="2" s="1"/>
  <c r="AD638" i="2"/>
  <c r="AD639" i="2" s="1"/>
  <c r="AC275" i="4"/>
  <c r="AD123" i="1"/>
  <c r="AD632" i="2"/>
  <c r="AD633" i="2" s="1"/>
  <c r="AB317" i="4"/>
  <c r="AC146" i="1"/>
  <c r="N86" i="10"/>
  <c r="J104" i="4"/>
  <c r="J114" i="4"/>
  <c r="J158" i="4" s="1"/>
  <c r="I128" i="4"/>
  <c r="I179" i="4"/>
  <c r="I69" i="4"/>
  <c r="I346" i="4"/>
  <c r="K29" i="4"/>
  <c r="K326" i="4"/>
  <c r="K989" i="2"/>
  <c r="K990" i="2" s="1"/>
  <c r="K1011" i="2"/>
  <c r="H206" i="4"/>
  <c r="J43" i="4"/>
  <c r="J337" i="4"/>
  <c r="I227" i="4"/>
  <c r="AF92" i="4" l="1"/>
  <c r="AF103" i="4"/>
  <c r="X111" i="10"/>
  <c r="O87" i="4"/>
  <c r="O979" i="2"/>
  <c r="P785" i="2"/>
  <c r="Q704" i="2"/>
  <c r="L327" i="4"/>
  <c r="L994" i="2"/>
  <c r="P796" i="2"/>
  <c r="Q731" i="2"/>
  <c r="P800" i="2"/>
  <c r="Q735" i="2"/>
  <c r="H163" i="4"/>
  <c r="H95" i="4"/>
  <c r="D76" i="7"/>
  <c r="H233" i="4"/>
  <c r="D77" i="7" s="1"/>
  <c r="AF198" i="4"/>
  <c r="AF289" i="4"/>
  <c r="AF83" i="4"/>
  <c r="AF108" i="4"/>
  <c r="AA822" i="2"/>
  <c r="AB709" i="2"/>
  <c r="P780" i="2"/>
  <c r="P701" i="2"/>
  <c r="D82" i="7"/>
  <c r="H248" i="4"/>
  <c r="H264" i="4"/>
  <c r="H265" i="4" s="1"/>
  <c r="H240" i="4"/>
  <c r="H251" i="4"/>
  <c r="H266" i="4"/>
  <c r="H267" i="4" s="1"/>
  <c r="H259" i="4"/>
  <c r="H260" i="4" s="1"/>
  <c r="AC818" i="2"/>
  <c r="AC968" i="2" s="1"/>
  <c r="AC973" i="2" s="1"/>
  <c r="AA229" i="4"/>
  <c r="AA454" i="2"/>
  <c r="AB455" i="2"/>
  <c r="AB631" i="2" s="1"/>
  <c r="AB629" i="2" s="1"/>
  <c r="AB80" i="4" s="1"/>
  <c r="AC56" i="4"/>
  <c r="AC58" i="4" s="1"/>
  <c r="AD341" i="2"/>
  <c r="X458" i="2"/>
  <c r="X649" i="2" s="1"/>
  <c r="X647" i="2" s="1"/>
  <c r="X97" i="4" s="1"/>
  <c r="AE406" i="2"/>
  <c r="AE413" i="2" s="1"/>
  <c r="AD423" i="2"/>
  <c r="AD424" i="2" s="1"/>
  <c r="AD418" i="2" s="1"/>
  <c r="AF416" i="2"/>
  <c r="AF414" i="2"/>
  <c r="AF422" i="2"/>
  <c r="AF405" i="2"/>
  <c r="AF411" i="2"/>
  <c r="AF409" i="2"/>
  <c r="AF407" i="2"/>
  <c r="R334" i="4"/>
  <c r="R998" i="2"/>
  <c r="R999" i="2" s="1"/>
  <c r="R333" i="4" s="1"/>
  <c r="AC817" i="2"/>
  <c r="AD797" i="2"/>
  <c r="AD790" i="2" s="1"/>
  <c r="AD53" i="4" s="1"/>
  <c r="AD570" i="2"/>
  <c r="AD600" i="2" s="1"/>
  <c r="AD598" i="2" s="1"/>
  <c r="AF352" i="2"/>
  <c r="AF257" i="2"/>
  <c r="AF185" i="2"/>
  <c r="AF312" i="2"/>
  <c r="AF239" i="2"/>
  <c r="AF221" i="2"/>
  <c r="AF203" i="2"/>
  <c r="AF94" i="2"/>
  <c r="AF276" i="2"/>
  <c r="AF130" i="2"/>
  <c r="AF294" i="2"/>
  <c r="AF112" i="2"/>
  <c r="AF166" i="2"/>
  <c r="AF148" i="2"/>
  <c r="AF529" i="2"/>
  <c r="AF442" i="2"/>
  <c r="AF750" i="2"/>
  <c r="AF722" i="2"/>
  <c r="AF399" i="2"/>
  <c r="AF378" i="2"/>
  <c r="AF567" i="2"/>
  <c r="AF556" i="2"/>
  <c r="AF537" i="2"/>
  <c r="AF521" i="2"/>
  <c r="AF692" i="2"/>
  <c r="AF548" i="2"/>
  <c r="AG72" i="1"/>
  <c r="AB58" i="4"/>
  <c r="AD776" i="2"/>
  <c r="AD804" i="2"/>
  <c r="AD962" i="2" s="1"/>
  <c r="AE739" i="2"/>
  <c r="AE733" i="2"/>
  <c r="AE767" i="2"/>
  <c r="AE761" i="2"/>
  <c r="AE708" i="2"/>
  <c r="AE789" i="2" s="1"/>
  <c r="AE702" i="2"/>
  <c r="AE782" i="2" s="1"/>
  <c r="AC598" i="2"/>
  <c r="AE569" i="2"/>
  <c r="AE565" i="2" s="1"/>
  <c r="AE599" i="2" s="1"/>
  <c r="AE605" i="2" s="1"/>
  <c r="AE15" i="4" s="1"/>
  <c r="AE550" i="2"/>
  <c r="AE546" i="2" s="1"/>
  <c r="AE551" i="2" s="1"/>
  <c r="AE539" i="2"/>
  <c r="AE535" i="2" s="1"/>
  <c r="AE540" i="2" s="1"/>
  <c r="AB611" i="2"/>
  <c r="T106" i="4"/>
  <c r="K147" i="4"/>
  <c r="N148" i="4"/>
  <c r="I239" i="4"/>
  <c r="AE531" i="2"/>
  <c r="AE527" i="2" s="1"/>
  <c r="AE532" i="2" s="1"/>
  <c r="AD574" i="2"/>
  <c r="AC572" i="2"/>
  <c r="AD586" i="2"/>
  <c r="AE558" i="2"/>
  <c r="AE554" i="2" s="1"/>
  <c r="AE559" i="2" s="1"/>
  <c r="AC965" i="2"/>
  <c r="AD587" i="2"/>
  <c r="AC597" i="2"/>
  <c r="AC585" i="2"/>
  <c r="Y372" i="2"/>
  <c r="AD573" i="2"/>
  <c r="AE523" i="2"/>
  <c r="AE519" i="2" s="1"/>
  <c r="AE427" i="2"/>
  <c r="AE428" i="2" s="1"/>
  <c r="AE435" i="2" s="1"/>
  <c r="AE445" i="2" s="1"/>
  <c r="AE446" i="2" s="1"/>
  <c r="AE440" i="2" s="1"/>
  <c r="P1003" i="2"/>
  <c r="P1004" i="2" s="1"/>
  <c r="P335" i="4" s="1"/>
  <c r="P336" i="4"/>
  <c r="Q1006" i="2"/>
  <c r="P999" i="2"/>
  <c r="P333" i="4" s="1"/>
  <c r="Q999" i="2"/>
  <c r="Q333" i="4" s="1"/>
  <c r="S958" i="2"/>
  <c r="S974" i="2"/>
  <c r="S871" i="2"/>
  <c r="S46" i="4" s="1"/>
  <c r="S26" i="4"/>
  <c r="T945" i="2"/>
  <c r="T25" i="4" s="1"/>
  <c r="U923" i="2"/>
  <c r="U937" i="2"/>
  <c r="U21" i="4" s="1"/>
  <c r="T278" i="4"/>
  <c r="T181" i="4"/>
  <c r="T126" i="4"/>
  <c r="T122" i="4"/>
  <c r="AE337" i="2"/>
  <c r="X904" i="2"/>
  <c r="X902" i="2" s="1"/>
  <c r="R943" i="2"/>
  <c r="S912" i="2"/>
  <c r="AF924" i="2"/>
  <c r="AF931" i="2"/>
  <c r="AF932" i="2" s="1"/>
  <c r="AF905" i="2"/>
  <c r="AD605" i="2"/>
  <c r="AD15" i="4" s="1"/>
  <c r="Z42" i="4"/>
  <c r="AB608" i="2"/>
  <c r="AA610" i="2"/>
  <c r="AF568" i="2"/>
  <c r="AF549" i="2"/>
  <c r="AF557" i="2"/>
  <c r="AA584" i="2"/>
  <c r="AB580" i="2"/>
  <c r="AB575" i="2"/>
  <c r="AA579" i="2"/>
  <c r="AA10" i="4" s="1"/>
  <c r="AA143" i="4" s="1"/>
  <c r="AF538" i="2"/>
  <c r="AF530" i="2"/>
  <c r="AF522" i="2"/>
  <c r="AA356" i="2"/>
  <c r="AB345" i="2"/>
  <c r="AB355" i="2" s="1"/>
  <c r="AF426" i="2"/>
  <c r="AF438" i="2"/>
  <c r="AF436" i="2"/>
  <c r="AF444" i="2"/>
  <c r="AF433" i="2"/>
  <c r="AF429" i="2"/>
  <c r="AF431" i="2"/>
  <c r="AD793" i="2"/>
  <c r="AD91" i="4" s="1"/>
  <c r="AE304" i="2"/>
  <c r="AE305" i="2" s="1"/>
  <c r="AC339" i="2"/>
  <c r="AF390" i="2"/>
  <c r="AF388" i="2"/>
  <c r="AF386" i="2"/>
  <c r="AF395" i="2"/>
  <c r="AF393" i="2"/>
  <c r="AF17" i="2"/>
  <c r="AF20" i="2"/>
  <c r="AF401" i="2"/>
  <c r="AF18" i="2"/>
  <c r="AF19" i="2"/>
  <c r="AF21" i="2"/>
  <c r="AD30" i="2"/>
  <c r="AE27" i="2"/>
  <c r="AE35" i="2"/>
  <c r="AE26" i="2"/>
  <c r="AE34" i="2"/>
  <c r="AE25" i="2"/>
  <c r="AE22" i="2"/>
  <c r="AE33" i="2"/>
  <c r="AE385" i="2"/>
  <c r="AE392" i="2" s="1"/>
  <c r="AE28" i="2"/>
  <c r="AE36" i="2"/>
  <c r="AE29" i="2"/>
  <c r="AE37" i="2"/>
  <c r="AD38" i="2"/>
  <c r="AD336" i="2" s="1"/>
  <c r="AD338" i="2" s="1"/>
  <c r="AD451" i="2" s="1"/>
  <c r="AE470" i="2"/>
  <c r="AE471" i="2" s="1"/>
  <c r="AE231" i="2"/>
  <c r="AE232" i="2" s="1"/>
  <c r="AE195" i="2"/>
  <c r="AE196" i="2" s="1"/>
  <c r="AE268" i="2"/>
  <c r="AE269" i="2" s="1"/>
  <c r="AE177" i="2"/>
  <c r="AE178" i="2" s="1"/>
  <c r="AD768" i="2"/>
  <c r="Z348" i="2"/>
  <c r="Y350" i="2"/>
  <c r="W450" i="2"/>
  <c r="W40" i="4" s="1"/>
  <c r="V460" i="2"/>
  <c r="AB346" i="2"/>
  <c r="AF354" i="2"/>
  <c r="AF343" i="2"/>
  <c r="AE755" i="2"/>
  <c r="AE762" i="2" s="1"/>
  <c r="AE249" i="2"/>
  <c r="AE250" i="2" s="1"/>
  <c r="Z382" i="2"/>
  <c r="Z453" i="2" s="1"/>
  <c r="Y8" i="4"/>
  <c r="AC365" i="2"/>
  <c r="AB371" i="2"/>
  <c r="AB381" i="2" s="1"/>
  <c r="Z955" i="2"/>
  <c r="Z321" i="4" s="1"/>
  <c r="Z449" i="2"/>
  <c r="Z8" i="4" s="1"/>
  <c r="AA382" i="2"/>
  <c r="AC367" i="2"/>
  <c r="AC457" i="2" s="1"/>
  <c r="AC369" i="2"/>
  <c r="AC456" i="2" s="1"/>
  <c r="X655" i="2"/>
  <c r="Y374" i="2"/>
  <c r="Y459" i="2" s="1"/>
  <c r="X142" i="4"/>
  <c r="X167" i="4"/>
  <c r="X7" i="4"/>
  <c r="X11" i="4" s="1"/>
  <c r="H10" i="7" s="1"/>
  <c r="AE364" i="2"/>
  <c r="W77" i="4"/>
  <c r="W653" i="2"/>
  <c r="W675" i="2" s="1"/>
  <c r="X376" i="2"/>
  <c r="X452" i="2" s="1"/>
  <c r="AF380" i="2"/>
  <c r="AF364" i="2" s="1"/>
  <c r="AD794" i="2"/>
  <c r="AD671" i="2" s="1"/>
  <c r="AD670" i="2" s="1"/>
  <c r="AD98" i="4" s="1"/>
  <c r="AE757" i="2"/>
  <c r="AE213" i="2"/>
  <c r="AE214" i="2" s="1"/>
  <c r="AA483" i="2"/>
  <c r="AA9" i="4" s="1"/>
  <c r="AD472" i="2"/>
  <c r="AD478" i="2" s="1"/>
  <c r="AD503" i="2" s="1"/>
  <c r="AD477" i="2"/>
  <c r="AB479" i="2"/>
  <c r="AA643" i="2"/>
  <c r="AA641" i="2" s="1"/>
  <c r="AA78" i="4" s="1"/>
  <c r="AA166" i="4" s="1"/>
  <c r="AB509" i="2"/>
  <c r="AB986" i="2" s="1"/>
  <c r="AB331" i="4" s="1"/>
  <c r="AC984" i="2"/>
  <c r="AC332" i="4" s="1"/>
  <c r="AC506" i="2"/>
  <c r="AC985" i="2" s="1"/>
  <c r="AB500" i="2"/>
  <c r="AE86" i="2"/>
  <c r="AE87" i="2" s="1"/>
  <c r="AA508" i="2"/>
  <c r="AA41" i="4" s="1"/>
  <c r="AA637" i="2"/>
  <c r="AA635" i="2" s="1"/>
  <c r="AA79" i="4" s="1"/>
  <c r="AB481" i="2"/>
  <c r="AB504" i="2"/>
  <c r="AB661" i="2" s="1"/>
  <c r="AB659" i="2" s="1"/>
  <c r="AB100" i="4" s="1"/>
  <c r="AC502" i="2"/>
  <c r="AC476" i="2"/>
  <c r="AF744" i="2"/>
  <c r="AF755" i="2" s="1"/>
  <c r="AF474" i="2"/>
  <c r="AF501" i="2"/>
  <c r="AE286" i="2"/>
  <c r="AE287" i="2" s="1"/>
  <c r="AE699" i="2"/>
  <c r="AE779" i="2" s="1"/>
  <c r="AE158" i="2"/>
  <c r="AE159" i="2" s="1"/>
  <c r="AE697" i="2"/>
  <c r="AE703" i="2" s="1"/>
  <c r="AE783" i="2" s="1"/>
  <c r="AE140" i="2"/>
  <c r="AE141" i="2" s="1"/>
  <c r="AD740" i="2"/>
  <c r="AE727" i="2"/>
  <c r="AE730" i="2"/>
  <c r="AE729" i="2"/>
  <c r="AD734" i="2"/>
  <c r="AF689" i="2"/>
  <c r="AF698" i="2" s="1"/>
  <c r="AF778" i="2" s="1"/>
  <c r="AF716" i="2"/>
  <c r="AF699" i="2"/>
  <c r="AF779" i="2" s="1"/>
  <c r="AC142" i="2"/>
  <c r="AB292" i="2"/>
  <c r="AC270" i="2"/>
  <c r="AC233" i="2"/>
  <c r="AC306" i="2"/>
  <c r="AC251" i="2"/>
  <c r="AC106" i="2"/>
  <c r="AC197" i="2"/>
  <c r="AC124" i="2"/>
  <c r="AC215" i="2"/>
  <c r="AC179" i="2"/>
  <c r="AC160" i="2"/>
  <c r="AE104" i="2"/>
  <c r="AE105" i="2" s="1"/>
  <c r="AB322" i="2"/>
  <c r="AA325" i="2"/>
  <c r="Z326" i="2"/>
  <c r="Z961" i="2" s="1"/>
  <c r="AC327" i="2"/>
  <c r="AC954" i="2" s="1"/>
  <c r="AC320" i="4" s="1"/>
  <c r="AD321" i="2"/>
  <c r="AD6" i="4" s="1"/>
  <c r="AD298" i="2"/>
  <c r="AB318" i="2"/>
  <c r="AC308" i="2"/>
  <c r="AD280" i="2"/>
  <c r="AD281" i="2" s="1"/>
  <c r="AB282" i="2"/>
  <c r="AC272" i="2"/>
  <c r="AD316" i="2"/>
  <c r="AD317" i="2" s="1"/>
  <c r="AB310" i="2"/>
  <c r="AB300" i="2"/>
  <c r="AC290" i="2"/>
  <c r="AB274" i="2"/>
  <c r="AF315" i="2"/>
  <c r="AF302" i="2"/>
  <c r="AF297" i="2"/>
  <c r="AF284" i="2"/>
  <c r="AF279" i="2"/>
  <c r="AF266" i="2"/>
  <c r="Y328" i="2"/>
  <c r="Z619" i="2"/>
  <c r="Z617" i="2" s="1"/>
  <c r="AA88" i="2"/>
  <c r="AA324" i="2" s="1"/>
  <c r="Z92" i="2"/>
  <c r="Z323" i="2" s="1"/>
  <c r="Y76" i="4"/>
  <c r="Y165" i="4" s="1"/>
  <c r="AB237" i="2"/>
  <c r="AD261" i="2"/>
  <c r="AA227" i="2"/>
  <c r="AB217" i="2"/>
  <c r="AA219" i="2"/>
  <c r="AA191" i="2"/>
  <c r="AB181" i="2"/>
  <c r="AA183" i="2"/>
  <c r="AB245" i="2"/>
  <c r="AC235" i="2"/>
  <c r="AA263" i="2"/>
  <c r="AB253" i="2"/>
  <c r="AA255" i="2"/>
  <c r="AD207" i="2"/>
  <c r="AD225" i="2"/>
  <c r="AD226" i="2" s="1"/>
  <c r="AD243" i="2"/>
  <c r="AD244" i="2" s="1"/>
  <c r="AF260" i="2"/>
  <c r="AF247" i="2"/>
  <c r="AF229" i="2"/>
  <c r="AF242" i="2"/>
  <c r="AF206" i="2"/>
  <c r="AF193" i="2"/>
  <c r="AF175" i="2"/>
  <c r="AF224" i="2"/>
  <c r="AF211" i="2"/>
  <c r="AF188" i="2"/>
  <c r="AA209" i="2"/>
  <c r="AB199" i="2"/>
  <c r="AA201" i="2"/>
  <c r="AD189" i="2"/>
  <c r="AD190" i="2" s="1"/>
  <c r="AE122" i="2"/>
  <c r="AE123" i="2" s="1"/>
  <c r="Y961" i="2"/>
  <c r="Y623" i="2"/>
  <c r="Y101" i="4"/>
  <c r="Y39" i="4"/>
  <c r="AB146" i="2"/>
  <c r="AD152" i="2"/>
  <c r="AD153" i="2" s="1"/>
  <c r="AC99" i="2"/>
  <c r="AC322" i="2" s="1"/>
  <c r="AA136" i="2"/>
  <c r="AB126" i="2"/>
  <c r="AA128" i="2"/>
  <c r="AA118" i="2"/>
  <c r="AB108" i="2"/>
  <c r="AA110" i="2"/>
  <c r="AD134" i="2"/>
  <c r="AD135" i="2" s="1"/>
  <c r="AB154" i="2"/>
  <c r="AC144" i="2"/>
  <c r="AD116" i="2"/>
  <c r="AD117" i="2" s="1"/>
  <c r="AF169" i="2"/>
  <c r="AF156" i="2"/>
  <c r="AF138" i="2"/>
  <c r="AF151" i="2"/>
  <c r="AF133" i="2"/>
  <c r="AF120" i="2"/>
  <c r="AF102" i="2"/>
  <c r="AF115" i="2"/>
  <c r="AD170" i="2"/>
  <c r="AD171" i="2" s="1"/>
  <c r="AA172" i="2"/>
  <c r="AB162" i="2"/>
  <c r="AA164" i="2"/>
  <c r="AC146" i="4"/>
  <c r="AC141" i="4"/>
  <c r="AB100" i="2"/>
  <c r="AC90" i="2"/>
  <c r="AF97" i="2"/>
  <c r="AF84" i="2"/>
  <c r="AD98" i="2"/>
  <c r="AF489" i="2"/>
  <c r="AF883" i="2"/>
  <c r="AF590" i="2"/>
  <c r="AB271" i="4"/>
  <c r="AB1" i="4"/>
  <c r="AB1" i="1"/>
  <c r="AB1" i="5"/>
  <c r="AB113" i="1"/>
  <c r="AB841" i="2"/>
  <c r="AB615" i="2"/>
  <c r="AB73" i="4"/>
  <c r="AB102" i="10"/>
  <c r="AB42" i="2"/>
  <c r="X116" i="10"/>
  <c r="X112" i="10"/>
  <c r="X110" i="10" s="1"/>
  <c r="AF14" i="2"/>
  <c r="AF139" i="2" s="1"/>
  <c r="AF13" i="2"/>
  <c r="AF157" i="2" s="1"/>
  <c r="AF12" i="2"/>
  <c r="AF121" i="2" s="1"/>
  <c r="AB55" i="10"/>
  <c r="AB1" i="2"/>
  <c r="AB464" i="2"/>
  <c r="AB119" i="4"/>
  <c r="AB4" i="2"/>
  <c r="AF59" i="1"/>
  <c r="V120" i="10"/>
  <c r="W107" i="10"/>
  <c r="W118" i="10" s="1"/>
  <c r="AF595" i="2"/>
  <c r="AF187" i="4"/>
  <c r="AF203" i="4"/>
  <c r="AF252" i="4"/>
  <c r="AF294" i="4"/>
  <c r="AF236" i="4"/>
  <c r="J80" i="7" s="1"/>
  <c r="AI87" i="1"/>
  <c r="AH91" i="1"/>
  <c r="AB90" i="10"/>
  <c r="AB313" i="4"/>
  <c r="AF577" i="2"/>
  <c r="AB682" i="2"/>
  <c r="AB80" i="2"/>
  <c r="AB222" i="4"/>
  <c r="AB4" i="5"/>
  <c r="AB38" i="1"/>
  <c r="AB1" i="10"/>
  <c r="AB826" i="2"/>
  <c r="AB37" i="4"/>
  <c r="AB332" i="2"/>
  <c r="AB513" i="2"/>
  <c r="AB14" i="1"/>
  <c r="AB862" i="2"/>
  <c r="AB880" i="2"/>
  <c r="AB138" i="4"/>
  <c r="AF497" i="2"/>
  <c r="AI43" i="1"/>
  <c r="AH49" i="1"/>
  <c r="AH246" i="4"/>
  <c r="AH197" i="4"/>
  <c r="AH47" i="1"/>
  <c r="AH48" i="1"/>
  <c r="AH50" i="1"/>
  <c r="AH288" i="4"/>
  <c r="AG2" i="5"/>
  <c r="AH25" i="1"/>
  <c r="AG2" i="4"/>
  <c r="AG103" i="4" s="1"/>
  <c r="AG2" i="1"/>
  <c r="AG45" i="1" s="1"/>
  <c r="AG2" i="2"/>
  <c r="AG2" i="10"/>
  <c r="AG141" i="1"/>
  <c r="AB952" i="2"/>
  <c r="W120" i="10"/>
  <c r="X107" i="10"/>
  <c r="X118" i="10" s="1"/>
  <c r="AK86" i="1"/>
  <c r="AB68" i="1"/>
  <c r="AB891" i="2"/>
  <c r="AB4" i="4"/>
  <c r="AB174" i="4"/>
  <c r="AG247" i="4"/>
  <c r="AF603" i="2"/>
  <c r="AJ81" i="1"/>
  <c r="AK79" i="1"/>
  <c r="AF850" i="2"/>
  <c r="AG849" i="2"/>
  <c r="AG848" i="2" s="1"/>
  <c r="AF857" i="2"/>
  <c r="AF856" i="2" s="1"/>
  <c r="AE858" i="2"/>
  <c r="AG54" i="1"/>
  <c r="AF55" i="1"/>
  <c r="AF53" i="1" s="1"/>
  <c r="AH62" i="10"/>
  <c r="AH57" i="10"/>
  <c r="N329" i="4"/>
  <c r="AC47" i="4"/>
  <c r="AD651" i="2"/>
  <c r="AE650" i="2"/>
  <c r="AD90" i="4"/>
  <c r="AE93" i="10"/>
  <c r="AF582" i="2"/>
  <c r="AF601" i="2"/>
  <c r="AE621" i="2"/>
  <c r="AE632" i="2"/>
  <c r="AE633" i="2" s="1"/>
  <c r="AE638" i="2"/>
  <c r="AE639" i="2" s="1"/>
  <c r="AE124" i="10"/>
  <c r="AD621" i="2"/>
  <c r="AF111" i="4"/>
  <c r="AE656" i="2"/>
  <c r="AF593" i="2"/>
  <c r="AD29" i="1"/>
  <c r="AE26" i="1"/>
  <c r="AD28" i="1"/>
  <c r="AD27" i="1"/>
  <c r="AD86" i="4"/>
  <c r="AE65" i="10"/>
  <c r="N89" i="4"/>
  <c r="N93" i="4" s="1"/>
  <c r="N169" i="4" s="1"/>
  <c r="O84" i="10"/>
  <c r="S71" i="10"/>
  <c r="S72" i="10" s="1"/>
  <c r="AD102" i="4"/>
  <c r="AE125" i="10"/>
  <c r="AD668" i="2"/>
  <c r="AE667" i="2"/>
  <c r="AC141" i="1"/>
  <c r="AE140" i="1"/>
  <c r="AC34" i="1"/>
  <c r="AC55" i="2" s="1"/>
  <c r="AE499" i="2"/>
  <c r="AF495" i="2"/>
  <c r="O79" i="10"/>
  <c r="N17" i="4"/>
  <c r="AD663" i="2"/>
  <c r="AE662" i="2"/>
  <c r="AD82" i="4"/>
  <c r="AE97" i="10"/>
  <c r="AE673" i="2"/>
  <c r="AF672" i="2"/>
  <c r="AA178" i="4"/>
  <c r="AB131" i="1"/>
  <c r="AD226" i="4"/>
  <c r="AE120" i="1"/>
  <c r="AC592" i="2"/>
  <c r="AC14" i="4" s="1"/>
  <c r="AD588" i="2"/>
  <c r="M991" i="2"/>
  <c r="AE606" i="2"/>
  <c r="AC317" i="4"/>
  <c r="AD146" i="1"/>
  <c r="AD275" i="4"/>
  <c r="AE123" i="1"/>
  <c r="AD627" i="2"/>
  <c r="AE626" i="2"/>
  <c r="AC491" i="2"/>
  <c r="AC13" i="4" s="1"/>
  <c r="AD487" i="2"/>
  <c r="AE644" i="2"/>
  <c r="AE645" i="2" s="1"/>
  <c r="J159" i="4"/>
  <c r="J116" i="4"/>
  <c r="J130" i="4"/>
  <c r="I301" i="4"/>
  <c r="I290" i="4"/>
  <c r="I306" i="4"/>
  <c r="I308" i="4"/>
  <c r="I948" i="2"/>
  <c r="I232" i="4"/>
  <c r="J49" i="4"/>
  <c r="K30" i="4"/>
  <c r="K1012" i="2"/>
  <c r="K325" i="4"/>
  <c r="I282" i="4"/>
  <c r="I947" i="2"/>
  <c r="I887" i="2"/>
  <c r="I75" i="4"/>
  <c r="J68" i="4"/>
  <c r="J344" i="4"/>
  <c r="K328" i="4"/>
  <c r="K1013" i="2"/>
  <c r="K666" i="2" s="1"/>
  <c r="K665" i="2" s="1"/>
  <c r="I183" i="4"/>
  <c r="I190" i="4"/>
  <c r="I210" i="4" s="1"/>
  <c r="AG92" i="4" l="1"/>
  <c r="I259" i="4"/>
  <c r="I260" i="4" s="1"/>
  <c r="AG44" i="1"/>
  <c r="AG108" i="4"/>
  <c r="AB822" i="2"/>
  <c r="AC709" i="2"/>
  <c r="H117" i="4"/>
  <c r="H170" i="4"/>
  <c r="H160" i="4"/>
  <c r="Q799" i="2"/>
  <c r="Q736" i="2"/>
  <c r="Q795" i="2"/>
  <c r="Q732" i="2"/>
  <c r="L995" i="2"/>
  <c r="L988" i="2" s="1"/>
  <c r="M993" i="2"/>
  <c r="Q784" i="2"/>
  <c r="Q705" i="2"/>
  <c r="AD34" i="1"/>
  <c r="AD55" i="2" s="1"/>
  <c r="D83" i="7"/>
  <c r="H241" i="4"/>
  <c r="Q700" i="2"/>
  <c r="P781" i="2"/>
  <c r="AC455" i="2"/>
  <c r="AC631" i="2" s="1"/>
  <c r="AC629" i="2" s="1"/>
  <c r="AC80" i="4" s="1"/>
  <c r="AC182" i="4"/>
  <c r="AC279" i="4"/>
  <c r="AB454" i="2"/>
  <c r="AA453" i="2"/>
  <c r="AA964" i="2" s="1"/>
  <c r="Y458" i="2"/>
  <c r="Y649" i="2" s="1"/>
  <c r="Y647" i="2" s="1"/>
  <c r="Y97" i="4" s="1"/>
  <c r="AE341" i="2"/>
  <c r="AF406" i="2"/>
  <c r="AF413" i="2" s="1"/>
  <c r="AF423" i="2" s="1"/>
  <c r="AF424" i="2" s="1"/>
  <c r="AF418" i="2" s="1"/>
  <c r="AE423" i="2"/>
  <c r="AE424" i="2" s="1"/>
  <c r="AE418" i="2" s="1"/>
  <c r="AG416" i="2"/>
  <c r="AG414" i="2"/>
  <c r="AG422" i="2"/>
  <c r="AG407" i="2"/>
  <c r="AG405" i="2"/>
  <c r="AG411" i="2"/>
  <c r="AG409" i="2"/>
  <c r="T109" i="4"/>
  <c r="T867" i="2"/>
  <c r="T869" i="2" s="1"/>
  <c r="T873" i="2" s="1"/>
  <c r="T963" i="2" s="1"/>
  <c r="T972" i="2" s="1"/>
  <c r="T958" i="2" s="1"/>
  <c r="AC229" i="4"/>
  <c r="AD818" i="2"/>
  <c r="AD968" i="2" s="1"/>
  <c r="AD56" i="4"/>
  <c r="AE570" i="2"/>
  <c r="AE600" i="2" s="1"/>
  <c r="AE598" i="2" s="1"/>
  <c r="AF569" i="2"/>
  <c r="AF565" i="2" s="1"/>
  <c r="AF570" i="2" s="1"/>
  <c r="AF600" i="2" s="1"/>
  <c r="AF739" i="2"/>
  <c r="AF733" i="2"/>
  <c r="AB279" i="4"/>
  <c r="AB182" i="4"/>
  <c r="AB229" i="4"/>
  <c r="I73" i="7" s="1"/>
  <c r="I53" i="7"/>
  <c r="AF708" i="2"/>
  <c r="AF789" i="2" s="1"/>
  <c r="AF702" i="2"/>
  <c r="AF782" i="2" s="1"/>
  <c r="AF767" i="2"/>
  <c r="AF761" i="2"/>
  <c r="AE797" i="2"/>
  <c r="AE790" i="2" s="1"/>
  <c r="AE53" i="4" s="1"/>
  <c r="AE804" i="2"/>
  <c r="AE56" i="4" s="1"/>
  <c r="AE776" i="2"/>
  <c r="AD52" i="4"/>
  <c r="AD817" i="2"/>
  <c r="AG312" i="2"/>
  <c r="AG276" i="2"/>
  <c r="AG203" i="2"/>
  <c r="AG130" i="2"/>
  <c r="AG94" i="2"/>
  <c r="AG148" i="2"/>
  <c r="AG352" i="2"/>
  <c r="AG294" i="2"/>
  <c r="AG239" i="2"/>
  <c r="AG112" i="2"/>
  <c r="AG257" i="2"/>
  <c r="AG166" i="2"/>
  <c r="AG221" i="2"/>
  <c r="AG185" i="2"/>
  <c r="AG442" i="2"/>
  <c r="AG548" i="2"/>
  <c r="AG750" i="2"/>
  <c r="AG722" i="2"/>
  <c r="AG567" i="2"/>
  <c r="AG556" i="2"/>
  <c r="AG537" i="2"/>
  <c r="AG521" i="2"/>
  <c r="AG692" i="2"/>
  <c r="AG529" i="2"/>
  <c r="AG399" i="2"/>
  <c r="AG378" i="2"/>
  <c r="AH72" i="1"/>
  <c r="AF550" i="2"/>
  <c r="AF546" i="2" s="1"/>
  <c r="AF551" i="2" s="1"/>
  <c r="AF539" i="2"/>
  <c r="AF535" i="2" s="1"/>
  <c r="AF540" i="2" s="1"/>
  <c r="AE573" i="2"/>
  <c r="AC611" i="2"/>
  <c r="AF531" i="2"/>
  <c r="AF527" i="2" s="1"/>
  <c r="AF532" i="2" s="1"/>
  <c r="H6" i="7"/>
  <c r="AD965" i="2"/>
  <c r="AD572" i="2"/>
  <c r="AD585" i="2"/>
  <c r="AF558" i="2"/>
  <c r="AF554" i="2" s="1"/>
  <c r="AF559" i="2" s="1"/>
  <c r="AE586" i="2"/>
  <c r="AE587" i="2"/>
  <c r="AD597" i="2"/>
  <c r="AF523" i="2"/>
  <c r="AF519" i="2" s="1"/>
  <c r="AF524" i="2" s="1"/>
  <c r="AE524" i="2"/>
  <c r="AE574" i="2" s="1"/>
  <c r="Z372" i="2"/>
  <c r="AF427" i="2"/>
  <c r="AF428" i="2" s="1"/>
  <c r="AF435" i="2" s="1"/>
  <c r="Q1007" i="2"/>
  <c r="Q1008" i="2" s="1"/>
  <c r="Q1002" i="2" s="1"/>
  <c r="S1000" i="2"/>
  <c r="S997" i="2" s="1"/>
  <c r="S1009" i="2"/>
  <c r="S1005" i="2"/>
  <c r="S81" i="4"/>
  <c r="AF337" i="2"/>
  <c r="U921" i="2"/>
  <c r="U938" i="2"/>
  <c r="U44" i="4" s="1"/>
  <c r="S324" i="4"/>
  <c r="S959" i="2"/>
  <c r="S960" i="2" s="1"/>
  <c r="S323" i="4" s="1"/>
  <c r="V922" i="2"/>
  <c r="Y903" i="2"/>
  <c r="S944" i="2"/>
  <c r="S913" i="2"/>
  <c r="AG905" i="2"/>
  <c r="AG924" i="2"/>
  <c r="AG931" i="2"/>
  <c r="AG932" i="2" s="1"/>
  <c r="AA42" i="4"/>
  <c r="AC608" i="2"/>
  <c r="AB610" i="2"/>
  <c r="AG568" i="2"/>
  <c r="AG557" i="2"/>
  <c r="AG549" i="2"/>
  <c r="AB579" i="2"/>
  <c r="AB10" i="4" s="1"/>
  <c r="AC575" i="2"/>
  <c r="AB584" i="2"/>
  <c r="AC580" i="2"/>
  <c r="AG530" i="2"/>
  <c r="AG522" i="2"/>
  <c r="AG538" i="2"/>
  <c r="AB356" i="2"/>
  <c r="AC345" i="2"/>
  <c r="AC355" i="2" s="1"/>
  <c r="AG438" i="2"/>
  <c r="AG436" i="2"/>
  <c r="AG444" i="2"/>
  <c r="AG429" i="2"/>
  <c r="AG433" i="2"/>
  <c r="AG426" i="2"/>
  <c r="AG431" i="2"/>
  <c r="AF304" i="2"/>
  <c r="AF305" i="2" s="1"/>
  <c r="AD339" i="2"/>
  <c r="AE38" i="2"/>
  <c r="AE336" i="2" s="1"/>
  <c r="AE338" i="2" s="1"/>
  <c r="AE451" i="2" s="1"/>
  <c r="AF28" i="2"/>
  <c r="AF36" i="2"/>
  <c r="AF385" i="2"/>
  <c r="AF392" i="2" s="1"/>
  <c r="AE402" i="2"/>
  <c r="AE403" i="2" s="1"/>
  <c r="AE397" i="2" s="1"/>
  <c r="AF29" i="2"/>
  <c r="AF37" i="2"/>
  <c r="AF27" i="2"/>
  <c r="AF35" i="2"/>
  <c r="AG395" i="2"/>
  <c r="AG393" i="2"/>
  <c r="AG386" i="2"/>
  <c r="AG18" i="2"/>
  <c r="AG19" i="2"/>
  <c r="AG17" i="2"/>
  <c r="AG401" i="2"/>
  <c r="AG388" i="2"/>
  <c r="AG21" i="2"/>
  <c r="AG20" i="2"/>
  <c r="AG390" i="2"/>
  <c r="AE30" i="2"/>
  <c r="AF26" i="2"/>
  <c r="AF34" i="2"/>
  <c r="AF25" i="2"/>
  <c r="AF33" i="2"/>
  <c r="AF22" i="2"/>
  <c r="AF470" i="2"/>
  <c r="AF471" i="2" s="1"/>
  <c r="AF231" i="2"/>
  <c r="AF232" i="2" s="1"/>
  <c r="AF268" i="2"/>
  <c r="AF269" i="2" s="1"/>
  <c r="AF195" i="2"/>
  <c r="AF196" i="2" s="1"/>
  <c r="AF213" i="2"/>
  <c r="AF214" i="2" s="1"/>
  <c r="AF177" i="2"/>
  <c r="AF178" i="2" s="1"/>
  <c r="AE768" i="2"/>
  <c r="W460" i="2"/>
  <c r="Z964" i="2"/>
  <c r="X450" i="2"/>
  <c r="X40" i="4" s="1"/>
  <c r="H35" i="7" s="1"/>
  <c r="AA348" i="2"/>
  <c r="Z350" i="2"/>
  <c r="AE763" i="2"/>
  <c r="AE764" i="2" s="1"/>
  <c r="AF763" i="2" s="1"/>
  <c r="AF764" i="2" s="1"/>
  <c r="AC346" i="2"/>
  <c r="AF249" i="2"/>
  <c r="AF250" i="2" s="1"/>
  <c r="AG354" i="2"/>
  <c r="AG343" i="2"/>
  <c r="AE793" i="2"/>
  <c r="AE91" i="4" s="1"/>
  <c r="AE759" i="2"/>
  <c r="AE760" i="2" s="1"/>
  <c r="AF759" i="2" s="1"/>
  <c r="AF760" i="2" s="1"/>
  <c r="AF757" i="2"/>
  <c r="Y655" i="2"/>
  <c r="Z374" i="2"/>
  <c r="Z459" i="2" s="1"/>
  <c r="Y376" i="2"/>
  <c r="Y452" i="2" s="1"/>
  <c r="Z142" i="4"/>
  <c r="Z167" i="4"/>
  <c r="Z7" i="4"/>
  <c r="Z11" i="4" s="1"/>
  <c r="X77" i="4"/>
  <c r="X653" i="2"/>
  <c r="X675" i="2" s="1"/>
  <c r="AD369" i="2"/>
  <c r="AD456" i="2" s="1"/>
  <c r="AA144" i="4"/>
  <c r="AA955" i="2"/>
  <c r="AA321" i="4" s="1"/>
  <c r="AA449" i="2"/>
  <c r="Y142" i="4"/>
  <c r="Y167" i="4"/>
  <c r="Y7" i="4"/>
  <c r="AD367" i="2"/>
  <c r="AD457" i="2" s="1"/>
  <c r="AB382" i="2"/>
  <c r="AF86" i="2"/>
  <c r="AF87" i="2" s="1"/>
  <c r="AD365" i="2"/>
  <c r="AC371" i="2"/>
  <c r="AG380" i="2"/>
  <c r="AB637" i="2"/>
  <c r="AB635" i="2" s="1"/>
  <c r="AB79" i="4" s="1"/>
  <c r="AC481" i="2"/>
  <c r="AF758" i="2"/>
  <c r="AC500" i="2"/>
  <c r="AB483" i="2"/>
  <c r="AB9" i="4" s="1"/>
  <c r="I8" i="7" s="1"/>
  <c r="AC479" i="2"/>
  <c r="AB643" i="2"/>
  <c r="AB641" i="2" s="1"/>
  <c r="AB78" i="4" s="1"/>
  <c r="AB166" i="4" s="1"/>
  <c r="AE472" i="2"/>
  <c r="AE478" i="2" s="1"/>
  <c r="AE503" i="2" s="1"/>
  <c r="AE477" i="2"/>
  <c r="AC504" i="2"/>
  <c r="AC661" i="2" s="1"/>
  <c r="AC659" i="2" s="1"/>
  <c r="AC100" i="4" s="1"/>
  <c r="AD502" i="2"/>
  <c r="AD476" i="2"/>
  <c r="AB508" i="2"/>
  <c r="AB41" i="4" s="1"/>
  <c r="I36" i="7" s="1"/>
  <c r="AC509" i="2"/>
  <c r="AC986" i="2" s="1"/>
  <c r="AC331" i="4" s="1"/>
  <c r="AD984" i="2"/>
  <c r="AD332" i="4" s="1"/>
  <c r="AD506" i="2"/>
  <c r="AD985" i="2" s="1"/>
  <c r="AG744" i="2"/>
  <c r="AG755" i="2" s="1"/>
  <c r="AG501" i="2"/>
  <c r="AG474" i="2"/>
  <c r="AF286" i="2"/>
  <c r="AF287" i="2" s="1"/>
  <c r="AF697" i="2"/>
  <c r="AF158" i="2"/>
  <c r="AF159" i="2" s="1"/>
  <c r="AD798" i="2"/>
  <c r="AD970" i="2" s="1"/>
  <c r="AD973" i="2" s="1"/>
  <c r="AE794" i="2"/>
  <c r="AE671" i="2" s="1"/>
  <c r="AE670" i="2" s="1"/>
  <c r="AE98" i="4" s="1"/>
  <c r="AF140" i="2"/>
  <c r="AF141" i="2" s="1"/>
  <c r="AF762" i="2"/>
  <c r="AE740" i="2"/>
  <c r="AF727" i="2"/>
  <c r="AF730" i="2"/>
  <c r="AF729" i="2"/>
  <c r="AG689" i="2"/>
  <c r="AG698" i="2" s="1"/>
  <c r="AG778" i="2" s="1"/>
  <c r="AG716" i="2"/>
  <c r="AE734" i="2"/>
  <c r="AE798" i="2" s="1"/>
  <c r="AE970" i="2" s="1"/>
  <c r="AD270" i="2"/>
  <c r="AD306" i="2"/>
  <c r="AD106" i="2"/>
  <c r="AE189" i="2"/>
  <c r="AE190" i="2" s="1"/>
  <c r="AD124" i="2"/>
  <c r="AD179" i="2"/>
  <c r="AD142" i="2"/>
  <c r="AD233" i="2"/>
  <c r="AD160" i="2"/>
  <c r="AE207" i="2"/>
  <c r="AE208" i="2" s="1"/>
  <c r="AE197" i="2" s="1"/>
  <c r="AE280" i="2"/>
  <c r="AE281" i="2" s="1"/>
  <c r="AD215" i="2"/>
  <c r="AF104" i="2"/>
  <c r="AF105" i="2" s="1"/>
  <c r="AB325" i="2"/>
  <c r="AA326" i="2"/>
  <c r="AA961" i="2" s="1"/>
  <c r="AE321" i="2"/>
  <c r="AE6" i="4" s="1"/>
  <c r="AD327" i="2"/>
  <c r="AD954" i="2" s="1"/>
  <c r="AD320" i="4" s="1"/>
  <c r="AG315" i="2"/>
  <c r="AG302" i="2"/>
  <c r="AG279" i="2"/>
  <c r="AG284" i="2"/>
  <c r="AG297" i="2"/>
  <c r="AG266" i="2"/>
  <c r="AE298" i="2"/>
  <c r="AE299" i="2" s="1"/>
  <c r="AC282" i="2"/>
  <c r="AD272" i="2"/>
  <c r="AD299" i="2"/>
  <c r="AD288" i="2" s="1"/>
  <c r="AC318" i="2"/>
  <c r="AD308" i="2"/>
  <c r="AC310" i="2"/>
  <c r="AC300" i="2"/>
  <c r="AD290" i="2"/>
  <c r="AC292" i="2"/>
  <c r="AE316" i="2"/>
  <c r="AE317" i="2" s="1"/>
  <c r="AC274" i="2"/>
  <c r="AF122" i="2"/>
  <c r="AF123" i="2" s="1"/>
  <c r="Z328" i="2"/>
  <c r="AD99" i="2"/>
  <c r="AA619" i="2"/>
  <c r="AA617" i="2" s="1"/>
  <c r="AB88" i="2"/>
  <c r="AB324" i="2" s="1"/>
  <c r="AA92" i="2"/>
  <c r="AA323" i="2" s="1"/>
  <c r="AE98" i="2"/>
  <c r="Z76" i="4"/>
  <c r="Z165" i="4" s="1"/>
  <c r="AE225" i="2"/>
  <c r="AE226" i="2" s="1"/>
  <c r="AD208" i="2"/>
  <c r="AD197" i="2" s="1"/>
  <c r="AC245" i="2"/>
  <c r="AD235" i="2"/>
  <c r="AD262" i="2"/>
  <c r="AD251" i="2" s="1"/>
  <c r="AB227" i="2"/>
  <c r="AC217" i="2"/>
  <c r="AB219" i="2"/>
  <c r="AB263" i="2"/>
  <c r="AC253" i="2"/>
  <c r="AB255" i="2"/>
  <c r="AC237" i="2"/>
  <c r="AE261" i="2"/>
  <c r="AE262" i="2" s="1"/>
  <c r="AB191" i="2"/>
  <c r="AC181" i="2"/>
  <c r="AB183" i="2"/>
  <c r="AG260" i="2"/>
  <c r="AG247" i="2"/>
  <c r="AG242" i="2"/>
  <c r="AG224" i="2"/>
  <c r="AG229" i="2"/>
  <c r="AG188" i="2"/>
  <c r="AG193" i="2"/>
  <c r="AG175" i="2"/>
  <c r="AG211" i="2"/>
  <c r="AG206" i="2"/>
  <c r="AB209" i="2"/>
  <c r="AC199" i="2"/>
  <c r="AE243" i="2"/>
  <c r="AE244" i="2" s="1"/>
  <c r="AB201" i="2"/>
  <c r="Z39" i="4"/>
  <c r="Z625" i="2"/>
  <c r="AD141" i="4"/>
  <c r="AD146" i="4"/>
  <c r="AG169" i="2"/>
  <c r="AG156" i="2"/>
  <c r="AG151" i="2"/>
  <c r="AG138" i="2"/>
  <c r="AG133" i="2"/>
  <c r="AG120" i="2"/>
  <c r="AG102" i="2"/>
  <c r="AG115" i="2"/>
  <c r="AB118" i="2"/>
  <c r="AC108" i="2"/>
  <c r="AB110" i="2"/>
  <c r="AE170" i="2"/>
  <c r="AE171" i="2" s="1"/>
  <c r="AC154" i="2"/>
  <c r="AD144" i="2"/>
  <c r="AE116" i="2"/>
  <c r="AE117" i="2" s="1"/>
  <c r="AB136" i="2"/>
  <c r="AC126" i="2"/>
  <c r="AB128" i="2"/>
  <c r="AC146" i="2"/>
  <c r="AE134" i="2"/>
  <c r="AE135" i="2" s="1"/>
  <c r="AE152" i="2"/>
  <c r="AB172" i="2"/>
  <c r="AC162" i="2"/>
  <c r="AB164" i="2"/>
  <c r="AG97" i="2"/>
  <c r="AG84" i="2"/>
  <c r="AC100" i="2"/>
  <c r="AD90" i="2"/>
  <c r="AG294" i="4"/>
  <c r="AG252" i="4"/>
  <c r="AG187" i="4"/>
  <c r="AG203" i="4"/>
  <c r="AG236" i="4"/>
  <c r="AJ87" i="1"/>
  <c r="AI91" i="1"/>
  <c r="Y107" i="10"/>
  <c r="Y118" i="10" s="1"/>
  <c r="X120" i="10"/>
  <c r="AG590" i="2"/>
  <c r="AH2" i="5"/>
  <c r="AH2" i="4"/>
  <c r="AH108" i="4" s="1"/>
  <c r="AH2" i="10"/>
  <c r="AH2" i="2"/>
  <c r="AH2" i="1"/>
  <c r="AH45" i="1" s="1"/>
  <c r="AI25" i="1"/>
  <c r="AH141" i="1"/>
  <c r="AG497" i="2"/>
  <c r="AG595" i="2"/>
  <c r="Y111" i="10"/>
  <c r="X117" i="10"/>
  <c r="AG13" i="2"/>
  <c r="AG157" i="2" s="1"/>
  <c r="AG14" i="2"/>
  <c r="AG139" i="2" s="1"/>
  <c r="AG12" i="2"/>
  <c r="AG121" i="2" s="1"/>
  <c r="AL79" i="1"/>
  <c r="AK81" i="1"/>
  <c r="AG883" i="2"/>
  <c r="AG198" i="4"/>
  <c r="AH198" i="4" s="1"/>
  <c r="AG83" i="4"/>
  <c r="AG113" i="4"/>
  <c r="V114" i="10"/>
  <c r="V122" i="10"/>
  <c r="AG489" i="2"/>
  <c r="AI49" i="1"/>
  <c r="AI48" i="1"/>
  <c r="AI47" i="1"/>
  <c r="AI50" i="1"/>
  <c r="AJ43" i="1"/>
  <c r="AI197" i="4"/>
  <c r="AI246" i="4"/>
  <c r="AI288" i="4"/>
  <c r="AG603" i="2"/>
  <c r="AL86" i="1"/>
  <c r="W114" i="10"/>
  <c r="W122" i="10"/>
  <c r="AG577" i="2"/>
  <c r="AG59" i="1"/>
  <c r="AG289" i="4"/>
  <c r="AH289" i="4" s="1"/>
  <c r="AD42" i="2"/>
  <c r="AC4" i="2"/>
  <c r="AC42" i="2"/>
  <c r="AG857" i="2"/>
  <c r="AG856" i="2" s="1"/>
  <c r="AF858" i="2"/>
  <c r="AH849" i="2"/>
  <c r="AH848" i="2" s="1"/>
  <c r="AG850" i="2"/>
  <c r="AH54" i="1"/>
  <c r="AG55" i="1"/>
  <c r="AG53" i="1" s="1"/>
  <c r="AI62" i="10"/>
  <c r="AI57" i="10"/>
  <c r="O85" i="10"/>
  <c r="O20" i="4"/>
  <c r="AE29" i="1"/>
  <c r="AF26" i="1"/>
  <c r="AE28" i="1"/>
  <c r="AE27" i="1"/>
  <c r="AF656" i="2"/>
  <c r="AG601" i="2"/>
  <c r="AE627" i="2"/>
  <c r="AF626" i="2"/>
  <c r="AD1" i="5"/>
  <c r="AD138" i="4"/>
  <c r="AD222" i="4"/>
  <c r="AD119" i="4"/>
  <c r="AD73" i="4"/>
  <c r="AD37" i="4"/>
  <c r="AD880" i="2"/>
  <c r="AD952" i="2"/>
  <c r="AD464" i="2"/>
  <c r="AD332" i="2"/>
  <c r="AD826" i="2"/>
  <c r="AD80" i="2"/>
  <c r="AD102" i="10"/>
  <c r="AD68" i="1"/>
  <c r="AD113" i="1"/>
  <c r="AD1" i="1"/>
  <c r="AD55" i="10"/>
  <c r="AG111" i="4"/>
  <c r="AF644" i="2"/>
  <c r="AF645" i="2" s="1"/>
  <c r="AB178" i="4"/>
  <c r="AC131" i="1"/>
  <c r="N238" i="4"/>
  <c r="N161" i="4"/>
  <c r="N121" i="4"/>
  <c r="N123" i="4" s="1"/>
  <c r="N189" i="4"/>
  <c r="N22" i="4"/>
  <c r="N152" i="4"/>
  <c r="AE102" i="4"/>
  <c r="AF125" i="10"/>
  <c r="AE86" i="4"/>
  <c r="AF65" i="10"/>
  <c r="AD491" i="2"/>
  <c r="AD13" i="4" s="1"/>
  <c r="AE487" i="2"/>
  <c r="AE275" i="4"/>
  <c r="AF123" i="1"/>
  <c r="AE82" i="4"/>
  <c r="AF97" i="10"/>
  <c r="AD47" i="4"/>
  <c r="T70" i="10"/>
  <c r="AE651" i="2"/>
  <c r="AF650" i="2"/>
  <c r="AD317" i="4"/>
  <c r="AE146" i="1"/>
  <c r="AC4" i="5"/>
  <c r="AC1" i="5"/>
  <c r="AC73" i="4"/>
  <c r="AC222" i="4"/>
  <c r="AC313" i="4"/>
  <c r="AC119" i="4"/>
  <c r="AC37" i="4"/>
  <c r="AC1" i="4"/>
  <c r="AC4" i="4"/>
  <c r="AC174" i="4"/>
  <c r="AC138" i="4"/>
  <c r="AC271" i="4"/>
  <c r="AC841" i="2"/>
  <c r="AC952" i="2"/>
  <c r="AC862" i="2"/>
  <c r="AC682" i="2"/>
  <c r="AC880" i="2"/>
  <c r="AC513" i="2"/>
  <c r="AC464" i="2"/>
  <c r="AC80" i="2"/>
  <c r="AC332" i="2"/>
  <c r="AC1" i="2"/>
  <c r="AC615" i="2"/>
  <c r="AC102" i="10"/>
  <c r="AC826" i="2"/>
  <c r="AC90" i="10"/>
  <c r="AC55" i="10"/>
  <c r="AC113" i="1"/>
  <c r="AC1" i="1"/>
  <c r="AC1" i="10"/>
  <c r="AC68" i="1"/>
  <c r="AC14" i="1"/>
  <c r="AC38" i="1"/>
  <c r="AC891" i="2"/>
  <c r="AE668" i="2"/>
  <c r="AF667" i="2"/>
  <c r="AG593" i="2"/>
  <c r="AF606" i="2"/>
  <c r="M327" i="4"/>
  <c r="M994" i="2"/>
  <c r="M995" i="2" s="1"/>
  <c r="AE226" i="4"/>
  <c r="AF120" i="1"/>
  <c r="AG582" i="2"/>
  <c r="AB141" i="1"/>
  <c r="AF140" i="1"/>
  <c r="AF638" i="2"/>
  <c r="AF639" i="2" s="1"/>
  <c r="AE90" i="4"/>
  <c r="AF93" i="10"/>
  <c r="AF673" i="2"/>
  <c r="AG672" i="2"/>
  <c r="AF499" i="2"/>
  <c r="AG495" i="2"/>
  <c r="AD592" i="2"/>
  <c r="AD14" i="4" s="1"/>
  <c r="AE588" i="2"/>
  <c r="AE663" i="2"/>
  <c r="AF662" i="2"/>
  <c r="O88" i="4"/>
  <c r="O981" i="2"/>
  <c r="O976" i="2" s="1"/>
  <c r="P77" i="10"/>
  <c r="AE657" i="2"/>
  <c r="AF124" i="10"/>
  <c r="AF632" i="2"/>
  <c r="AF633" i="2" s="1"/>
  <c r="I84" i="4"/>
  <c r="I163" i="4" s="1"/>
  <c r="I302" i="4"/>
  <c r="I211" i="4"/>
  <c r="I199" i="4"/>
  <c r="I248" i="4"/>
  <c r="I309" i="4"/>
  <c r="I307" i="4"/>
  <c r="I264" i="4"/>
  <c r="I265" i="4" s="1"/>
  <c r="I266" i="4"/>
  <c r="I267" i="4" s="1"/>
  <c r="I215" i="4"/>
  <c r="I216" i="4" s="1"/>
  <c r="I217" i="4"/>
  <c r="I218" i="4" s="1"/>
  <c r="K99" i="4"/>
  <c r="K676" i="2"/>
  <c r="K677" i="2" s="1"/>
  <c r="K678" i="2" s="1"/>
  <c r="J228" i="4"/>
  <c r="J67" i="4"/>
  <c r="J180" i="4"/>
  <c r="J125" i="4"/>
  <c r="J277" i="4"/>
  <c r="J276" i="4" s="1"/>
  <c r="I191" i="4"/>
  <c r="I184" i="4"/>
  <c r="K337" i="4"/>
  <c r="K33" i="4"/>
  <c r="K151" i="4"/>
  <c r="K112" i="4"/>
  <c r="I233" i="4"/>
  <c r="J345" i="4"/>
  <c r="I283" i="4"/>
  <c r="K43" i="4"/>
  <c r="I240" i="4"/>
  <c r="AD38" i="1" l="1"/>
  <c r="AD14" i="1"/>
  <c r="AD90" i="10"/>
  <c r="AD891" i="2"/>
  <c r="AD1" i="10"/>
  <c r="AD862" i="2"/>
  <c r="AD1" i="2"/>
  <c r="AD682" i="2"/>
  <c r="AD513" i="2"/>
  <c r="AD615" i="2"/>
  <c r="AD841" i="2"/>
  <c r="AD271" i="4"/>
  <c r="AD1" i="4"/>
  <c r="AD4" i="4"/>
  <c r="AD313" i="4"/>
  <c r="AD174" i="4"/>
  <c r="AD4" i="5"/>
  <c r="AD4" i="2"/>
  <c r="T872" i="2"/>
  <c r="AH103" i="4"/>
  <c r="Q780" i="2"/>
  <c r="Q701" i="2"/>
  <c r="L326" i="4"/>
  <c r="L989" i="2"/>
  <c r="L29" i="4"/>
  <c r="L1011" i="2"/>
  <c r="AC822" i="2"/>
  <c r="AD709" i="2"/>
  <c r="P979" i="2"/>
  <c r="P87" i="4"/>
  <c r="D84" i="7"/>
  <c r="H255" i="4"/>
  <c r="Q785" i="2"/>
  <c r="R704" i="2"/>
  <c r="Q796" i="2"/>
  <c r="R731" i="2"/>
  <c r="Q800" i="2"/>
  <c r="R735" i="2"/>
  <c r="AB453" i="2"/>
  <c r="AB964" i="2" s="1"/>
  <c r="Z458" i="2"/>
  <c r="Z649" i="2" s="1"/>
  <c r="Z647" i="2" s="1"/>
  <c r="Z97" i="4" s="1"/>
  <c r="AF341" i="2"/>
  <c r="AD455" i="2"/>
  <c r="AD631" i="2" s="1"/>
  <c r="AD629" i="2" s="1"/>
  <c r="AD80" i="4" s="1"/>
  <c r="AG406" i="2"/>
  <c r="AG413" i="2" s="1"/>
  <c r="AH416" i="2"/>
  <c r="AH414" i="2"/>
  <c r="AH422" i="2"/>
  <c r="AH405" i="2"/>
  <c r="AH407" i="2"/>
  <c r="AH411" i="2"/>
  <c r="AH409" i="2"/>
  <c r="AG539" i="2"/>
  <c r="AG535" i="2" s="1"/>
  <c r="AG540" i="2" s="1"/>
  <c r="AF599" i="2"/>
  <c r="AF605" i="2" s="1"/>
  <c r="AF15" i="4" s="1"/>
  <c r="J13" i="7" s="1"/>
  <c r="AG569" i="2"/>
  <c r="AG565" i="2" s="1"/>
  <c r="AG570" i="2" s="1"/>
  <c r="AG600" i="2" s="1"/>
  <c r="AG708" i="2"/>
  <c r="AG789" i="2" s="1"/>
  <c r="AG702" i="2"/>
  <c r="AG782" i="2" s="1"/>
  <c r="AG776" i="2" s="1"/>
  <c r="AG52" i="4" s="1"/>
  <c r="AE962" i="2"/>
  <c r="AH312" i="2"/>
  <c r="AH239" i="2"/>
  <c r="AH166" i="2"/>
  <c r="AH294" i="2"/>
  <c r="AH221" i="2"/>
  <c r="AH352" i="2"/>
  <c r="AH276" i="2"/>
  <c r="AH130" i="2"/>
  <c r="AH148" i="2"/>
  <c r="AH257" i="2"/>
  <c r="AH185" i="2"/>
  <c r="AH203" i="2"/>
  <c r="AH94" i="2"/>
  <c r="AH112" i="2"/>
  <c r="AH750" i="2"/>
  <c r="AH399" i="2"/>
  <c r="AH378" i="2"/>
  <c r="AH722" i="2"/>
  <c r="AH548" i="2"/>
  <c r="AH529" i="2"/>
  <c r="AH567" i="2"/>
  <c r="AH556" i="2"/>
  <c r="AH442" i="2"/>
  <c r="AH537" i="2"/>
  <c r="AH521" i="2"/>
  <c r="AH692" i="2"/>
  <c r="AI72" i="1"/>
  <c r="AG739" i="2"/>
  <c r="AG733" i="2"/>
  <c r="AD58" i="4"/>
  <c r="AG767" i="2"/>
  <c r="AG761" i="2"/>
  <c r="AE818" i="2"/>
  <c r="AE968" i="2" s="1"/>
  <c r="AE973" i="2" s="1"/>
  <c r="AF797" i="2"/>
  <c r="AF790" i="2" s="1"/>
  <c r="AE817" i="2"/>
  <c r="AE52" i="4"/>
  <c r="AE58" i="4" s="1"/>
  <c r="AF776" i="2"/>
  <c r="AF52" i="4" s="1"/>
  <c r="AF804" i="2"/>
  <c r="AF962" i="2" s="1"/>
  <c r="AG550" i="2"/>
  <c r="AG546" i="2" s="1"/>
  <c r="AG551" i="2" s="1"/>
  <c r="AG523" i="2"/>
  <c r="AG519" i="2" s="1"/>
  <c r="AG524" i="2" s="1"/>
  <c r="AG531" i="2"/>
  <c r="AG527" i="2" s="1"/>
  <c r="AG532" i="2" s="1"/>
  <c r="AD611" i="2"/>
  <c r="AE572" i="2"/>
  <c r="AF574" i="2"/>
  <c r="AF586" i="2"/>
  <c r="O145" i="4"/>
  <c r="Y11" i="4"/>
  <c r="AB143" i="4"/>
  <c r="I9" i="7"/>
  <c r="AG558" i="2"/>
  <c r="AG554" i="2" s="1"/>
  <c r="AG559" i="2" s="1"/>
  <c r="AE585" i="2"/>
  <c r="AE965" i="2"/>
  <c r="AF587" i="2"/>
  <c r="AE597" i="2"/>
  <c r="AF573" i="2"/>
  <c r="Z376" i="2"/>
  <c r="AA372" i="2"/>
  <c r="AG427" i="2"/>
  <c r="AG428" i="2" s="1"/>
  <c r="AG435" i="2" s="1"/>
  <c r="AG445" i="2" s="1"/>
  <c r="AG446" i="2" s="1"/>
  <c r="AG440" i="2" s="1"/>
  <c r="R1006" i="2"/>
  <c r="R1007" i="2" s="1"/>
  <c r="R1008" i="2" s="1"/>
  <c r="R1002" i="2" s="1"/>
  <c r="U939" i="2"/>
  <c r="U945" i="2" s="1"/>
  <c r="U25" i="4" s="1"/>
  <c r="T974" i="2"/>
  <c r="T81" i="4" s="1"/>
  <c r="Q1003" i="2"/>
  <c r="Q1004" i="2" s="1"/>
  <c r="Q335" i="4" s="1"/>
  <c r="Q336" i="4"/>
  <c r="T959" i="2"/>
  <c r="T960" i="2" s="1"/>
  <c r="T323" i="4" s="1"/>
  <c r="T324" i="4"/>
  <c r="V923" i="2"/>
  <c r="W922" i="2" s="1"/>
  <c r="V937" i="2"/>
  <c r="V21" i="4" s="1"/>
  <c r="T871" i="2"/>
  <c r="T46" i="4" s="1"/>
  <c r="G41" i="7" s="1"/>
  <c r="T26" i="4"/>
  <c r="G21" i="7" s="1"/>
  <c r="U181" i="4"/>
  <c r="U278" i="4"/>
  <c r="U126" i="4"/>
  <c r="AG337" i="2"/>
  <c r="S334" i="4"/>
  <c r="S998" i="2"/>
  <c r="S999" i="2" s="1"/>
  <c r="S333" i="4" s="1"/>
  <c r="Y904" i="2"/>
  <c r="Z903" i="2" s="1"/>
  <c r="Z904" i="2" s="1"/>
  <c r="AA903" i="2" s="1"/>
  <c r="S943" i="2"/>
  <c r="T912" i="2"/>
  <c r="AH924" i="2"/>
  <c r="AH905" i="2"/>
  <c r="AH931" i="2"/>
  <c r="AH932" i="2" s="1"/>
  <c r="AD608" i="2"/>
  <c r="AC610" i="2"/>
  <c r="AB42" i="4"/>
  <c r="I37" i="7" s="1"/>
  <c r="AH568" i="2"/>
  <c r="AH557" i="2"/>
  <c r="AH549" i="2"/>
  <c r="AD575" i="2"/>
  <c r="AC579" i="2"/>
  <c r="AC10" i="4" s="1"/>
  <c r="AD580" i="2"/>
  <c r="AC584" i="2"/>
  <c r="AH538" i="2"/>
  <c r="AH530" i="2"/>
  <c r="AH522" i="2"/>
  <c r="AC356" i="2"/>
  <c r="AG304" i="2"/>
  <c r="AG305" i="2" s="1"/>
  <c r="AF445" i="2"/>
  <c r="AF446" i="2" s="1"/>
  <c r="AF440" i="2" s="1"/>
  <c r="Z655" i="2"/>
  <c r="AH438" i="2"/>
  <c r="AH436" i="2"/>
  <c r="AH444" i="2"/>
  <c r="AH433" i="2"/>
  <c r="AH431" i="2"/>
  <c r="AH429" i="2"/>
  <c r="AH426" i="2"/>
  <c r="AG231" i="2"/>
  <c r="AG232" i="2" s="1"/>
  <c r="AF38" i="2"/>
  <c r="AF336" i="2" s="1"/>
  <c r="AF338" i="2" s="1"/>
  <c r="AF451" i="2" s="1"/>
  <c r="AE339" i="2"/>
  <c r="AD345" i="2"/>
  <c r="AG268" i="2"/>
  <c r="AG269" i="2" s="1"/>
  <c r="AH395" i="2"/>
  <c r="AH393" i="2"/>
  <c r="AH401" i="2"/>
  <c r="AH390" i="2"/>
  <c r="AH388" i="2"/>
  <c r="AH386" i="2"/>
  <c r="AH17" i="2"/>
  <c r="AH20" i="2"/>
  <c r="AH18" i="2"/>
  <c r="AH19" i="2"/>
  <c r="AH21" i="2"/>
  <c r="AG27" i="2"/>
  <c r="AG35" i="2"/>
  <c r="AG26" i="2"/>
  <c r="AG34" i="2"/>
  <c r="AF30" i="2"/>
  <c r="AG29" i="2"/>
  <c r="AG37" i="2"/>
  <c r="AF402" i="2"/>
  <c r="AF403" i="2" s="1"/>
  <c r="AF397" i="2" s="1"/>
  <c r="AG25" i="2"/>
  <c r="AG22" i="2"/>
  <c r="AG33" i="2"/>
  <c r="AG28" i="2"/>
  <c r="AG36" i="2"/>
  <c r="AG385" i="2"/>
  <c r="AG392" i="2" s="1"/>
  <c r="AG470" i="2"/>
  <c r="AG471" i="2" s="1"/>
  <c r="AG213" i="2"/>
  <c r="AG214" i="2" s="1"/>
  <c r="AG195" i="2"/>
  <c r="AG196" i="2" s="1"/>
  <c r="AG177" i="2"/>
  <c r="AG178" i="2" s="1"/>
  <c r="X460" i="2"/>
  <c r="AF768" i="2"/>
  <c r="AD346" i="2"/>
  <c r="AB348" i="2"/>
  <c r="AA350" i="2"/>
  <c r="AG249" i="2"/>
  <c r="AG250" i="2" s="1"/>
  <c r="Y450" i="2"/>
  <c r="AH354" i="2"/>
  <c r="AH343" i="2"/>
  <c r="AA8" i="4"/>
  <c r="AA374" i="2"/>
  <c r="AA459" i="2" s="1"/>
  <c r="AB955" i="2"/>
  <c r="AB321" i="4" s="1"/>
  <c r="AB449" i="2"/>
  <c r="AB8" i="4" s="1"/>
  <c r="AB7" i="4" s="1"/>
  <c r="AB11" i="4" s="1"/>
  <c r="Y77" i="4"/>
  <c r="Y653" i="2"/>
  <c r="Y675" i="2" s="1"/>
  <c r="AE369" i="2"/>
  <c r="AE456" i="2" s="1"/>
  <c r="AE365" i="2"/>
  <c r="AD371" i="2"/>
  <c r="AD381" i="2" s="1"/>
  <c r="AE367" i="2"/>
  <c r="AE457" i="2" s="1"/>
  <c r="AG86" i="2"/>
  <c r="AG87" i="2" s="1"/>
  <c r="AC381" i="2"/>
  <c r="AC454" i="2" s="1"/>
  <c r="AG364" i="2"/>
  <c r="AC483" i="2"/>
  <c r="AC9" i="4" s="1"/>
  <c r="AH380" i="2"/>
  <c r="AC508" i="2"/>
  <c r="AC41" i="4" s="1"/>
  <c r="AD509" i="2"/>
  <c r="AD986" i="2" s="1"/>
  <c r="AD331" i="4" s="1"/>
  <c r="AF472" i="2"/>
  <c r="AF478" i="2" s="1"/>
  <c r="AF503" i="2" s="1"/>
  <c r="AF477" i="2"/>
  <c r="AD500" i="2"/>
  <c r="AB144" i="4"/>
  <c r="AD504" i="2"/>
  <c r="AD661" i="2" s="1"/>
  <c r="AD659" i="2" s="1"/>
  <c r="AD100" i="4" s="1"/>
  <c r="AE476" i="2"/>
  <c r="AE502" i="2"/>
  <c r="AG758" i="2"/>
  <c r="AE984" i="2"/>
  <c r="AE332" i="4" s="1"/>
  <c r="AE506" i="2"/>
  <c r="AE985" i="2" s="1"/>
  <c r="AC637" i="2"/>
  <c r="AC635" i="2" s="1"/>
  <c r="AC79" i="4" s="1"/>
  <c r="AD481" i="2"/>
  <c r="AD479" i="2"/>
  <c r="AC643" i="2"/>
  <c r="AC641" i="2" s="1"/>
  <c r="AC78" i="4" s="1"/>
  <c r="AC166" i="4" s="1"/>
  <c r="AG757" i="2"/>
  <c r="AF703" i="2"/>
  <c r="AF783" i="2" s="1"/>
  <c r="AH744" i="2"/>
  <c r="AH755" i="2" s="1"/>
  <c r="AH474" i="2"/>
  <c r="AH501" i="2"/>
  <c r="AG158" i="2"/>
  <c r="AG159" i="2" s="1"/>
  <c r="AG286" i="2"/>
  <c r="AG287" i="2" s="1"/>
  <c r="AF793" i="2"/>
  <c r="AF91" i="4" s="1"/>
  <c r="AF794" i="2"/>
  <c r="AF671" i="2" s="1"/>
  <c r="AF670" i="2" s="1"/>
  <c r="AF98" i="4" s="1"/>
  <c r="AG140" i="2"/>
  <c r="AG141" i="2" s="1"/>
  <c r="AG697" i="2"/>
  <c r="AG703" i="2" s="1"/>
  <c r="AG783" i="2" s="1"/>
  <c r="AG763" i="2"/>
  <c r="AG764" i="2" s="1"/>
  <c r="AG762" i="2"/>
  <c r="AG759" i="2"/>
  <c r="AG760" i="2" s="1"/>
  <c r="AH689" i="2"/>
  <c r="AH697" i="2" s="1"/>
  <c r="AH716" i="2"/>
  <c r="AG727" i="2"/>
  <c r="AG730" i="2"/>
  <c r="AG729" i="2"/>
  <c r="AF740" i="2"/>
  <c r="AG699" i="2"/>
  <c r="AG779" i="2" s="1"/>
  <c r="AF734" i="2"/>
  <c r="AD310" i="2"/>
  <c r="AD237" i="2"/>
  <c r="AE233" i="2"/>
  <c r="AE179" i="2"/>
  <c r="AE251" i="2"/>
  <c r="AE306" i="2"/>
  <c r="AE106" i="2"/>
  <c r="AE160" i="2"/>
  <c r="AE288" i="2"/>
  <c r="AE215" i="2"/>
  <c r="AE270" i="2"/>
  <c r="AE124" i="2"/>
  <c r="AG104" i="2"/>
  <c r="AG105" i="2" s="1"/>
  <c r="AB326" i="2"/>
  <c r="AB625" i="2" s="1"/>
  <c r="AC325" i="2"/>
  <c r="AF321" i="2"/>
  <c r="AF6" i="4" s="1"/>
  <c r="J5" i="7" s="1"/>
  <c r="AE327" i="2"/>
  <c r="AE954" i="2" s="1"/>
  <c r="AE320" i="4" s="1"/>
  <c r="AD292" i="2"/>
  <c r="AD322" i="2"/>
  <c r="AH315" i="2"/>
  <c r="AH302" i="2"/>
  <c r="AH297" i="2"/>
  <c r="AH279" i="2"/>
  <c r="AH266" i="2"/>
  <c r="AH284" i="2"/>
  <c r="AA328" i="2"/>
  <c r="AF280" i="2"/>
  <c r="AF281" i="2" s="1"/>
  <c r="AD282" i="2"/>
  <c r="AE272" i="2"/>
  <c r="AF298" i="2"/>
  <c r="AF299" i="2" s="1"/>
  <c r="AD300" i="2"/>
  <c r="AE290" i="2"/>
  <c r="AD274" i="2"/>
  <c r="AD318" i="2"/>
  <c r="AE308" i="2"/>
  <c r="AG122" i="2"/>
  <c r="AG123" i="2" s="1"/>
  <c r="AF316" i="2"/>
  <c r="AF317" i="2" s="1"/>
  <c r="AA76" i="4"/>
  <c r="AA165" i="4" s="1"/>
  <c r="AB619" i="2"/>
  <c r="AB617" i="2" s="1"/>
  <c r="AB92" i="2"/>
  <c r="AC88" i="2"/>
  <c r="AC324" i="2" s="1"/>
  <c r="AE99" i="2"/>
  <c r="AC191" i="2"/>
  <c r="AD181" i="2"/>
  <c r="AC183" i="2"/>
  <c r="AC263" i="2"/>
  <c r="AD253" i="2"/>
  <c r="AC255" i="2"/>
  <c r="AF189" i="2"/>
  <c r="AF243" i="2"/>
  <c r="AF244" i="2" s="1"/>
  <c r="AF207" i="2"/>
  <c r="AF208" i="2" s="1"/>
  <c r="AC209" i="2"/>
  <c r="AD199" i="2"/>
  <c r="AC201" i="2"/>
  <c r="AF225" i="2"/>
  <c r="AF226" i="2" s="1"/>
  <c r="AF261" i="2"/>
  <c r="AF262" i="2" s="1"/>
  <c r="AC227" i="2"/>
  <c r="AD217" i="2"/>
  <c r="AC219" i="2"/>
  <c r="AD245" i="2"/>
  <c r="AE235" i="2"/>
  <c r="AH260" i="2"/>
  <c r="AH247" i="2"/>
  <c r="AH242" i="2"/>
  <c r="AH224" i="2"/>
  <c r="AH188" i="2"/>
  <c r="AH193" i="2"/>
  <c r="AH211" i="2"/>
  <c r="AH206" i="2"/>
  <c r="AH175" i="2"/>
  <c r="AH229" i="2"/>
  <c r="AA39" i="4"/>
  <c r="AA625" i="2"/>
  <c r="AA623" i="2" s="1"/>
  <c r="Z623" i="2"/>
  <c r="Z101" i="4"/>
  <c r="AE141" i="4"/>
  <c r="AE146" i="4"/>
  <c r="AF152" i="2"/>
  <c r="AE153" i="2"/>
  <c r="AE142" i="2" s="1"/>
  <c r="AH169" i="2"/>
  <c r="AH156" i="2"/>
  <c r="AH151" i="2"/>
  <c r="AH115" i="2"/>
  <c r="AH138" i="2"/>
  <c r="AH133" i="2"/>
  <c r="AH120" i="2"/>
  <c r="AH102" i="2"/>
  <c r="AC136" i="2"/>
  <c r="AD126" i="2"/>
  <c r="AC128" i="2"/>
  <c r="AF170" i="2"/>
  <c r="AF171" i="2" s="1"/>
  <c r="AC172" i="2"/>
  <c r="AD162" i="2"/>
  <c r="AC164" i="2"/>
  <c r="AF116" i="2"/>
  <c r="AF117" i="2" s="1"/>
  <c r="AD154" i="2"/>
  <c r="AE144" i="2"/>
  <c r="AD146" i="2"/>
  <c r="AC118" i="2"/>
  <c r="AD108" i="2"/>
  <c r="AC110" i="2"/>
  <c r="AF134" i="2"/>
  <c r="AH97" i="2"/>
  <c r="AH84" i="2"/>
  <c r="AD100" i="2"/>
  <c r="AE90" i="2"/>
  <c r="AF98" i="2"/>
  <c r="AH883" i="2"/>
  <c r="X114" i="10"/>
  <c r="X122" i="10"/>
  <c r="AH12" i="2"/>
  <c r="AH121" i="2" s="1"/>
  <c r="AH14" i="2"/>
  <c r="AH139" i="2" s="1"/>
  <c r="AH13" i="2"/>
  <c r="AH157" i="2" s="1"/>
  <c r="AJ49" i="1"/>
  <c r="AJ48" i="1"/>
  <c r="AJ197" i="4"/>
  <c r="AJ288" i="4"/>
  <c r="AJ47" i="1"/>
  <c r="AK43" i="1"/>
  <c r="AJ50" i="1"/>
  <c r="AJ246" i="4"/>
  <c r="AH236" i="4"/>
  <c r="AH294" i="4"/>
  <c r="AH203" i="4"/>
  <c r="AH252" i="4"/>
  <c r="AH187" i="4"/>
  <c r="AK87" i="1"/>
  <c r="AJ91" i="1"/>
  <c r="AH92" i="4"/>
  <c r="Y116" i="10"/>
  <c r="Y112" i="10"/>
  <c r="Y117" i="10" s="1"/>
  <c r="AH59" i="1"/>
  <c r="AH577" i="2"/>
  <c r="AM86" i="1"/>
  <c r="AH113" i="4"/>
  <c r="AH595" i="2"/>
  <c r="AH497" i="2"/>
  <c r="AE34" i="1"/>
  <c r="AE55" i="2" s="1"/>
  <c r="AH603" i="2"/>
  <c r="AH83" i="4"/>
  <c r="AH247" i="4"/>
  <c r="AH44" i="1"/>
  <c r="AH489" i="2"/>
  <c r="AL81" i="1"/>
  <c r="AM79" i="1"/>
  <c r="AI2" i="5"/>
  <c r="AI2" i="4"/>
  <c r="AI108" i="4" s="1"/>
  <c r="AI2" i="1"/>
  <c r="AI45" i="1" s="1"/>
  <c r="AJ25" i="1"/>
  <c r="AI2" i="2"/>
  <c r="AI2" i="10"/>
  <c r="AI141" i="1"/>
  <c r="AH590" i="2"/>
  <c r="AH850" i="2"/>
  <c r="AI849" i="2"/>
  <c r="AI848" i="2" s="1"/>
  <c r="AG858" i="2"/>
  <c r="AH857" i="2"/>
  <c r="AH856" i="2" s="1"/>
  <c r="AI54" i="1"/>
  <c r="AH55" i="1"/>
  <c r="AH53" i="1" s="1"/>
  <c r="AE47" i="4"/>
  <c r="AJ57" i="10"/>
  <c r="AJ62" i="10"/>
  <c r="M988" i="2"/>
  <c r="AG124" i="10"/>
  <c r="AH593" i="2"/>
  <c r="AC178" i="4"/>
  <c r="AD131" i="1"/>
  <c r="AG656" i="2"/>
  <c r="P78" i="10"/>
  <c r="AG499" i="2"/>
  <c r="AH495" i="2"/>
  <c r="AG638" i="2"/>
  <c r="AG639" i="2" s="1"/>
  <c r="AE491" i="2"/>
  <c r="AE13" i="4" s="1"/>
  <c r="AF487" i="2"/>
  <c r="AF657" i="2"/>
  <c r="AG621" i="2"/>
  <c r="N28" i="4"/>
  <c r="AF275" i="4"/>
  <c r="AG123" i="1"/>
  <c r="AF627" i="2"/>
  <c r="AG626" i="2"/>
  <c r="AE317" i="4"/>
  <c r="AF146" i="1"/>
  <c r="O16" i="4"/>
  <c r="O330" i="4"/>
  <c r="O977" i="2"/>
  <c r="O978" i="2" s="1"/>
  <c r="AF90" i="4"/>
  <c r="AG93" i="10"/>
  <c r="AF226" i="4"/>
  <c r="AG120" i="1"/>
  <c r="AG606" i="2"/>
  <c r="AF668" i="2"/>
  <c r="AG667" i="2"/>
  <c r="AF651" i="2"/>
  <c r="AG650" i="2"/>
  <c r="AH111" i="4"/>
  <c r="AG632" i="2"/>
  <c r="AG673" i="2"/>
  <c r="AH672" i="2"/>
  <c r="AH582" i="2"/>
  <c r="N993" i="2"/>
  <c r="AG644" i="2"/>
  <c r="AG645" i="2" s="1"/>
  <c r="O86" i="10"/>
  <c r="T71" i="10"/>
  <c r="T72" i="10" s="1"/>
  <c r="AF29" i="1"/>
  <c r="AG26" i="1"/>
  <c r="AF28" i="1"/>
  <c r="AF27" i="1"/>
  <c r="AH601" i="2"/>
  <c r="AF102" i="4"/>
  <c r="AG125" i="10"/>
  <c r="AF663" i="2"/>
  <c r="AG662" i="2"/>
  <c r="AE592" i="2"/>
  <c r="AE14" i="4" s="1"/>
  <c r="AF588" i="2"/>
  <c r="AA141" i="1"/>
  <c r="AG140" i="1"/>
  <c r="AF621" i="2"/>
  <c r="AF82" i="4"/>
  <c r="AG97" i="10"/>
  <c r="AF86" i="4"/>
  <c r="AG65" i="10"/>
  <c r="K114" i="4"/>
  <c r="K159" i="4" s="1"/>
  <c r="K104" i="4"/>
  <c r="I95" i="4"/>
  <c r="J128" i="4"/>
  <c r="I241" i="4"/>
  <c r="K49" i="4"/>
  <c r="J69" i="4"/>
  <c r="J346" i="4"/>
  <c r="J227" i="4"/>
  <c r="I297" i="4"/>
  <c r="K344" i="4"/>
  <c r="I192" i="4"/>
  <c r="J179" i="4"/>
  <c r="J190" i="4" s="1"/>
  <c r="J210" i="4" s="1"/>
  <c r="AI289" i="4" l="1"/>
  <c r="AI83" i="4"/>
  <c r="AI113" i="4"/>
  <c r="AI198" i="4"/>
  <c r="J47" i="7"/>
  <c r="E24" i="7"/>
  <c r="L30" i="4"/>
  <c r="L147" i="4"/>
  <c r="AI44" i="1"/>
  <c r="AI247" i="4"/>
  <c r="AI59" i="1"/>
  <c r="AI92" i="4"/>
  <c r="R799" i="2"/>
  <c r="R736" i="2"/>
  <c r="R795" i="2"/>
  <c r="R732" i="2"/>
  <c r="R784" i="2"/>
  <c r="R705" i="2"/>
  <c r="AE709" i="2"/>
  <c r="AD822" i="2"/>
  <c r="L328" i="4"/>
  <c r="L1013" i="2"/>
  <c r="L666" i="2" s="1"/>
  <c r="L665" i="2" s="1"/>
  <c r="L990" i="2"/>
  <c r="R700" i="2"/>
  <c r="Q781" i="2"/>
  <c r="AG797" i="2"/>
  <c r="AG818" i="2" s="1"/>
  <c r="AG968" i="2" s="1"/>
  <c r="AH406" i="2"/>
  <c r="AH413" i="2" s="1"/>
  <c r="AG341" i="2"/>
  <c r="AE455" i="2"/>
  <c r="AE631" i="2" s="1"/>
  <c r="AE629" i="2" s="1"/>
  <c r="AE80" i="4" s="1"/>
  <c r="AA458" i="2"/>
  <c r="AA649" i="2" s="1"/>
  <c r="AA647" i="2" s="1"/>
  <c r="AA97" i="4" s="1"/>
  <c r="AF598" i="2"/>
  <c r="Z452" i="2"/>
  <c r="Z450" i="2" s="1"/>
  <c r="AI422" i="2"/>
  <c r="AI416" i="2"/>
  <c r="AI414" i="2"/>
  <c r="AI407" i="2"/>
  <c r="AI409" i="2"/>
  <c r="AI411" i="2"/>
  <c r="AG423" i="2"/>
  <c r="AG424" i="2" s="1"/>
  <c r="AG418" i="2" s="1"/>
  <c r="AH539" i="2"/>
  <c r="AH535" i="2" s="1"/>
  <c r="AH540" i="2" s="1"/>
  <c r="AF56" i="4"/>
  <c r="J51" i="7" s="1"/>
  <c r="AG599" i="2"/>
  <c r="AG605" i="2" s="1"/>
  <c r="AG15" i="4" s="1"/>
  <c r="AH569" i="2"/>
  <c r="AH565" i="2" s="1"/>
  <c r="AH570" i="2" s="1"/>
  <c r="AH600" i="2" s="1"/>
  <c r="AE229" i="4"/>
  <c r="AE279" i="4"/>
  <c r="AE182" i="4"/>
  <c r="AD279" i="4"/>
  <c r="AD229" i="4"/>
  <c r="AD182" i="4"/>
  <c r="AI294" i="2"/>
  <c r="AI352" i="2"/>
  <c r="AI257" i="2"/>
  <c r="AI185" i="2"/>
  <c r="AI112" i="2"/>
  <c r="AI94" i="2"/>
  <c r="AI312" i="2"/>
  <c r="AI166" i="2"/>
  <c r="AI221" i="2"/>
  <c r="AI203" i="2"/>
  <c r="AI276" i="2"/>
  <c r="AI130" i="2"/>
  <c r="AI148" i="2"/>
  <c r="AI239" i="2"/>
  <c r="AI722" i="2"/>
  <c r="AI567" i="2"/>
  <c r="AI537" i="2"/>
  <c r="AI521" i="2"/>
  <c r="AI692" i="2"/>
  <c r="AI548" i="2"/>
  <c r="AI399" i="2"/>
  <c r="AI378" i="2"/>
  <c r="AI556" i="2"/>
  <c r="AI529" i="2"/>
  <c r="AI442" i="2"/>
  <c r="AI750" i="2"/>
  <c r="AJ72" i="1"/>
  <c r="AH708" i="2"/>
  <c r="AH789" i="2" s="1"/>
  <c r="AH702" i="2"/>
  <c r="AH782" i="2" s="1"/>
  <c r="AH739" i="2"/>
  <c r="AH733" i="2"/>
  <c r="AG804" i="2"/>
  <c r="AG962" i="2" s="1"/>
  <c r="AF817" i="2"/>
  <c r="AH767" i="2"/>
  <c r="AH761" i="2"/>
  <c r="AF818" i="2"/>
  <c r="AF968" i="2" s="1"/>
  <c r="AF53" i="4"/>
  <c r="AH550" i="2"/>
  <c r="AH546" i="2" s="1"/>
  <c r="AH551" i="2" s="1"/>
  <c r="AG586" i="2"/>
  <c r="AH523" i="2"/>
  <c r="AH519" i="2" s="1"/>
  <c r="AH524" i="2" s="1"/>
  <c r="AH531" i="2"/>
  <c r="AH527" i="2" s="1"/>
  <c r="AH532" i="2" s="1"/>
  <c r="AG574" i="2"/>
  <c r="AF965" i="2"/>
  <c r="AE611" i="2"/>
  <c r="AG573" i="2"/>
  <c r="AF572" i="2"/>
  <c r="I7" i="7"/>
  <c r="O148" i="4"/>
  <c r="AC144" i="4"/>
  <c r="AG587" i="2"/>
  <c r="J239" i="4"/>
  <c r="J259" i="4" s="1"/>
  <c r="AC143" i="4"/>
  <c r="AH558" i="2"/>
  <c r="AH554" i="2" s="1"/>
  <c r="AH559" i="2" s="1"/>
  <c r="U934" i="2"/>
  <c r="AF585" i="2"/>
  <c r="AF597" i="2"/>
  <c r="AB372" i="2"/>
  <c r="AH427" i="2"/>
  <c r="AH428" i="2" s="1"/>
  <c r="AH435" i="2" s="1"/>
  <c r="U106" i="4"/>
  <c r="U867" i="2" s="1"/>
  <c r="R1003" i="2"/>
  <c r="R1004" i="2" s="1"/>
  <c r="R335" i="4" s="1"/>
  <c r="R336" i="4"/>
  <c r="S1006" i="2"/>
  <c r="T1005" i="2"/>
  <c r="T1000" i="2"/>
  <c r="T997" i="2" s="1"/>
  <c r="T1009" i="2"/>
  <c r="V921" i="2"/>
  <c r="V938" i="2"/>
  <c r="V44" i="4" s="1"/>
  <c r="AH337" i="2"/>
  <c r="W923" i="2"/>
  <c r="W937" i="2"/>
  <c r="W21" i="4" s="1"/>
  <c r="Y902" i="2"/>
  <c r="AA904" i="2"/>
  <c r="AA902" i="2" s="1"/>
  <c r="T944" i="2"/>
  <c r="T913" i="2"/>
  <c r="Z902" i="2"/>
  <c r="AI931" i="2"/>
  <c r="AI932" i="2" s="1"/>
  <c r="AI924" i="2"/>
  <c r="AI905" i="2"/>
  <c r="AC42" i="4"/>
  <c r="AE608" i="2"/>
  <c r="AD610" i="2"/>
  <c r="AI568" i="2"/>
  <c r="AI557" i="2"/>
  <c r="AI549" i="2"/>
  <c r="AH304" i="2"/>
  <c r="AH305" i="2" s="1"/>
  <c r="AE580" i="2"/>
  <c r="AD584" i="2"/>
  <c r="AE575" i="2"/>
  <c r="AD579" i="2"/>
  <c r="AD10" i="4" s="1"/>
  <c r="AD143" i="4" s="1"/>
  <c r="AI538" i="2"/>
  <c r="AI530" i="2"/>
  <c r="AI522" i="2"/>
  <c r="AE345" i="2"/>
  <c r="AE355" i="2" s="1"/>
  <c r="AI444" i="2"/>
  <c r="AI436" i="2"/>
  <c r="AI431" i="2"/>
  <c r="AI429" i="2"/>
  <c r="AI426" i="2"/>
  <c r="AI438" i="2"/>
  <c r="AI433" i="2"/>
  <c r="AH231" i="2"/>
  <c r="AH232" i="2" s="1"/>
  <c r="AD355" i="2"/>
  <c r="AD454" i="2" s="1"/>
  <c r="AH268" i="2"/>
  <c r="AH269" i="2" s="1"/>
  <c r="AH385" i="2"/>
  <c r="AH392" i="2" s="1"/>
  <c r="AF339" i="2"/>
  <c r="AH25" i="2"/>
  <c r="AH33" i="2"/>
  <c r="AH22" i="2"/>
  <c r="AG30" i="2"/>
  <c r="AH213" i="2"/>
  <c r="AH214" i="2" s="1"/>
  <c r="AH470" i="2"/>
  <c r="AH471" i="2" s="1"/>
  <c r="AH27" i="2"/>
  <c r="AH35" i="2"/>
  <c r="AI401" i="2"/>
  <c r="AI18" i="2"/>
  <c r="AI21" i="2"/>
  <c r="AI393" i="2"/>
  <c r="AI20" i="2"/>
  <c r="AI17" i="2"/>
  <c r="AI19" i="2"/>
  <c r="AI395" i="2"/>
  <c r="AI386" i="2"/>
  <c r="AI390" i="2"/>
  <c r="AI388" i="2"/>
  <c r="AG402" i="2"/>
  <c r="AG403" i="2" s="1"/>
  <c r="AG397" i="2" s="1"/>
  <c r="AH29" i="2"/>
  <c r="AH37" i="2"/>
  <c r="AH26" i="2"/>
  <c r="AH34" i="2"/>
  <c r="AG38" i="2"/>
  <c r="AG336" i="2" s="1"/>
  <c r="AG338" i="2" s="1"/>
  <c r="AG451" i="2" s="1"/>
  <c r="AH28" i="2"/>
  <c r="AH36" i="2"/>
  <c r="AH195" i="2"/>
  <c r="AH196" i="2" s="1"/>
  <c r="AH177" i="2"/>
  <c r="AH178" i="2" s="1"/>
  <c r="AH249" i="2"/>
  <c r="AH250" i="2" s="1"/>
  <c r="Y460" i="2"/>
  <c r="Y40" i="4"/>
  <c r="AC382" i="2"/>
  <c r="AC453" i="2" s="1"/>
  <c r="AH86" i="2"/>
  <c r="AH87" i="2" s="1"/>
  <c r="AE346" i="2"/>
  <c r="AC348" i="2"/>
  <c r="AB350" i="2"/>
  <c r="AI354" i="2"/>
  <c r="AI343" i="2"/>
  <c r="AG768" i="2"/>
  <c r="AG793" i="2"/>
  <c r="AG91" i="4" s="1"/>
  <c r="AB142" i="4"/>
  <c r="AB167" i="4"/>
  <c r="AF369" i="2"/>
  <c r="AF456" i="2" s="1"/>
  <c r="AH757" i="2"/>
  <c r="AF367" i="2"/>
  <c r="AF457" i="2" s="1"/>
  <c r="AA655" i="2"/>
  <c r="AB374" i="2"/>
  <c r="AB459" i="2" s="1"/>
  <c r="AA376" i="2"/>
  <c r="AA452" i="2" s="1"/>
  <c r="AA142" i="4"/>
  <c r="AA167" i="4"/>
  <c r="AA7" i="4"/>
  <c r="AH758" i="2"/>
  <c r="Z77" i="4"/>
  <c r="Z653" i="2"/>
  <c r="Z675" i="2" s="1"/>
  <c r="AF365" i="2"/>
  <c r="AE371" i="2"/>
  <c r="AC955" i="2"/>
  <c r="AC321" i="4" s="1"/>
  <c r="AC449" i="2"/>
  <c r="AD382" i="2"/>
  <c r="AI380" i="2"/>
  <c r="AH364" i="2"/>
  <c r="AE509" i="2"/>
  <c r="AE986" i="2" s="1"/>
  <c r="AE331" i="4" s="1"/>
  <c r="AD483" i="2"/>
  <c r="AD9" i="4" s="1"/>
  <c r="AG794" i="2"/>
  <c r="AG671" i="2" s="1"/>
  <c r="AG670" i="2" s="1"/>
  <c r="AG98" i="4" s="1"/>
  <c r="AE504" i="2"/>
  <c r="AE661" i="2" s="1"/>
  <c r="AE659" i="2" s="1"/>
  <c r="AE100" i="4" s="1"/>
  <c r="AE500" i="2"/>
  <c r="AF984" i="2"/>
  <c r="AF332" i="4" s="1"/>
  <c r="AF506" i="2"/>
  <c r="AF985" i="2" s="1"/>
  <c r="AG472" i="2"/>
  <c r="AG478" i="2" s="1"/>
  <c r="AG503" i="2" s="1"/>
  <c r="AG477" i="2"/>
  <c r="AE479" i="2"/>
  <c r="AD643" i="2"/>
  <c r="AD641" i="2" s="1"/>
  <c r="AD78" i="4" s="1"/>
  <c r="AD166" i="4" s="1"/>
  <c r="AE481" i="2"/>
  <c r="AD637" i="2"/>
  <c r="AD635" i="2" s="1"/>
  <c r="AD79" i="4" s="1"/>
  <c r="AD508" i="2"/>
  <c r="AD41" i="4" s="1"/>
  <c r="AF502" i="2"/>
  <c r="AF476" i="2"/>
  <c r="AH158" i="2"/>
  <c r="AH159" i="2" s="1"/>
  <c r="AI744" i="2"/>
  <c r="AI757" i="2" s="1"/>
  <c r="AI474" i="2"/>
  <c r="AI501" i="2"/>
  <c r="AH140" i="2"/>
  <c r="AH141" i="2" s="1"/>
  <c r="AH286" i="2"/>
  <c r="AH287" i="2" s="1"/>
  <c r="AF798" i="2"/>
  <c r="AF970" i="2" s="1"/>
  <c r="AH762" i="2"/>
  <c r="AH763" i="2"/>
  <c r="AH764" i="2" s="1"/>
  <c r="AH759" i="2"/>
  <c r="AH760" i="2" s="1"/>
  <c r="AH699" i="2"/>
  <c r="AH779" i="2" s="1"/>
  <c r="AH698" i="2"/>
  <c r="AH778" i="2" s="1"/>
  <c r="AI689" i="2"/>
  <c r="AI697" i="2" s="1"/>
  <c r="AI716" i="2"/>
  <c r="AG740" i="2"/>
  <c r="AG734" i="2"/>
  <c r="AH727" i="2"/>
  <c r="AH729" i="2"/>
  <c r="AH730" i="2"/>
  <c r="AE237" i="2"/>
  <c r="AH703" i="2"/>
  <c r="AH783" i="2" s="1"/>
  <c r="AF251" i="2"/>
  <c r="AH104" i="2"/>
  <c r="AH105" i="2" s="1"/>
  <c r="AF215" i="2"/>
  <c r="AF160" i="2"/>
  <c r="AF233" i="2"/>
  <c r="AF270" i="2"/>
  <c r="AF288" i="2"/>
  <c r="AF306" i="2"/>
  <c r="AG116" i="2"/>
  <c r="AG117" i="2" s="1"/>
  <c r="AG106" i="2" s="1"/>
  <c r="AF197" i="2"/>
  <c r="AF106" i="2"/>
  <c r="AG280" i="2"/>
  <c r="AG281" i="2" s="1"/>
  <c r="AD325" i="2"/>
  <c r="AC326" i="2"/>
  <c r="AC625" i="2" s="1"/>
  <c r="AC101" i="4" s="1"/>
  <c r="AB323" i="2"/>
  <c r="AB39" i="4" s="1"/>
  <c r="I34" i="7" s="1"/>
  <c r="AG321" i="2"/>
  <c r="AG6" i="4" s="1"/>
  <c r="AF327" i="2"/>
  <c r="AF954" i="2" s="1"/>
  <c r="AF320" i="4" s="1"/>
  <c r="AE322" i="2"/>
  <c r="AG316" i="2"/>
  <c r="AE282" i="2"/>
  <c r="AF272" i="2"/>
  <c r="AE274" i="2"/>
  <c r="AE318" i="2"/>
  <c r="AF308" i="2"/>
  <c r="AE310" i="2"/>
  <c r="AH122" i="2"/>
  <c r="AH123" i="2" s="1"/>
  <c r="AG298" i="2"/>
  <c r="AE300" i="2"/>
  <c r="AF290" i="2"/>
  <c r="AI302" i="2"/>
  <c r="AI297" i="2"/>
  <c r="AI315" i="2"/>
  <c r="AI284" i="2"/>
  <c r="AI279" i="2"/>
  <c r="AI266" i="2"/>
  <c r="AE292" i="2"/>
  <c r="AB76" i="4"/>
  <c r="AB165" i="4" s="1"/>
  <c r="AC619" i="2"/>
  <c r="AC617" i="2" s="1"/>
  <c r="AC92" i="2"/>
  <c r="AC323" i="2" s="1"/>
  <c r="AC39" i="4" s="1"/>
  <c r="AD88" i="2"/>
  <c r="AD324" i="2" s="1"/>
  <c r="AD191" i="2"/>
  <c r="AE181" i="2"/>
  <c r="AD183" i="2"/>
  <c r="AG225" i="2"/>
  <c r="AG226" i="2" s="1"/>
  <c r="AF190" i="2"/>
  <c r="AF179" i="2" s="1"/>
  <c r="AG243" i="2"/>
  <c r="AI247" i="2"/>
  <c r="AI242" i="2"/>
  <c r="AI260" i="2"/>
  <c r="AI211" i="2"/>
  <c r="AI229" i="2"/>
  <c r="AI206" i="2"/>
  <c r="AI224" i="2"/>
  <c r="AI188" i="2"/>
  <c r="AI193" i="2"/>
  <c r="AI175" i="2"/>
  <c r="AE245" i="2"/>
  <c r="AF235" i="2"/>
  <c r="AG189" i="2"/>
  <c r="AG190" i="2" s="1"/>
  <c r="AG207" i="2"/>
  <c r="AG208" i="2" s="1"/>
  <c r="AD263" i="2"/>
  <c r="AE253" i="2"/>
  <c r="AD255" i="2"/>
  <c r="AD209" i="2"/>
  <c r="AE199" i="2"/>
  <c r="AD227" i="2"/>
  <c r="AE217" i="2"/>
  <c r="AD219" i="2"/>
  <c r="AG261" i="2"/>
  <c r="AG262" i="2" s="1"/>
  <c r="AD201" i="2"/>
  <c r="AA101" i="4"/>
  <c r="AE146" i="2"/>
  <c r="AB961" i="2"/>
  <c r="AB101" i="4"/>
  <c r="AB623" i="2"/>
  <c r="AG152" i="2"/>
  <c r="AG134" i="2"/>
  <c r="AG135" i="2" s="1"/>
  <c r="AF135" i="2"/>
  <c r="AF124" i="2" s="1"/>
  <c r="AI156" i="2"/>
  <c r="AI169" i="2"/>
  <c r="AI138" i="2"/>
  <c r="AI151" i="2"/>
  <c r="AI133" i="2"/>
  <c r="AI115" i="2"/>
  <c r="AI120" i="2"/>
  <c r="AI102" i="2"/>
  <c r="AD118" i="2"/>
  <c r="AE108" i="2"/>
  <c r="AD110" i="2"/>
  <c r="AD136" i="2"/>
  <c r="AE126" i="2"/>
  <c r="AD128" i="2"/>
  <c r="AD172" i="2"/>
  <c r="AE162" i="2"/>
  <c r="AD164" i="2"/>
  <c r="AF153" i="2"/>
  <c r="AF142" i="2" s="1"/>
  <c r="AG170" i="2"/>
  <c r="AG171" i="2" s="1"/>
  <c r="AE154" i="2"/>
  <c r="AF144" i="2"/>
  <c r="AF141" i="4"/>
  <c r="AF146" i="4"/>
  <c r="AF99" i="2"/>
  <c r="AE100" i="2"/>
  <c r="AF90" i="2"/>
  <c r="AI84" i="2"/>
  <c r="AI97" i="2"/>
  <c r="AG98" i="2"/>
  <c r="AI883" i="2"/>
  <c r="AE119" i="4"/>
  <c r="AI590" i="2"/>
  <c r="AE80" i="2"/>
  <c r="AI497" i="2"/>
  <c r="AI595" i="2"/>
  <c r="AE222" i="4"/>
  <c r="AE1" i="5"/>
  <c r="AE113" i="1"/>
  <c r="AE102" i="10"/>
  <c r="AE1" i="2"/>
  <c r="AE4" i="5"/>
  <c r="AE891" i="2"/>
  <c r="AE615" i="2"/>
  <c r="AE1" i="1"/>
  <c r="AE37" i="4"/>
  <c r="AE38" i="1"/>
  <c r="AE174" i="4"/>
  <c r="AE880" i="2"/>
  <c r="AE464" i="2"/>
  <c r="AE1" i="4"/>
  <c r="AE90" i="10"/>
  <c r="AE313" i="4"/>
  <c r="AE68" i="1"/>
  <c r="AE682" i="2"/>
  <c r="AE138" i="4"/>
  <c r="AE513" i="2"/>
  <c r="AE55" i="10"/>
  <c r="AE862" i="2"/>
  <c r="AE271" i="4"/>
  <c r="AI13" i="2"/>
  <c r="AI157" i="2" s="1"/>
  <c r="AI12" i="2"/>
  <c r="AI121" i="2" s="1"/>
  <c r="AI14" i="2"/>
  <c r="AI139" i="2" s="1"/>
  <c r="AE1" i="10"/>
  <c r="AE952" i="2"/>
  <c r="AE826" i="2"/>
  <c r="AE73" i="4"/>
  <c r="AJ2" i="2"/>
  <c r="AJ2" i="10"/>
  <c r="AJ2" i="5"/>
  <c r="AK25" i="1"/>
  <c r="AJ2" i="1"/>
  <c r="AJ45" i="1" s="1"/>
  <c r="AJ2" i="4"/>
  <c r="AJ141" i="1"/>
  <c r="AJ108" i="4"/>
  <c r="AK288" i="4"/>
  <c r="AK47" i="1"/>
  <c r="AK246" i="4"/>
  <c r="AK48" i="1"/>
  <c r="AK50" i="1"/>
  <c r="AL43" i="1"/>
  <c r="AK49" i="1"/>
  <c r="AK197" i="4"/>
  <c r="AL87" i="1"/>
  <c r="AK91" i="1"/>
  <c r="AF34" i="1"/>
  <c r="AF55" i="2" s="1"/>
  <c r="AE42" i="2"/>
  <c r="AI603" i="2"/>
  <c r="AN86" i="1"/>
  <c r="AE14" i="1"/>
  <c r="AE332" i="2"/>
  <c r="AE841" i="2"/>
  <c r="AE4" i="4"/>
  <c r="AE4" i="2"/>
  <c r="AI294" i="4"/>
  <c r="AI252" i="4"/>
  <c r="AI203" i="4"/>
  <c r="AI236" i="4"/>
  <c r="AI187" i="4"/>
  <c r="AI489" i="2"/>
  <c r="AI103" i="4"/>
  <c r="AJ103" i="4" s="1"/>
  <c r="Y110" i="10"/>
  <c r="AN79" i="1"/>
  <c r="AM81" i="1"/>
  <c r="AI577" i="2"/>
  <c r="Z111" i="10"/>
  <c r="AH858" i="2"/>
  <c r="AI857" i="2"/>
  <c r="AI856" i="2" s="1"/>
  <c r="AJ849" i="2"/>
  <c r="AJ848" i="2" s="1"/>
  <c r="AI850" i="2"/>
  <c r="AJ54" i="1"/>
  <c r="AI55" i="1"/>
  <c r="AI53" i="1" s="1"/>
  <c r="AK57" i="10"/>
  <c r="AK62" i="10"/>
  <c r="AG86" i="4"/>
  <c r="AH65" i="10"/>
  <c r="AF592" i="2"/>
  <c r="AF14" i="4" s="1"/>
  <c r="J12" i="7" s="1"/>
  <c r="AG588" i="2"/>
  <c r="AG102" i="4"/>
  <c r="AH125" i="10"/>
  <c r="AD178" i="4"/>
  <c r="AE131" i="1"/>
  <c r="AG90" i="4"/>
  <c r="AH93" i="10"/>
  <c r="AF317" i="4"/>
  <c r="AG146" i="1"/>
  <c r="P79" i="10"/>
  <c r="AI601" i="2"/>
  <c r="AH606" i="2"/>
  <c r="N991" i="2"/>
  <c r="AF47" i="4"/>
  <c r="J42" i="7" s="1"/>
  <c r="AG663" i="2"/>
  <c r="AH662" i="2"/>
  <c r="AI582" i="2"/>
  <c r="AG627" i="2"/>
  <c r="AH626" i="2"/>
  <c r="AF491" i="2"/>
  <c r="AF13" i="4" s="1"/>
  <c r="AG487" i="2"/>
  <c r="AH638" i="2"/>
  <c r="AH639" i="2" s="1"/>
  <c r="O17" i="4"/>
  <c r="AH644" i="2"/>
  <c r="AH645" i="2" s="1"/>
  <c r="AG82" i="4"/>
  <c r="AH97" i="10"/>
  <c r="U70" i="10"/>
  <c r="O89" i="4"/>
  <c r="O93" i="4" s="1"/>
  <c r="O169" i="4" s="1"/>
  <c r="P84" i="10"/>
  <c r="AG651" i="2"/>
  <c r="AH650" i="2"/>
  <c r="AG226" i="4"/>
  <c r="AH120" i="1"/>
  <c r="AH656" i="2"/>
  <c r="AH657" i="2" s="1"/>
  <c r="AI593" i="2"/>
  <c r="M29" i="4"/>
  <c r="M326" i="4"/>
  <c r="M989" i="2"/>
  <c r="M1011" i="2"/>
  <c r="AI111" i="4"/>
  <c r="AG657" i="2"/>
  <c r="Z141" i="1"/>
  <c r="AH140" i="1"/>
  <c r="AH632" i="2"/>
  <c r="AH633" i="2" s="1"/>
  <c r="AG668" i="2"/>
  <c r="AH667" i="2"/>
  <c r="O329" i="4"/>
  <c r="AH673" i="2"/>
  <c r="AI672" i="2"/>
  <c r="AG29" i="1"/>
  <c r="AG34" i="1" s="1"/>
  <c r="AG55" i="2" s="1"/>
  <c r="AH26" i="1"/>
  <c r="AG27" i="1"/>
  <c r="AG28" i="1"/>
  <c r="AG633" i="2"/>
  <c r="AG275" i="4"/>
  <c r="AH123" i="1"/>
  <c r="AH499" i="2"/>
  <c r="AI495" i="2"/>
  <c r="AH124" i="10"/>
  <c r="K116" i="4"/>
  <c r="K158" i="4"/>
  <c r="I117" i="4"/>
  <c r="I170" i="4"/>
  <c r="I160" i="4"/>
  <c r="K130" i="4"/>
  <c r="J301" i="4"/>
  <c r="J211" i="4"/>
  <c r="J199" i="4"/>
  <c r="J290" i="4"/>
  <c r="J306" i="4"/>
  <c r="J308" i="4"/>
  <c r="J948" i="2"/>
  <c r="J282" i="4"/>
  <c r="I206" i="4"/>
  <c r="K180" i="4"/>
  <c r="K277" i="4"/>
  <c r="K276" i="4" s="1"/>
  <c r="K125" i="4"/>
  <c r="K228" i="4"/>
  <c r="K67" i="4"/>
  <c r="J191" i="4"/>
  <c r="J183" i="4"/>
  <c r="K345" i="4"/>
  <c r="J232" i="4"/>
  <c r="K68" i="4"/>
  <c r="J75" i="4"/>
  <c r="J887" i="2"/>
  <c r="J947" i="2"/>
  <c r="I255" i="4"/>
  <c r="AG790" i="2" l="1"/>
  <c r="AG817" i="2" s="1"/>
  <c r="AJ113" i="4"/>
  <c r="AJ289" i="4"/>
  <c r="AJ44" i="1"/>
  <c r="AJ247" i="4"/>
  <c r="AJ83" i="4"/>
  <c r="Q87" i="4"/>
  <c r="Q979" i="2"/>
  <c r="L1012" i="2"/>
  <c r="L43" i="4" s="1"/>
  <c r="E38" i="7" s="1"/>
  <c r="L325" i="4"/>
  <c r="L337" i="4" s="1"/>
  <c r="L344" i="4" s="1"/>
  <c r="AE822" i="2"/>
  <c r="AF709" i="2"/>
  <c r="R785" i="2"/>
  <c r="S704" i="2"/>
  <c r="R796" i="2"/>
  <c r="S731" i="2"/>
  <c r="R800" i="2"/>
  <c r="S735" i="2"/>
  <c r="R780" i="2"/>
  <c r="R701" i="2"/>
  <c r="L99" i="4"/>
  <c r="L104" i="4" s="1"/>
  <c r="L676" i="2"/>
  <c r="L677" i="2" s="1"/>
  <c r="L678" i="2" s="1"/>
  <c r="L33" i="4"/>
  <c r="E28" i="7" s="1"/>
  <c r="E25" i="7"/>
  <c r="L112" i="4"/>
  <c r="L114" i="4" s="1"/>
  <c r="L151" i="4"/>
  <c r="Z40" i="4"/>
  <c r="Z460" i="2"/>
  <c r="AH341" i="2"/>
  <c r="AF455" i="2"/>
  <c r="AF631" i="2" s="1"/>
  <c r="AF629" i="2" s="1"/>
  <c r="AF80" i="4" s="1"/>
  <c r="AB458" i="2"/>
  <c r="AB649" i="2" s="1"/>
  <c r="AB647" i="2" s="1"/>
  <c r="AB97" i="4" s="1"/>
  <c r="AJ422" i="2"/>
  <c r="AJ405" i="2"/>
  <c r="AJ414" i="2"/>
  <c r="AJ416" i="2"/>
  <c r="AJ407" i="2"/>
  <c r="AJ409" i="2"/>
  <c r="AJ411" i="2"/>
  <c r="AI406" i="2"/>
  <c r="AI413" i="2" s="1"/>
  <c r="AG598" i="2"/>
  <c r="AH423" i="2"/>
  <c r="AH424" i="2" s="1"/>
  <c r="AH418" i="2" s="1"/>
  <c r="AI539" i="2"/>
  <c r="AI535" i="2" s="1"/>
  <c r="AI540" i="2" s="1"/>
  <c r="AG56" i="4"/>
  <c r="AH804" i="2"/>
  <c r="AH56" i="4" s="1"/>
  <c r="AH797" i="2"/>
  <c r="AH790" i="2" s="1"/>
  <c r="AH53" i="4" s="1"/>
  <c r="AH599" i="2"/>
  <c r="AH605" i="2" s="1"/>
  <c r="AH15" i="4" s="1"/>
  <c r="AI569" i="2"/>
  <c r="AI565" i="2" s="1"/>
  <c r="AI570" i="2" s="1"/>
  <c r="AI600" i="2" s="1"/>
  <c r="AI767" i="2"/>
  <c r="AI761" i="2"/>
  <c r="AJ294" i="2"/>
  <c r="AJ221" i="2"/>
  <c r="AJ276" i="2"/>
  <c r="AJ312" i="2"/>
  <c r="AJ148" i="2"/>
  <c r="AJ112" i="2"/>
  <c r="AJ239" i="2"/>
  <c r="AJ203" i="2"/>
  <c r="AJ185" i="2"/>
  <c r="AJ94" i="2"/>
  <c r="AJ130" i="2"/>
  <c r="AJ352" i="2"/>
  <c r="AJ166" i="2"/>
  <c r="AJ257" i="2"/>
  <c r="AJ548" i="2"/>
  <c r="AJ399" i="2"/>
  <c r="AJ378" i="2"/>
  <c r="AJ567" i="2"/>
  <c r="AJ556" i="2"/>
  <c r="AJ537" i="2"/>
  <c r="AJ521" i="2"/>
  <c r="AJ692" i="2"/>
  <c r="AJ442" i="2"/>
  <c r="AJ750" i="2"/>
  <c r="AJ722" i="2"/>
  <c r="AJ529" i="2"/>
  <c r="AK72" i="1"/>
  <c r="AF973" i="2"/>
  <c r="AI739" i="2"/>
  <c r="AI733" i="2"/>
  <c r="AH776" i="2"/>
  <c r="AF58" i="4"/>
  <c r="J48" i="7"/>
  <c r="AG53" i="4"/>
  <c r="AI708" i="2"/>
  <c r="AI789" i="2" s="1"/>
  <c r="AI702" i="2"/>
  <c r="AI782" i="2" s="1"/>
  <c r="AI550" i="2"/>
  <c r="AI546" i="2" s="1"/>
  <c r="AI551" i="2" s="1"/>
  <c r="AG597" i="2"/>
  <c r="AI523" i="2"/>
  <c r="AI519" i="2" s="1"/>
  <c r="AI524" i="2" s="1"/>
  <c r="AH573" i="2"/>
  <c r="AF611" i="2"/>
  <c r="AG572" i="2"/>
  <c r="AI531" i="2"/>
  <c r="AI527" i="2" s="1"/>
  <c r="AI532" i="2" s="1"/>
  <c r="AH574" i="2"/>
  <c r="AG965" i="2"/>
  <c r="AI558" i="2"/>
  <c r="AI554" i="2" s="1"/>
  <c r="AI559" i="2" s="1"/>
  <c r="AH586" i="2"/>
  <c r="AG585" i="2"/>
  <c r="AA11" i="4"/>
  <c r="I10" i="7" s="1"/>
  <c r="I6" i="7"/>
  <c r="M147" i="4"/>
  <c r="AH587" i="2"/>
  <c r="AB376" i="2"/>
  <c r="AC372" i="2"/>
  <c r="AI427" i="2"/>
  <c r="AI428" i="2" s="1"/>
  <c r="AI435" i="2" s="1"/>
  <c r="AI445" i="2" s="1"/>
  <c r="AI337" i="2"/>
  <c r="U109" i="4"/>
  <c r="U122" i="4"/>
  <c r="V939" i="2"/>
  <c r="V934" i="2" s="1"/>
  <c r="S1007" i="2"/>
  <c r="S1008" i="2" s="1"/>
  <c r="S1002" i="2" s="1"/>
  <c r="U872" i="2"/>
  <c r="U869" i="2"/>
  <c r="U873" i="2" s="1"/>
  <c r="U963" i="2" s="1"/>
  <c r="U972" i="2" s="1"/>
  <c r="T334" i="4"/>
  <c r="T998" i="2"/>
  <c r="T999" i="2" s="1"/>
  <c r="T333" i="4" s="1"/>
  <c r="V126" i="4"/>
  <c r="V278" i="4"/>
  <c r="V181" i="4"/>
  <c r="W921" i="2"/>
  <c r="W938" i="2"/>
  <c r="W44" i="4" s="1"/>
  <c r="X922" i="2"/>
  <c r="T943" i="2"/>
  <c r="U912" i="2"/>
  <c r="AB903" i="2"/>
  <c r="AJ905" i="2"/>
  <c r="AJ924" i="2"/>
  <c r="AJ931" i="2"/>
  <c r="AJ932" i="2" s="1"/>
  <c r="AD42" i="4"/>
  <c r="AF608" i="2"/>
  <c r="AE610" i="2"/>
  <c r="AJ568" i="2"/>
  <c r="AJ557" i="2"/>
  <c r="AJ549" i="2"/>
  <c r="AI304" i="2"/>
  <c r="AI305" i="2" s="1"/>
  <c r="AF575" i="2"/>
  <c r="AE579" i="2"/>
  <c r="AE10" i="4" s="1"/>
  <c r="AE584" i="2"/>
  <c r="AF580" i="2"/>
  <c r="AJ538" i="2"/>
  <c r="AJ530" i="2"/>
  <c r="AJ522" i="2"/>
  <c r="AH445" i="2"/>
  <c r="AH446" i="2" s="1"/>
  <c r="AH440" i="2" s="1"/>
  <c r="AE356" i="2"/>
  <c r="AB655" i="2"/>
  <c r="AI231" i="2"/>
  <c r="AI232" i="2" s="1"/>
  <c r="AJ444" i="2"/>
  <c r="AJ436" i="2"/>
  <c r="AJ429" i="2"/>
  <c r="AJ426" i="2"/>
  <c r="AJ438" i="2"/>
  <c r="AJ433" i="2"/>
  <c r="AJ431" i="2"/>
  <c r="AD356" i="2"/>
  <c r="AD453" i="2" s="1"/>
  <c r="AI213" i="2"/>
  <c r="AI214" i="2" s="1"/>
  <c r="AI385" i="2"/>
  <c r="AI392" i="2" s="1"/>
  <c r="AC964" i="2"/>
  <c r="AI268" i="2"/>
  <c r="AI269" i="2" s="1"/>
  <c r="AG339" i="2"/>
  <c r="AF345" i="2"/>
  <c r="AJ401" i="2"/>
  <c r="AJ17" i="2"/>
  <c r="AJ21" i="2"/>
  <c r="AJ390" i="2"/>
  <c r="AJ18" i="2"/>
  <c r="AJ20" i="2"/>
  <c r="AJ386" i="2"/>
  <c r="AJ388" i="2"/>
  <c r="AJ19" i="2"/>
  <c r="AJ395" i="2"/>
  <c r="AJ393" i="2"/>
  <c r="AI27" i="2"/>
  <c r="AI35" i="2"/>
  <c r="AI25" i="2"/>
  <c r="AI33" i="2"/>
  <c r="AI22" i="2"/>
  <c r="AI28" i="2"/>
  <c r="AI36" i="2"/>
  <c r="AH402" i="2"/>
  <c r="AH403" i="2" s="1"/>
  <c r="AH397" i="2" s="1"/>
  <c r="AI29" i="2"/>
  <c r="AI37" i="2"/>
  <c r="AI26" i="2"/>
  <c r="AI34" i="2"/>
  <c r="AI470" i="2"/>
  <c r="AI471" i="2" s="1"/>
  <c r="AH38" i="2"/>
  <c r="AH336" i="2" s="1"/>
  <c r="AH338" i="2" s="1"/>
  <c r="AH451" i="2" s="1"/>
  <c r="AH30" i="2"/>
  <c r="AI177" i="2"/>
  <c r="AI178" i="2" s="1"/>
  <c r="AI195" i="2"/>
  <c r="AI196" i="2" s="1"/>
  <c r="AI249" i="2"/>
  <c r="AI250" i="2" s="1"/>
  <c r="AI86" i="2"/>
  <c r="AI87" i="2" s="1"/>
  <c r="AH768" i="2"/>
  <c r="AD348" i="2"/>
  <c r="AC350" i="2"/>
  <c r="AA450" i="2"/>
  <c r="AA40" i="4" s="1"/>
  <c r="AF346" i="2"/>
  <c r="AH793" i="2"/>
  <c r="AH91" i="4" s="1"/>
  <c r="AJ354" i="2"/>
  <c r="AJ343" i="2"/>
  <c r="AA653" i="2"/>
  <c r="AA675" i="2" s="1"/>
  <c r="AA77" i="4"/>
  <c r="AH794" i="2"/>
  <c r="AH671" i="2" s="1"/>
  <c r="AH670" i="2" s="1"/>
  <c r="AH98" i="4" s="1"/>
  <c r="AI158" i="2"/>
  <c r="AI159" i="2" s="1"/>
  <c r="AE381" i="2"/>
  <c r="AE454" i="2" s="1"/>
  <c r="AG365" i="2"/>
  <c r="AF371" i="2"/>
  <c r="AD955" i="2"/>
  <c r="AD321" i="4" s="1"/>
  <c r="AD449" i="2"/>
  <c r="AC8" i="4"/>
  <c r="AG367" i="2"/>
  <c r="AG457" i="2" s="1"/>
  <c r="AC374" i="2"/>
  <c r="AC459" i="2" s="1"/>
  <c r="AG369" i="2"/>
  <c r="AG456" i="2" s="1"/>
  <c r="AI758" i="2"/>
  <c r="AI755" i="2"/>
  <c r="AI762" i="2" s="1"/>
  <c r="AJ380" i="2"/>
  <c r="AI364" i="2"/>
  <c r="AE508" i="2"/>
  <c r="AE41" i="4" s="1"/>
  <c r="AD144" i="4"/>
  <c r="AE483" i="2"/>
  <c r="AE9" i="4" s="1"/>
  <c r="AF479" i="2"/>
  <c r="AE643" i="2"/>
  <c r="AE641" i="2" s="1"/>
  <c r="AE78" i="4" s="1"/>
  <c r="AE166" i="4" s="1"/>
  <c r="AH472" i="2"/>
  <c r="AH478" i="2" s="1"/>
  <c r="AH503" i="2" s="1"/>
  <c r="AH477" i="2"/>
  <c r="AF504" i="2"/>
  <c r="AF661" i="2" s="1"/>
  <c r="AF659" i="2" s="1"/>
  <c r="AF100" i="4" s="1"/>
  <c r="AG984" i="2"/>
  <c r="AG332" i="4" s="1"/>
  <c r="AG506" i="2"/>
  <c r="AG985" i="2" s="1"/>
  <c r="AF500" i="2"/>
  <c r="AF509" i="2"/>
  <c r="AF986" i="2" s="1"/>
  <c r="AF331" i="4" s="1"/>
  <c r="AE637" i="2"/>
  <c r="AE635" i="2" s="1"/>
  <c r="AE79" i="4" s="1"/>
  <c r="AF481" i="2"/>
  <c r="AG476" i="2"/>
  <c r="AG502" i="2"/>
  <c r="AI140" i="2"/>
  <c r="AI141" i="2" s="1"/>
  <c r="AI286" i="2"/>
  <c r="AI287" i="2" s="1"/>
  <c r="AJ744" i="2"/>
  <c r="AJ758" i="2" s="1"/>
  <c r="AJ474" i="2"/>
  <c r="AJ501" i="2"/>
  <c r="AI698" i="2"/>
  <c r="AI778" i="2" s="1"/>
  <c r="AI699" i="2"/>
  <c r="AI779" i="2" s="1"/>
  <c r="AG798" i="2"/>
  <c r="AG970" i="2" s="1"/>
  <c r="AG973" i="2" s="1"/>
  <c r="AJ689" i="2"/>
  <c r="AJ697" i="2" s="1"/>
  <c r="AJ716" i="2"/>
  <c r="AH740" i="2"/>
  <c r="AH734" i="2"/>
  <c r="AI727" i="2"/>
  <c r="AI729" i="2"/>
  <c r="AI793" i="2" s="1"/>
  <c r="AI730" i="2"/>
  <c r="AI104" i="2"/>
  <c r="AI105" i="2" s="1"/>
  <c r="AI703" i="2"/>
  <c r="AI783" i="2" s="1"/>
  <c r="AG179" i="2"/>
  <c r="AH189" i="2"/>
  <c r="AH190" i="2" s="1"/>
  <c r="AH179" i="2" s="1"/>
  <c r="AG160" i="2"/>
  <c r="AG270" i="2"/>
  <c r="AG197" i="2"/>
  <c r="AH316" i="2"/>
  <c r="AH317" i="2" s="1"/>
  <c r="AH306" i="2" s="1"/>
  <c r="AF274" i="2"/>
  <c r="AF237" i="2"/>
  <c r="AF310" i="2"/>
  <c r="AG251" i="2"/>
  <c r="AG215" i="2"/>
  <c r="AG124" i="2"/>
  <c r="AE325" i="2"/>
  <c r="AD326" i="2"/>
  <c r="AD961" i="2" s="1"/>
  <c r="AB328" i="2"/>
  <c r="AF322" i="2"/>
  <c r="AH321" i="2"/>
  <c r="AH6" i="4" s="1"/>
  <c r="AG327" i="2"/>
  <c r="AG954" i="2" s="1"/>
  <c r="AG320" i="4" s="1"/>
  <c r="AH280" i="2"/>
  <c r="AH281" i="2" s="1"/>
  <c r="AG317" i="2"/>
  <c r="AG306" i="2" s="1"/>
  <c r="AH298" i="2"/>
  <c r="AH299" i="2" s="1"/>
  <c r="AF300" i="2"/>
  <c r="AG290" i="2"/>
  <c r="AF292" i="2"/>
  <c r="AJ297" i="2"/>
  <c r="AJ284" i="2"/>
  <c r="AJ279" i="2"/>
  <c r="AJ302" i="2"/>
  <c r="AJ266" i="2"/>
  <c r="AJ315" i="2"/>
  <c r="AI122" i="2"/>
  <c r="AI123" i="2" s="1"/>
  <c r="AG299" i="2"/>
  <c r="AG288" i="2" s="1"/>
  <c r="AF318" i="2"/>
  <c r="AG308" i="2"/>
  <c r="AF282" i="2"/>
  <c r="AG272" i="2"/>
  <c r="AC76" i="4"/>
  <c r="AC165" i="4" s="1"/>
  <c r="AG99" i="2"/>
  <c r="AD619" i="2"/>
  <c r="AD617" i="2" s="1"/>
  <c r="AE88" i="2"/>
  <c r="AE324" i="2" s="1"/>
  <c r="AD92" i="2"/>
  <c r="AD323" i="2" s="1"/>
  <c r="AG244" i="2"/>
  <c r="AG233" i="2" s="1"/>
  <c r="AE191" i="2"/>
  <c r="AF181" i="2"/>
  <c r="AE183" i="2"/>
  <c r="AH243" i="2"/>
  <c r="AH244" i="2" s="1"/>
  <c r="AE263" i="2"/>
  <c r="AF253" i="2"/>
  <c r="AE255" i="2"/>
  <c r="AF245" i="2"/>
  <c r="AG235" i="2"/>
  <c r="AE227" i="2"/>
  <c r="AF217" i="2"/>
  <c r="AE219" i="2"/>
  <c r="AH207" i="2"/>
  <c r="AH208" i="2" s="1"/>
  <c r="AH225" i="2"/>
  <c r="AH226" i="2" s="1"/>
  <c r="AJ242" i="2"/>
  <c r="AJ229" i="2"/>
  <c r="AJ247" i="2"/>
  <c r="AJ224" i="2"/>
  <c r="AJ206" i="2"/>
  <c r="AJ193" i="2"/>
  <c r="AJ211" i="2"/>
  <c r="AJ260" i="2"/>
  <c r="AJ188" i="2"/>
  <c r="AJ175" i="2"/>
  <c r="AH261" i="2"/>
  <c r="AH262" i="2" s="1"/>
  <c r="AE209" i="2"/>
  <c r="AF199" i="2"/>
  <c r="AE201" i="2"/>
  <c r="AJ489" i="2"/>
  <c r="AF146" i="2"/>
  <c r="AC961" i="2"/>
  <c r="AC328" i="2"/>
  <c r="AC623" i="2"/>
  <c r="AG141" i="4"/>
  <c r="AG146" i="4"/>
  <c r="AE136" i="2"/>
  <c r="AF126" i="2"/>
  <c r="AE128" i="2"/>
  <c r="AH170" i="2"/>
  <c r="AH171" i="2" s="1"/>
  <c r="AG153" i="2"/>
  <c r="AG142" i="2" s="1"/>
  <c r="AH116" i="2"/>
  <c r="AE118" i="2"/>
  <c r="AF108" i="2"/>
  <c r="AE110" i="2"/>
  <c r="AJ169" i="2"/>
  <c r="AJ133" i="2"/>
  <c r="AJ156" i="2"/>
  <c r="AJ115" i="2"/>
  <c r="AJ138" i="2"/>
  <c r="AJ120" i="2"/>
  <c r="AJ151" i="2"/>
  <c r="AJ102" i="2"/>
  <c r="AE172" i="2"/>
  <c r="AF162" i="2"/>
  <c r="AE164" i="2"/>
  <c r="AH134" i="2"/>
  <c r="AH135" i="2" s="1"/>
  <c r="AH152" i="2"/>
  <c r="AH153" i="2" s="1"/>
  <c r="AF154" i="2"/>
  <c r="AG144" i="2"/>
  <c r="AJ84" i="2"/>
  <c r="AJ97" i="2"/>
  <c r="AH98" i="2"/>
  <c r="AF100" i="2"/>
  <c r="AG90" i="2"/>
  <c r="AJ497" i="2"/>
  <c r="AJ603" i="2"/>
  <c r="AJ577" i="2"/>
  <c r="AF73" i="4"/>
  <c r="AF464" i="2"/>
  <c r="AF138" i="4"/>
  <c r="AF313" i="4"/>
  <c r="AF952" i="2"/>
  <c r="AF14" i="1"/>
  <c r="AF38" i="1"/>
  <c r="AF1" i="5"/>
  <c r="AF80" i="2"/>
  <c r="AF113" i="1"/>
  <c r="AF68" i="1"/>
  <c r="AF513" i="2"/>
  <c r="AF119" i="4"/>
  <c r="AF4" i="5"/>
  <c r="AF1" i="1"/>
  <c r="AF102" i="10"/>
  <c r="AF682" i="2"/>
  <c r="AF174" i="4"/>
  <c r="AF55" i="10"/>
  <c r="AF1" i="2"/>
  <c r="AF615" i="2"/>
  <c r="AF1" i="4"/>
  <c r="AF4" i="2"/>
  <c r="AF891" i="2"/>
  <c r="AF332" i="2"/>
  <c r="AF841" i="2"/>
  <c r="AF4" i="4"/>
  <c r="AF862" i="2"/>
  <c r="AF1" i="10"/>
  <c r="AF880" i="2"/>
  <c r="AF271" i="4"/>
  <c r="AF42" i="2"/>
  <c r="AF90" i="10"/>
  <c r="AF826" i="2"/>
  <c r="AF37" i="4"/>
  <c r="AF222" i="4"/>
  <c r="AJ14" i="2"/>
  <c r="AJ139" i="2" s="1"/>
  <c r="AJ13" i="2"/>
  <c r="AJ157" i="2" s="1"/>
  <c r="AJ12" i="2"/>
  <c r="AJ121" i="2" s="1"/>
  <c r="AJ590" i="2"/>
  <c r="AK2" i="4"/>
  <c r="AK289" i="4" s="1"/>
  <c r="AK2" i="2"/>
  <c r="AK2" i="10"/>
  <c r="AK2" i="1"/>
  <c r="AK45" i="1" s="1"/>
  <c r="AK2" i="5"/>
  <c r="AL25" i="1"/>
  <c r="AK141" i="1"/>
  <c r="AK108" i="4"/>
  <c r="AN81" i="1"/>
  <c r="AO79" i="1"/>
  <c r="AJ595" i="2"/>
  <c r="AK103" i="4"/>
  <c r="Y120" i="10"/>
  <c r="Z107" i="10"/>
  <c r="Z118" i="10" s="1"/>
  <c r="AJ294" i="4"/>
  <c r="AJ252" i="4"/>
  <c r="AJ203" i="4"/>
  <c r="AJ236" i="4"/>
  <c r="K80" i="7" s="1"/>
  <c r="AJ187" i="4"/>
  <c r="AJ92" i="4"/>
  <c r="AK92" i="4" s="1"/>
  <c r="AJ198" i="4"/>
  <c r="AM87" i="1"/>
  <c r="AL91" i="1"/>
  <c r="AL48" i="1"/>
  <c r="AM43" i="1"/>
  <c r="AL50" i="1"/>
  <c r="AL246" i="4"/>
  <c r="AL197" i="4"/>
  <c r="AL47" i="1"/>
  <c r="AL49" i="1"/>
  <c r="AL288" i="4"/>
  <c r="Z116" i="10"/>
  <c r="Z112" i="10"/>
  <c r="Z117" i="10" s="1"/>
  <c r="AO86" i="1"/>
  <c r="AJ59" i="1"/>
  <c r="AJ883" i="2"/>
  <c r="AG4" i="2"/>
  <c r="AG42" i="2"/>
  <c r="AK849" i="2"/>
  <c r="AK848" i="2" s="1"/>
  <c r="AJ850" i="2"/>
  <c r="AI858" i="2"/>
  <c r="AJ857" i="2"/>
  <c r="AJ856" i="2" s="1"/>
  <c r="AK54" i="1"/>
  <c r="AJ55" i="1"/>
  <c r="AJ53" i="1" s="1"/>
  <c r="AL62" i="10"/>
  <c r="AL57" i="10"/>
  <c r="AG47" i="4"/>
  <c r="P88" i="4"/>
  <c r="P981" i="2"/>
  <c r="P976" i="2" s="1"/>
  <c r="Q77" i="10"/>
  <c r="AI632" i="2"/>
  <c r="AI633" i="2" s="1"/>
  <c r="AI621" i="2"/>
  <c r="AI638" i="2"/>
  <c r="AI639" i="2" s="1"/>
  <c r="AI606" i="2"/>
  <c r="AG317" i="4"/>
  <c r="AH146" i="1"/>
  <c r="AE178" i="4"/>
  <c r="AF131" i="1"/>
  <c r="AJ593" i="2"/>
  <c r="AH621" i="2"/>
  <c r="O121" i="4"/>
  <c r="O123" i="4" s="1"/>
  <c r="O152" i="4"/>
  <c r="O22" i="4"/>
  <c r="O189" i="4"/>
  <c r="O161" i="4"/>
  <c r="O238" i="4"/>
  <c r="AG491" i="2"/>
  <c r="AG13" i="4" s="1"/>
  <c r="AH487" i="2"/>
  <c r="AG4" i="5"/>
  <c r="AG1" i="5"/>
  <c r="AG271" i="4"/>
  <c r="AG119" i="4"/>
  <c r="AG37" i="4"/>
  <c r="AG1" i="4"/>
  <c r="AG138" i="4"/>
  <c r="AG73" i="4"/>
  <c r="AG313" i="4"/>
  <c r="AG174" i="4"/>
  <c r="AG4" i="4"/>
  <c r="AG222" i="4"/>
  <c r="AG841" i="2"/>
  <c r="AG952" i="2"/>
  <c r="AG862" i="2"/>
  <c r="AG682" i="2"/>
  <c r="AG880" i="2"/>
  <c r="AG513" i="2"/>
  <c r="AG464" i="2"/>
  <c r="AG80" i="2"/>
  <c r="AG1" i="2"/>
  <c r="AG826" i="2"/>
  <c r="AG615" i="2"/>
  <c r="AG332" i="2"/>
  <c r="AG102" i="10"/>
  <c r="AG891" i="2"/>
  <c r="AG38" i="1"/>
  <c r="AG14" i="1"/>
  <c r="AG68" i="1"/>
  <c r="AG113" i="1"/>
  <c r="AG1" i="10"/>
  <c r="AG1" i="1"/>
  <c r="AG90" i="10"/>
  <c r="AG55" i="10"/>
  <c r="N327" i="4"/>
  <c r="N994" i="2"/>
  <c r="O993" i="2" s="1"/>
  <c r="AI656" i="2"/>
  <c r="M328" i="4"/>
  <c r="M1013" i="2"/>
  <c r="M666" i="2" s="1"/>
  <c r="M665" i="2" s="1"/>
  <c r="AH82" i="4"/>
  <c r="AI97" i="10"/>
  <c r="AH663" i="2"/>
  <c r="AI662" i="2"/>
  <c r="AJ601" i="2"/>
  <c r="AH90" i="4"/>
  <c r="AI93" i="10"/>
  <c r="AH102" i="4"/>
  <c r="AI125" i="10"/>
  <c r="AI124" i="10"/>
  <c r="AI673" i="2"/>
  <c r="AJ672" i="2"/>
  <c r="M990" i="2"/>
  <c r="AH226" i="4"/>
  <c r="AI120" i="1"/>
  <c r="P85" i="10"/>
  <c r="P20" i="4"/>
  <c r="AI644" i="2"/>
  <c r="AI645" i="2" s="1"/>
  <c r="AH627" i="2"/>
  <c r="AI626" i="2"/>
  <c r="AJ582" i="2"/>
  <c r="AH86" i="4"/>
  <c r="AI65" i="10"/>
  <c r="AG592" i="2"/>
  <c r="AG14" i="4" s="1"/>
  <c r="AH588" i="2"/>
  <c r="AH275" i="4"/>
  <c r="AI123" i="1"/>
  <c r="Y141" i="1"/>
  <c r="AI140" i="1"/>
  <c r="AI499" i="2"/>
  <c r="AJ495" i="2"/>
  <c r="AH29" i="1"/>
  <c r="AH28" i="1"/>
  <c r="AI26" i="1"/>
  <c r="AH27" i="1"/>
  <c r="AH668" i="2"/>
  <c r="AI667" i="2"/>
  <c r="AJ111" i="4"/>
  <c r="M30" i="4"/>
  <c r="AH651" i="2"/>
  <c r="AI650" i="2"/>
  <c r="U71" i="10"/>
  <c r="U72" i="10" s="1"/>
  <c r="J84" i="4"/>
  <c r="J163" i="4" s="1"/>
  <c r="J302" i="4"/>
  <c r="J260" i="4"/>
  <c r="K346" i="4"/>
  <c r="J248" i="4"/>
  <c r="J309" i="4"/>
  <c r="J307" i="4"/>
  <c r="J264" i="4"/>
  <c r="J265" i="4" s="1"/>
  <c r="J266" i="4"/>
  <c r="J267" i="4" s="1"/>
  <c r="J215" i="4"/>
  <c r="J216" i="4" s="1"/>
  <c r="J217" i="4"/>
  <c r="J218" i="4" s="1"/>
  <c r="K128" i="4"/>
  <c r="J240" i="4"/>
  <c r="K69" i="4"/>
  <c r="L68" i="4" s="1"/>
  <c r="K179" i="4"/>
  <c r="J233" i="4"/>
  <c r="J184" i="4"/>
  <c r="K227" i="4"/>
  <c r="J283" i="4"/>
  <c r="J297" i="4" s="1"/>
  <c r="L49" i="4" l="1"/>
  <c r="E44" i="7" s="1"/>
  <c r="AK198" i="4"/>
  <c r="AK83" i="4"/>
  <c r="AK247" i="4"/>
  <c r="L130" i="4"/>
  <c r="L158" i="4"/>
  <c r="L159" i="4"/>
  <c r="L116" i="4"/>
  <c r="S700" i="2"/>
  <c r="R781" i="2"/>
  <c r="S799" i="2"/>
  <c r="S736" i="2"/>
  <c r="S795" i="2"/>
  <c r="S732" i="2"/>
  <c r="S784" i="2"/>
  <c r="S705" i="2"/>
  <c r="AG709" i="2"/>
  <c r="AF822" i="2"/>
  <c r="Z110" i="10"/>
  <c r="AA111" i="10"/>
  <c r="AA112" i="10" s="1"/>
  <c r="AG455" i="2"/>
  <c r="AC458" i="2"/>
  <c r="AC649" i="2" s="1"/>
  <c r="AC647" i="2" s="1"/>
  <c r="AC97" i="4" s="1"/>
  <c r="AI341" i="2"/>
  <c r="AB452" i="2"/>
  <c r="AB450" i="2" s="1"/>
  <c r="AB40" i="4" s="1"/>
  <c r="I35" i="7" s="1"/>
  <c r="AK411" i="2"/>
  <c r="AK414" i="2"/>
  <c r="AK405" i="2"/>
  <c r="AK407" i="2"/>
  <c r="AK422" i="2"/>
  <c r="AK416" i="2"/>
  <c r="AK409" i="2"/>
  <c r="AI423" i="2"/>
  <c r="AI424" i="2" s="1"/>
  <c r="AI418" i="2" s="1"/>
  <c r="AJ406" i="2"/>
  <c r="AJ413" i="2" s="1"/>
  <c r="AJ539" i="2"/>
  <c r="AJ535" i="2" s="1"/>
  <c r="AJ540" i="2" s="1"/>
  <c r="AH598" i="2"/>
  <c r="AG58" i="4"/>
  <c r="AG229" i="4" s="1"/>
  <c r="AH818" i="2"/>
  <c r="AH968" i="2" s="1"/>
  <c r="AI804" i="2"/>
  <c r="AI962" i="2" s="1"/>
  <c r="AH962" i="2"/>
  <c r="AI599" i="2"/>
  <c r="AI605" i="2" s="1"/>
  <c r="AI15" i="4" s="1"/>
  <c r="AJ569" i="2"/>
  <c r="AJ565" i="2" s="1"/>
  <c r="AJ570" i="2" s="1"/>
  <c r="AJ600" i="2" s="1"/>
  <c r="AH817" i="2"/>
  <c r="AH52" i="4"/>
  <c r="AI797" i="2"/>
  <c r="AI790" i="2" s="1"/>
  <c r="AI53" i="4" s="1"/>
  <c r="AJ767" i="2"/>
  <c r="AJ761" i="2"/>
  <c r="AK276" i="2"/>
  <c r="AK312" i="2"/>
  <c r="AK239" i="2"/>
  <c r="AK166" i="2"/>
  <c r="AK257" i="2"/>
  <c r="AK112" i="2"/>
  <c r="AK221" i="2"/>
  <c r="AK130" i="2"/>
  <c r="AK94" i="2"/>
  <c r="AK148" i="2"/>
  <c r="AK352" i="2"/>
  <c r="AK294" i="2"/>
  <c r="AK185" i="2"/>
  <c r="AK203" i="2"/>
  <c r="AK399" i="2"/>
  <c r="AK378" i="2"/>
  <c r="AK529" i="2"/>
  <c r="AK567" i="2"/>
  <c r="AK556" i="2"/>
  <c r="AK537" i="2"/>
  <c r="AK521" i="2"/>
  <c r="AK692" i="2"/>
  <c r="AK750" i="2"/>
  <c r="AK722" i="2"/>
  <c r="AK548" i="2"/>
  <c r="AK442" i="2"/>
  <c r="AL72" i="1"/>
  <c r="AI56" i="4"/>
  <c r="AJ708" i="2"/>
  <c r="AJ789" i="2" s="1"/>
  <c r="AJ702" i="2"/>
  <c r="AJ782" i="2" s="1"/>
  <c r="AI776" i="2"/>
  <c r="AJ739" i="2"/>
  <c r="AJ733" i="2"/>
  <c r="J53" i="7"/>
  <c r="AF229" i="4"/>
  <c r="J73" i="7" s="1"/>
  <c r="AF182" i="4"/>
  <c r="AF279" i="4"/>
  <c r="AJ550" i="2"/>
  <c r="AJ546" i="2" s="1"/>
  <c r="AJ551" i="2" s="1"/>
  <c r="AJ523" i="2"/>
  <c r="AJ519" i="2" s="1"/>
  <c r="AJ524" i="2" s="1"/>
  <c r="AH572" i="2"/>
  <c r="AH965" i="2"/>
  <c r="AI573" i="2"/>
  <c r="AG611" i="2"/>
  <c r="AJ531" i="2"/>
  <c r="AJ527" i="2" s="1"/>
  <c r="AJ532" i="2" s="1"/>
  <c r="AI574" i="2"/>
  <c r="AI586" i="2"/>
  <c r="AJ558" i="2"/>
  <c r="AJ554" i="2" s="1"/>
  <c r="AJ559" i="2" s="1"/>
  <c r="AI587" i="2"/>
  <c r="AJ337" i="2"/>
  <c r="K239" i="4"/>
  <c r="K259" i="4" s="1"/>
  <c r="AH585" i="2"/>
  <c r="P145" i="4"/>
  <c r="F17" i="7"/>
  <c r="AE143" i="4"/>
  <c r="AH597" i="2"/>
  <c r="AD372" i="2"/>
  <c r="AJ427" i="2"/>
  <c r="AJ428" i="2" s="1"/>
  <c r="AJ435" i="2" s="1"/>
  <c r="AJ445" i="2" s="1"/>
  <c r="V945" i="2"/>
  <c r="V25" i="4" s="1"/>
  <c r="T1006" i="2"/>
  <c r="T1007" i="2" s="1"/>
  <c r="T1008" i="2" s="1"/>
  <c r="T1002" i="2" s="1"/>
  <c r="T1003" i="2" s="1"/>
  <c r="W939" i="2"/>
  <c r="W934" i="2" s="1"/>
  <c r="S336" i="4"/>
  <c r="S1003" i="2"/>
  <c r="S1004" i="2" s="1"/>
  <c r="S335" i="4" s="1"/>
  <c r="V106" i="4"/>
  <c r="V867" i="2" s="1"/>
  <c r="W278" i="4"/>
  <c r="W126" i="4"/>
  <c r="W181" i="4"/>
  <c r="X923" i="2"/>
  <c r="Y922" i="2" s="1"/>
  <c r="X937" i="2"/>
  <c r="X21" i="4" s="1"/>
  <c r="H18" i="7" s="1"/>
  <c r="U958" i="2"/>
  <c r="U974" i="2"/>
  <c r="U26" i="4"/>
  <c r="U871" i="2"/>
  <c r="U46" i="4" s="1"/>
  <c r="AJ304" i="2"/>
  <c r="AJ305" i="2" s="1"/>
  <c r="AB904" i="2"/>
  <c r="U944" i="2"/>
  <c r="U913" i="2"/>
  <c r="AK924" i="2"/>
  <c r="AK905" i="2"/>
  <c r="AK931" i="2"/>
  <c r="AK932" i="2" s="1"/>
  <c r="AE42" i="4"/>
  <c r="AG608" i="2"/>
  <c r="AF610" i="2"/>
  <c r="AK568" i="2"/>
  <c r="AK549" i="2"/>
  <c r="AK557" i="2"/>
  <c r="AG580" i="2"/>
  <c r="AF584" i="2"/>
  <c r="AF579" i="2"/>
  <c r="AF10" i="4" s="1"/>
  <c r="AF143" i="4" s="1"/>
  <c r="AG575" i="2"/>
  <c r="AK530" i="2"/>
  <c r="AK522" i="2"/>
  <c r="AK538" i="2"/>
  <c r="AJ231" i="2"/>
  <c r="AJ232" i="2" s="1"/>
  <c r="AJ213" i="2"/>
  <c r="AJ214" i="2" s="1"/>
  <c r="AG631" i="2"/>
  <c r="AG629" i="2" s="1"/>
  <c r="AG80" i="4" s="1"/>
  <c r="AD964" i="2"/>
  <c r="AI446" i="2"/>
  <c r="AI440" i="2" s="1"/>
  <c r="AK426" i="2"/>
  <c r="AK444" i="2"/>
  <c r="AK438" i="2"/>
  <c r="AK436" i="2"/>
  <c r="AK431" i="2"/>
  <c r="AK433" i="2"/>
  <c r="AK429" i="2"/>
  <c r="AJ195" i="2"/>
  <c r="AJ196" i="2" s="1"/>
  <c r="AJ268" i="2"/>
  <c r="AJ269" i="2" s="1"/>
  <c r="AJ470" i="2"/>
  <c r="AJ471" i="2" s="1"/>
  <c r="AH339" i="2"/>
  <c r="AG345" i="2"/>
  <c r="AF355" i="2"/>
  <c r="AJ177" i="2"/>
  <c r="AJ178" i="2" s="1"/>
  <c r="AI38" i="2"/>
  <c r="AI336" i="2" s="1"/>
  <c r="AI338" i="2" s="1"/>
  <c r="AI451" i="2" s="1"/>
  <c r="AI30" i="2"/>
  <c r="AJ28" i="2"/>
  <c r="AJ36" i="2"/>
  <c r="AI402" i="2"/>
  <c r="AI403" i="2" s="1"/>
  <c r="AI397" i="2" s="1"/>
  <c r="AJ25" i="2"/>
  <c r="AJ33" i="2"/>
  <c r="AJ22" i="2"/>
  <c r="AJ26" i="2"/>
  <c r="AJ34" i="2"/>
  <c r="AJ29" i="2"/>
  <c r="AJ37" i="2"/>
  <c r="AJ27" i="2"/>
  <c r="AJ35" i="2"/>
  <c r="AJ385" i="2"/>
  <c r="AJ392" i="2" s="1"/>
  <c r="AK18" i="2"/>
  <c r="AK17" i="2"/>
  <c r="AK393" i="2"/>
  <c r="AK390" i="2"/>
  <c r="AK21" i="2"/>
  <c r="AK388" i="2"/>
  <c r="AK20" i="2"/>
  <c r="AK19" i="2"/>
  <c r="AK401" i="2"/>
  <c r="AK395" i="2"/>
  <c r="AK386" i="2"/>
  <c r="AJ249" i="2"/>
  <c r="AJ250" i="2" s="1"/>
  <c r="AJ86" i="2"/>
  <c r="AJ87" i="2" s="1"/>
  <c r="AA460" i="2"/>
  <c r="AE348" i="2"/>
  <c r="AD350" i="2"/>
  <c r="AG346" i="2"/>
  <c r="AK354" i="2"/>
  <c r="AK343" i="2"/>
  <c r="AJ158" i="2"/>
  <c r="AJ159" i="2" s="1"/>
  <c r="AE382" i="2"/>
  <c r="AE453" i="2" s="1"/>
  <c r="AI759" i="2"/>
  <c r="AI760" i="2" s="1"/>
  <c r="AI768" i="2"/>
  <c r="AH365" i="2"/>
  <c r="AG371" i="2"/>
  <c r="AG381" i="2" s="1"/>
  <c r="AE955" i="2"/>
  <c r="AE321" i="4" s="1"/>
  <c r="AE449" i="2"/>
  <c r="AI763" i="2"/>
  <c r="AI764" i="2" s="1"/>
  <c r="AH367" i="2"/>
  <c r="AH457" i="2" s="1"/>
  <c r="AH369" i="2"/>
  <c r="AH456" i="2" s="1"/>
  <c r="AJ755" i="2"/>
  <c r="AJ762" i="2" s="1"/>
  <c r="AD8" i="4"/>
  <c r="AF381" i="2"/>
  <c r="AC655" i="2"/>
  <c r="AD374" i="2"/>
  <c r="AD459" i="2" s="1"/>
  <c r="AC376" i="2"/>
  <c r="AC452" i="2" s="1"/>
  <c r="AJ364" i="2"/>
  <c r="AB653" i="2"/>
  <c r="AB675" i="2" s="1"/>
  <c r="AB77" i="4"/>
  <c r="AC142" i="4"/>
  <c r="AC167" i="4"/>
  <c r="AC7" i="4"/>
  <c r="AK380" i="2"/>
  <c r="AJ140" i="2"/>
  <c r="AJ141" i="2" s="1"/>
  <c r="AG509" i="2"/>
  <c r="AG986" i="2" s="1"/>
  <c r="AG331" i="4" s="1"/>
  <c r="AE144" i="4"/>
  <c r="AF483" i="2"/>
  <c r="AF9" i="4" s="1"/>
  <c r="J8" i="7" s="1"/>
  <c r="AJ104" i="2"/>
  <c r="AJ105" i="2" s="1"/>
  <c r="AJ286" i="2"/>
  <c r="AJ287" i="2" s="1"/>
  <c r="AI472" i="2"/>
  <c r="AI478" i="2" s="1"/>
  <c r="AI503" i="2" s="1"/>
  <c r="AI477" i="2"/>
  <c r="AH502" i="2"/>
  <c r="AH476" i="2"/>
  <c r="AG504" i="2"/>
  <c r="AG661" i="2" s="1"/>
  <c r="AG659" i="2" s="1"/>
  <c r="AG100" i="4" s="1"/>
  <c r="AG479" i="2"/>
  <c r="AF643" i="2"/>
  <c r="AF641" i="2" s="1"/>
  <c r="AF78" i="4" s="1"/>
  <c r="AF166" i="4" s="1"/>
  <c r="AG500" i="2"/>
  <c r="AH984" i="2"/>
  <c r="AH332" i="4" s="1"/>
  <c r="AH506" i="2"/>
  <c r="AH985" i="2" s="1"/>
  <c r="AF637" i="2"/>
  <c r="AF635" i="2" s="1"/>
  <c r="AF79" i="4" s="1"/>
  <c r="AG481" i="2"/>
  <c r="AF508" i="2"/>
  <c r="AF41" i="4" s="1"/>
  <c r="J36" i="7" s="1"/>
  <c r="AJ757" i="2"/>
  <c r="AK744" i="2"/>
  <c r="AK755" i="2" s="1"/>
  <c r="AK474" i="2"/>
  <c r="AJ699" i="2"/>
  <c r="AJ779" i="2" s="1"/>
  <c r="AI794" i="2"/>
  <c r="AI671" i="2" s="1"/>
  <c r="AI670" i="2" s="1"/>
  <c r="AI98" i="4" s="1"/>
  <c r="AI91" i="4"/>
  <c r="AH798" i="2"/>
  <c r="AH970" i="2" s="1"/>
  <c r="AJ698" i="2"/>
  <c r="AJ778" i="2" s="1"/>
  <c r="AK689" i="2"/>
  <c r="AK698" i="2" s="1"/>
  <c r="AK778" i="2" s="1"/>
  <c r="AK716" i="2"/>
  <c r="AI740" i="2"/>
  <c r="AJ727" i="2"/>
  <c r="AJ729" i="2"/>
  <c r="AJ730" i="2"/>
  <c r="AI734" i="2"/>
  <c r="AJ703" i="2"/>
  <c r="AJ783" i="2" s="1"/>
  <c r="AH215" i="2"/>
  <c r="AH142" i="2"/>
  <c r="AH233" i="2"/>
  <c r="AI316" i="2"/>
  <c r="AI317" i="2" s="1"/>
  <c r="AI306" i="2" s="1"/>
  <c r="AH288" i="2"/>
  <c r="AI152" i="2"/>
  <c r="AH160" i="2"/>
  <c r="AI298" i="2"/>
  <c r="AI299" i="2" s="1"/>
  <c r="AI280" i="2"/>
  <c r="AH251" i="2"/>
  <c r="AH197" i="2"/>
  <c r="AH270" i="2"/>
  <c r="AH124" i="2"/>
  <c r="AG310" i="2"/>
  <c r="AG237" i="2"/>
  <c r="AE326" i="2"/>
  <c r="AE961" i="2" s="1"/>
  <c r="AF325" i="2"/>
  <c r="AG292" i="2"/>
  <c r="AH327" i="2"/>
  <c r="AH954" i="2" s="1"/>
  <c r="AH320" i="4" s="1"/>
  <c r="AI321" i="2"/>
  <c r="AI6" i="4" s="1"/>
  <c r="AJ122" i="2"/>
  <c r="AJ123" i="2" s="1"/>
  <c r="AG322" i="2"/>
  <c r="AG300" i="2"/>
  <c r="AH290" i="2"/>
  <c r="AG282" i="2"/>
  <c r="AH272" i="2"/>
  <c r="AG274" i="2"/>
  <c r="AK315" i="2"/>
  <c r="AK297" i="2"/>
  <c r="AK302" i="2"/>
  <c r="AK284" i="2"/>
  <c r="AK266" i="2"/>
  <c r="AK279" i="2"/>
  <c r="AG318" i="2"/>
  <c r="AH308" i="2"/>
  <c r="AD328" i="2"/>
  <c r="AE619" i="2"/>
  <c r="AE617" i="2" s="1"/>
  <c r="AF88" i="2"/>
  <c r="AF324" i="2" s="1"/>
  <c r="AE92" i="2"/>
  <c r="AE323" i="2" s="1"/>
  <c r="AD76" i="4"/>
  <c r="AD165" i="4" s="1"/>
  <c r="AF263" i="2"/>
  <c r="AG253" i="2"/>
  <c r="AF255" i="2"/>
  <c r="AF209" i="2"/>
  <c r="AG199" i="2"/>
  <c r="AF201" i="2"/>
  <c r="AI261" i="2"/>
  <c r="AI262" i="2" s="1"/>
  <c r="AI243" i="2"/>
  <c r="AI244" i="2" s="1"/>
  <c r="AK260" i="2"/>
  <c r="AK247" i="2"/>
  <c r="AK224" i="2"/>
  <c r="AK193" i="2"/>
  <c r="AK242" i="2"/>
  <c r="AK211" i="2"/>
  <c r="AK206" i="2"/>
  <c r="AK188" i="2"/>
  <c r="AK229" i="2"/>
  <c r="AK175" i="2"/>
  <c r="AI207" i="2"/>
  <c r="AI208" i="2" s="1"/>
  <c r="AF227" i="2"/>
  <c r="AG217" i="2"/>
  <c r="AF219" i="2"/>
  <c r="AI189" i="2"/>
  <c r="AI190" i="2" s="1"/>
  <c r="AG245" i="2"/>
  <c r="AH235" i="2"/>
  <c r="AI225" i="2"/>
  <c r="AF191" i="2"/>
  <c r="AG181" i="2"/>
  <c r="AF183" i="2"/>
  <c r="AD39" i="4"/>
  <c r="AD625" i="2"/>
  <c r="AG146" i="2"/>
  <c r="AI170" i="2"/>
  <c r="AI171" i="2" s="1"/>
  <c r="AH117" i="2"/>
  <c r="AH106" i="2" s="1"/>
  <c r="AK169" i="2"/>
  <c r="AK151" i="2"/>
  <c r="AK156" i="2"/>
  <c r="AK120" i="2"/>
  <c r="AK138" i="2"/>
  <c r="AK133" i="2"/>
  <c r="AK102" i="2"/>
  <c r="AK115" i="2"/>
  <c r="AG154" i="2"/>
  <c r="AH144" i="2"/>
  <c r="AF136" i="2"/>
  <c r="AG126" i="2"/>
  <c r="AF128" i="2"/>
  <c r="AH99" i="2"/>
  <c r="AF118" i="2"/>
  <c r="AG108" i="2"/>
  <c r="AF110" i="2"/>
  <c r="AI134" i="2"/>
  <c r="AI116" i="2"/>
  <c r="AI117" i="2" s="1"/>
  <c r="AF172" i="2"/>
  <c r="AG162" i="2"/>
  <c r="AF164" i="2"/>
  <c r="AH141" i="4"/>
  <c r="AH146" i="4"/>
  <c r="AK84" i="2"/>
  <c r="AK97" i="2"/>
  <c r="AI98" i="2"/>
  <c r="AG100" i="2"/>
  <c r="AH90" i="2"/>
  <c r="AK883" i="2"/>
  <c r="AK497" i="2"/>
  <c r="AK595" i="2"/>
  <c r="AK577" i="2"/>
  <c r="AK603" i="2"/>
  <c r="AK59" i="1"/>
  <c r="AN43" i="1"/>
  <c r="AM48" i="1"/>
  <c r="AM50" i="1"/>
  <c r="AM246" i="4"/>
  <c r="AM197" i="4"/>
  <c r="AM47" i="1"/>
  <c r="AM49" i="1"/>
  <c r="AM288" i="4"/>
  <c r="Y114" i="10"/>
  <c r="Y122" i="10"/>
  <c r="AK44" i="1"/>
  <c r="AK113" i="4"/>
  <c r="AP86" i="1"/>
  <c r="AP79" i="1"/>
  <c r="AO81" i="1"/>
  <c r="AK14" i="2"/>
  <c r="AK139" i="2" s="1"/>
  <c r="AK13" i="2"/>
  <c r="AK157" i="2" s="1"/>
  <c r="AK12" i="2"/>
  <c r="AK121" i="2" s="1"/>
  <c r="AK590" i="2"/>
  <c r="AK489" i="2"/>
  <c r="Z120" i="10"/>
  <c r="AA107" i="10"/>
  <c r="AA118" i="10" s="1"/>
  <c r="AA116" i="10"/>
  <c r="AK236" i="4"/>
  <c r="AK294" i="4"/>
  <c r="AK203" i="4"/>
  <c r="AK252" i="4"/>
  <c r="AK187" i="4"/>
  <c r="AL2" i="10"/>
  <c r="AM25" i="1"/>
  <c r="AL2" i="1"/>
  <c r="AL45" i="1" s="1"/>
  <c r="AL2" i="5"/>
  <c r="AL2" i="2"/>
  <c r="AL2" i="4"/>
  <c r="AL92" i="4" s="1"/>
  <c r="AL141" i="1"/>
  <c r="AN87" i="1"/>
  <c r="AM91" i="1"/>
  <c r="AJ858" i="2"/>
  <c r="AK857" i="2"/>
  <c r="AK856" i="2" s="1"/>
  <c r="AL849" i="2"/>
  <c r="AL848" i="2" s="1"/>
  <c r="AK850" i="2"/>
  <c r="AL54" i="1"/>
  <c r="AK55" i="1"/>
  <c r="AK53" i="1" s="1"/>
  <c r="AM62" i="10"/>
  <c r="AM57" i="10"/>
  <c r="N995" i="2"/>
  <c r="N988" i="2" s="1"/>
  <c r="M99" i="4"/>
  <c r="M104" i="4" s="1"/>
  <c r="M676" i="2"/>
  <c r="M677" i="2" s="1"/>
  <c r="M678" i="2" s="1"/>
  <c r="AI226" i="4"/>
  <c r="AJ120" i="1"/>
  <c r="V70" i="10"/>
  <c r="AI275" i="4"/>
  <c r="AJ123" i="1"/>
  <c r="AH592" i="2"/>
  <c r="AH14" i="4" s="1"/>
  <c r="AI588" i="2"/>
  <c r="AH491" i="2"/>
  <c r="AH13" i="4" s="1"/>
  <c r="AI487" i="2"/>
  <c r="AJ638" i="2"/>
  <c r="AJ639" i="2" s="1"/>
  <c r="AI29" i="1"/>
  <c r="AI27" i="1"/>
  <c r="AI28" i="1"/>
  <c r="AJ26" i="1"/>
  <c r="M325" i="4"/>
  <c r="M1012" i="2"/>
  <c r="AI82" i="4"/>
  <c r="AJ97" i="10"/>
  <c r="AF178" i="4"/>
  <c r="AG131" i="1"/>
  <c r="AI627" i="2"/>
  <c r="AJ626" i="2"/>
  <c r="AI651" i="2"/>
  <c r="AJ650" i="2"/>
  <c r="AI90" i="4"/>
  <c r="AJ93" i="10"/>
  <c r="AH47" i="4"/>
  <c r="AJ621" i="2"/>
  <c r="AH34" i="1"/>
  <c r="AH55" i="2" s="1"/>
  <c r="AI86" i="4"/>
  <c r="AJ65" i="10"/>
  <c r="AJ644" i="2"/>
  <c r="AJ645" i="2" s="1"/>
  <c r="AJ124" i="10"/>
  <c r="L345" i="4"/>
  <c r="AK593" i="2"/>
  <c r="AH317" i="4"/>
  <c r="AI146" i="1"/>
  <c r="AJ656" i="2"/>
  <c r="AJ657" i="2" s="1"/>
  <c r="AI663" i="2"/>
  <c r="AJ662" i="2"/>
  <c r="AI657" i="2"/>
  <c r="AK601" i="2"/>
  <c r="Q78" i="10"/>
  <c r="AK111" i="4"/>
  <c r="X141" i="1"/>
  <c r="AJ140" i="1"/>
  <c r="O28" i="4"/>
  <c r="M33" i="4"/>
  <c r="M151" i="4"/>
  <c r="M112" i="4"/>
  <c r="M114" i="4" s="1"/>
  <c r="AI668" i="2"/>
  <c r="AJ667" i="2"/>
  <c r="AJ499" i="2"/>
  <c r="AK495" i="2"/>
  <c r="AK582" i="2"/>
  <c r="P86" i="10"/>
  <c r="AJ673" i="2"/>
  <c r="AK672" i="2"/>
  <c r="AI102" i="4"/>
  <c r="AJ125" i="10"/>
  <c r="AJ606" i="2"/>
  <c r="AJ632" i="2"/>
  <c r="AJ633" i="2" s="1"/>
  <c r="P330" i="4"/>
  <c r="P16" i="4"/>
  <c r="P977" i="2"/>
  <c r="P978" i="2" s="1"/>
  <c r="J95" i="4"/>
  <c r="K301" i="4"/>
  <c r="K290" i="4"/>
  <c r="K306" i="4"/>
  <c r="K308" i="4"/>
  <c r="K948" i="2"/>
  <c r="K190" i="4"/>
  <c r="K210" i="4" s="1"/>
  <c r="K183" i="4"/>
  <c r="K887" i="2"/>
  <c r="K947" i="2"/>
  <c r="K75" i="4"/>
  <c r="J241" i="4"/>
  <c r="J255" i="4" s="1"/>
  <c r="K282" i="4"/>
  <c r="J192" i="4"/>
  <c r="J206" i="4" s="1"/>
  <c r="K232" i="4"/>
  <c r="L228" i="4" l="1"/>
  <c r="E72" i="7" s="1"/>
  <c r="L67" i="4"/>
  <c r="E62" i="7" s="1"/>
  <c r="L125" i="4"/>
  <c r="L128" i="4" s="1"/>
  <c r="L948" i="2" s="1"/>
  <c r="L180" i="4"/>
  <c r="L179" i="4" s="1"/>
  <c r="L277" i="4"/>
  <c r="L276" i="4" s="1"/>
  <c r="AA117" i="10"/>
  <c r="AA110" i="10"/>
  <c r="AB107" i="10" s="1"/>
  <c r="AB118" i="10" s="1"/>
  <c r="AL247" i="4"/>
  <c r="AL44" i="1"/>
  <c r="AG822" i="2"/>
  <c r="AH709" i="2"/>
  <c r="S785" i="2"/>
  <c r="T704" i="2"/>
  <c r="S796" i="2"/>
  <c r="T731" i="2"/>
  <c r="S800" i="2"/>
  <c r="T735" i="2"/>
  <c r="R979" i="2"/>
  <c r="R87" i="4"/>
  <c r="AI34" i="1"/>
  <c r="AI55" i="2" s="1"/>
  <c r="AL59" i="1"/>
  <c r="S780" i="2"/>
  <c r="S701" i="2"/>
  <c r="AB111" i="10"/>
  <c r="AB112" i="10" s="1"/>
  <c r="AB117" i="10" s="1"/>
  <c r="AG182" i="4"/>
  <c r="AG279" i="4"/>
  <c r="AF454" i="2"/>
  <c r="AF955" i="2" s="1"/>
  <c r="AF321" i="4" s="1"/>
  <c r="AD458" i="2"/>
  <c r="AD649" i="2" s="1"/>
  <c r="AD647" i="2" s="1"/>
  <c r="AD97" i="4" s="1"/>
  <c r="AH973" i="2"/>
  <c r="AB460" i="2"/>
  <c r="AH455" i="2"/>
  <c r="AH631" i="2" s="1"/>
  <c r="AH629" i="2" s="1"/>
  <c r="AH80" i="4" s="1"/>
  <c r="AJ341" i="2"/>
  <c r="AL405" i="2"/>
  <c r="AL422" i="2"/>
  <c r="AL411" i="2"/>
  <c r="AL416" i="2"/>
  <c r="AL414" i="2"/>
  <c r="AL407" i="2"/>
  <c r="AL409" i="2"/>
  <c r="AJ423" i="2"/>
  <c r="AJ424" i="2" s="1"/>
  <c r="AJ418" i="2" s="1"/>
  <c r="AK406" i="2"/>
  <c r="AK413" i="2" s="1"/>
  <c r="AI598" i="2"/>
  <c r="AK539" i="2"/>
  <c r="AK535" i="2" s="1"/>
  <c r="AK540" i="2" s="1"/>
  <c r="AJ797" i="2"/>
  <c r="AJ790" i="2" s="1"/>
  <c r="AJ53" i="4" s="1"/>
  <c r="K48" i="7" s="1"/>
  <c r="AK569" i="2"/>
  <c r="AK565" i="2" s="1"/>
  <c r="AK570" i="2" s="1"/>
  <c r="AK600" i="2" s="1"/>
  <c r="AJ599" i="2"/>
  <c r="AJ605" i="2" s="1"/>
  <c r="AJ15" i="4" s="1"/>
  <c r="K13" i="7" s="1"/>
  <c r="AK523" i="2"/>
  <c r="AK519" i="2" s="1"/>
  <c r="AK524" i="2" s="1"/>
  <c r="AK550" i="2"/>
  <c r="AK546" i="2" s="1"/>
  <c r="AK551" i="2" s="1"/>
  <c r="AJ804" i="2"/>
  <c r="AJ56" i="4" s="1"/>
  <c r="K51" i="7" s="1"/>
  <c r="AI52" i="4"/>
  <c r="AI58" i="4" s="1"/>
  <c r="AI817" i="2"/>
  <c r="AK739" i="2"/>
  <c r="AK733" i="2"/>
  <c r="AK767" i="2"/>
  <c r="AK761" i="2"/>
  <c r="AI818" i="2"/>
  <c r="AI968" i="2" s="1"/>
  <c r="AL276" i="2"/>
  <c r="AL203" i="2"/>
  <c r="AL352" i="2"/>
  <c r="AL257" i="2"/>
  <c r="AL294" i="2"/>
  <c r="AL239" i="2"/>
  <c r="AL166" i="2"/>
  <c r="AL148" i="2"/>
  <c r="AL94" i="2"/>
  <c r="AL112" i="2"/>
  <c r="AL185" i="2"/>
  <c r="AL130" i="2"/>
  <c r="AL312" i="2"/>
  <c r="AL221" i="2"/>
  <c r="AL567" i="2"/>
  <c r="AL556" i="2"/>
  <c r="AL537" i="2"/>
  <c r="AL521" i="2"/>
  <c r="AL692" i="2"/>
  <c r="AL442" i="2"/>
  <c r="AL529" i="2"/>
  <c r="AL722" i="2"/>
  <c r="AL548" i="2"/>
  <c r="AL378" i="2"/>
  <c r="AL750" i="2"/>
  <c r="AL399" i="2"/>
  <c r="AM72" i="1"/>
  <c r="AJ776" i="2"/>
  <c r="AK708" i="2"/>
  <c r="AK789" i="2" s="1"/>
  <c r="AK702" i="2"/>
  <c r="AK782" i="2" s="1"/>
  <c r="AH58" i="4"/>
  <c r="AH611" i="2"/>
  <c r="AJ573" i="2"/>
  <c r="AI572" i="2"/>
  <c r="AI597" i="2"/>
  <c r="AK531" i="2"/>
  <c r="AK527" i="2" s="1"/>
  <c r="AK532" i="2" s="1"/>
  <c r="AJ586" i="2"/>
  <c r="AJ574" i="2"/>
  <c r="AK558" i="2"/>
  <c r="AK554" i="2" s="1"/>
  <c r="AK559" i="2" s="1"/>
  <c r="J9" i="7"/>
  <c r="AI585" i="2"/>
  <c r="AI965" i="2"/>
  <c r="AK337" i="2"/>
  <c r="AJ587" i="2"/>
  <c r="P148" i="4"/>
  <c r="AC11" i="4"/>
  <c r="AE372" i="2"/>
  <c r="AK427" i="2"/>
  <c r="AK428" i="2" s="1"/>
  <c r="AK435" i="2" s="1"/>
  <c r="AK445" i="2" s="1"/>
  <c r="AK446" i="2" s="1"/>
  <c r="AK440" i="2" s="1"/>
  <c r="AK304" i="2"/>
  <c r="AK305" i="2" s="1"/>
  <c r="T336" i="4"/>
  <c r="T1004" i="2"/>
  <c r="T335" i="4" s="1"/>
  <c r="W945" i="2"/>
  <c r="W25" i="4" s="1"/>
  <c r="U1006" i="2"/>
  <c r="V122" i="4"/>
  <c r="W106" i="4"/>
  <c r="V109" i="4"/>
  <c r="U81" i="4"/>
  <c r="U324" i="4"/>
  <c r="U959" i="2"/>
  <c r="U960" i="2" s="1"/>
  <c r="U323" i="4" s="1"/>
  <c r="U1000" i="2"/>
  <c r="U997" i="2" s="1"/>
  <c r="U1009" i="2"/>
  <c r="U1005" i="2"/>
  <c r="Y923" i="2"/>
  <c r="Z922" i="2" s="1"/>
  <c r="Y937" i="2"/>
  <c r="Y21" i="4" s="1"/>
  <c r="V872" i="2"/>
  <c r="V869" i="2"/>
  <c r="V873" i="2" s="1"/>
  <c r="V963" i="2" s="1"/>
  <c r="V972" i="2" s="1"/>
  <c r="V958" i="2" s="1"/>
  <c r="X921" i="2"/>
  <c r="X938" i="2"/>
  <c r="X44" i="4" s="1"/>
  <c r="H39" i="7" s="1"/>
  <c r="U943" i="2"/>
  <c r="V912" i="2"/>
  <c r="AB902" i="2"/>
  <c r="AC903" i="2"/>
  <c r="AL924" i="2"/>
  <c r="AL905" i="2"/>
  <c r="AL931" i="2"/>
  <c r="AL932" i="2" s="1"/>
  <c r="AF42" i="4"/>
  <c r="J37" i="7" s="1"/>
  <c r="AH608" i="2"/>
  <c r="AG610" i="2"/>
  <c r="AL568" i="2"/>
  <c r="AL557" i="2"/>
  <c r="AL549" i="2"/>
  <c r="AK231" i="2"/>
  <c r="AK232" i="2" s="1"/>
  <c r="AH575" i="2"/>
  <c r="AG579" i="2"/>
  <c r="AG10" i="4" s="1"/>
  <c r="AK213" i="2"/>
  <c r="AK214" i="2" s="1"/>
  <c r="AG584" i="2"/>
  <c r="AH580" i="2"/>
  <c r="AL538" i="2"/>
  <c r="AL522" i="2"/>
  <c r="AL530" i="2"/>
  <c r="AJ446" i="2"/>
  <c r="AJ440" i="2" s="1"/>
  <c r="AF356" i="2"/>
  <c r="AH345" i="2"/>
  <c r="AH355" i="2" s="1"/>
  <c r="AL426" i="2"/>
  <c r="AL436" i="2"/>
  <c r="AL438" i="2"/>
  <c r="AL444" i="2"/>
  <c r="AL431" i="2"/>
  <c r="AL429" i="2"/>
  <c r="AL433" i="2"/>
  <c r="AK195" i="2"/>
  <c r="AK196" i="2" s="1"/>
  <c r="AK470" i="2"/>
  <c r="AK471" i="2" s="1"/>
  <c r="AK268" i="2"/>
  <c r="AK269" i="2" s="1"/>
  <c r="AK86" i="2"/>
  <c r="AK87" i="2" s="1"/>
  <c r="AG355" i="2"/>
  <c r="AG454" i="2" s="1"/>
  <c r="AI339" i="2"/>
  <c r="AK177" i="2"/>
  <c r="AK178" i="2" s="1"/>
  <c r="AK385" i="2"/>
  <c r="AK392" i="2" s="1"/>
  <c r="AK402" i="2" s="1"/>
  <c r="AK403" i="2" s="1"/>
  <c r="AK397" i="2" s="1"/>
  <c r="AK29" i="2"/>
  <c r="AK37" i="2"/>
  <c r="AK25" i="2"/>
  <c r="AK22" i="2"/>
  <c r="AK33" i="2"/>
  <c r="AK27" i="2"/>
  <c r="AK35" i="2"/>
  <c r="AK26" i="2"/>
  <c r="AK34" i="2"/>
  <c r="AL390" i="2"/>
  <c r="AL388" i="2"/>
  <c r="AL386" i="2"/>
  <c r="AL17" i="2"/>
  <c r="AL401" i="2"/>
  <c r="AL393" i="2"/>
  <c r="AL18" i="2"/>
  <c r="AL21" i="2"/>
  <c r="AL19" i="2"/>
  <c r="AL395" i="2"/>
  <c r="AL20" i="2"/>
  <c r="AK28" i="2"/>
  <c r="AK36" i="2"/>
  <c r="AJ402" i="2"/>
  <c r="AJ403" i="2" s="1"/>
  <c r="AJ397" i="2" s="1"/>
  <c r="AJ38" i="2"/>
  <c r="AJ336" i="2" s="1"/>
  <c r="AJ338" i="2" s="1"/>
  <c r="AJ451" i="2" s="1"/>
  <c r="AJ30" i="2"/>
  <c r="AK249" i="2"/>
  <c r="AK250" i="2" s="1"/>
  <c r="AK158" i="2"/>
  <c r="AK159" i="2" s="1"/>
  <c r="AF348" i="2"/>
  <c r="AE350" i="2"/>
  <c r="AE964" i="2"/>
  <c r="AH346" i="2"/>
  <c r="AC450" i="2"/>
  <c r="AC40" i="4" s="1"/>
  <c r="AJ759" i="2"/>
  <c r="AJ760" i="2" s="1"/>
  <c r="AK759" i="2" s="1"/>
  <c r="AK760" i="2" s="1"/>
  <c r="AJ763" i="2"/>
  <c r="AJ764" i="2" s="1"/>
  <c r="AK763" i="2" s="1"/>
  <c r="AK764" i="2" s="1"/>
  <c r="AL354" i="2"/>
  <c r="AL343" i="2"/>
  <c r="AF382" i="2"/>
  <c r="AD655" i="2"/>
  <c r="AE374" i="2"/>
  <c r="AE459" i="2" s="1"/>
  <c r="AG382" i="2"/>
  <c r="AJ768" i="2"/>
  <c r="AK364" i="2"/>
  <c r="AC77" i="4"/>
  <c r="AC653" i="2"/>
  <c r="AC675" i="2" s="1"/>
  <c r="AI365" i="2"/>
  <c r="AH371" i="2"/>
  <c r="AH381" i="2" s="1"/>
  <c r="AD142" i="4"/>
  <c r="AD167" i="4"/>
  <c r="AD7" i="4"/>
  <c r="AD11" i="4" s="1"/>
  <c r="AI369" i="2"/>
  <c r="AI456" i="2" s="1"/>
  <c r="AI367" i="2"/>
  <c r="AI457" i="2" s="1"/>
  <c r="AD376" i="2"/>
  <c r="AD452" i="2" s="1"/>
  <c r="AE8" i="4"/>
  <c r="AK140" i="2"/>
  <c r="AK141" i="2" s="1"/>
  <c r="AL380" i="2"/>
  <c r="AL364" i="2" s="1"/>
  <c r="AF144" i="4"/>
  <c r="AK104" i="2"/>
  <c r="AK105" i="2" s="1"/>
  <c r="AG483" i="2"/>
  <c r="AG9" i="4" s="1"/>
  <c r="AK286" i="2"/>
  <c r="AK287" i="2" s="1"/>
  <c r="AH509" i="2"/>
  <c r="AH986" i="2" s="1"/>
  <c r="AH331" i="4" s="1"/>
  <c r="AH500" i="2"/>
  <c r="AJ793" i="2"/>
  <c r="AJ91" i="4" s="1"/>
  <c r="AJ472" i="2"/>
  <c r="AJ478" i="2" s="1"/>
  <c r="AJ503" i="2" s="1"/>
  <c r="AJ477" i="2"/>
  <c r="AH504" i="2"/>
  <c r="AH661" i="2" s="1"/>
  <c r="AH659" i="2" s="1"/>
  <c r="AH100" i="4" s="1"/>
  <c r="AI502" i="2"/>
  <c r="AI476" i="2"/>
  <c r="AK757" i="2"/>
  <c r="AG637" i="2"/>
  <c r="AG635" i="2" s="1"/>
  <c r="AG79" i="4" s="1"/>
  <c r="AH481" i="2"/>
  <c r="AI984" i="2"/>
  <c r="AI332" i="4" s="1"/>
  <c r="AI506" i="2"/>
  <c r="AI985" i="2" s="1"/>
  <c r="AK758" i="2"/>
  <c r="AH479" i="2"/>
  <c r="AG643" i="2"/>
  <c r="AG641" i="2" s="1"/>
  <c r="AG78" i="4" s="1"/>
  <c r="AG166" i="4" s="1"/>
  <c r="AK501" i="2"/>
  <c r="AG508" i="2"/>
  <c r="AG41" i="4" s="1"/>
  <c r="AL744" i="2"/>
  <c r="AL757" i="2" s="1"/>
  <c r="AL474" i="2"/>
  <c r="AL501" i="2"/>
  <c r="AK697" i="2"/>
  <c r="AK703" i="2" s="1"/>
  <c r="AK783" i="2" s="1"/>
  <c r="AJ794" i="2"/>
  <c r="AJ671" i="2" s="1"/>
  <c r="AJ670" i="2" s="1"/>
  <c r="AJ98" i="4" s="1"/>
  <c r="AK699" i="2"/>
  <c r="AK779" i="2" s="1"/>
  <c r="AI798" i="2"/>
  <c r="AI970" i="2" s="1"/>
  <c r="AK762" i="2"/>
  <c r="AL689" i="2"/>
  <c r="AL699" i="2" s="1"/>
  <c r="AL779" i="2" s="1"/>
  <c r="AL716" i="2"/>
  <c r="AJ740" i="2"/>
  <c r="AJ734" i="2"/>
  <c r="AK727" i="2"/>
  <c r="AK730" i="2"/>
  <c r="AK729" i="2"/>
  <c r="AH237" i="2"/>
  <c r="AI179" i="2"/>
  <c r="AI160" i="2"/>
  <c r="AI197" i="2"/>
  <c r="AI288" i="2"/>
  <c r="AI281" i="2"/>
  <c r="AI270" i="2" s="1"/>
  <c r="AI106" i="2"/>
  <c r="AI233" i="2"/>
  <c r="AI153" i="2"/>
  <c r="AI142" i="2" s="1"/>
  <c r="AI251" i="2"/>
  <c r="AG325" i="2"/>
  <c r="AK122" i="2"/>
  <c r="AK123" i="2" s="1"/>
  <c r="AF326" i="2"/>
  <c r="AF625" i="2" s="1"/>
  <c r="AH322" i="2"/>
  <c r="AI327" i="2"/>
  <c r="AI954" i="2" s="1"/>
  <c r="AI320" i="4" s="1"/>
  <c r="AJ321" i="2"/>
  <c r="AJ6" i="4" s="1"/>
  <c r="K5" i="7" s="1"/>
  <c r="AH300" i="2"/>
  <c r="AI290" i="2"/>
  <c r="AH292" i="2"/>
  <c r="AJ316" i="2"/>
  <c r="AJ317" i="2" s="1"/>
  <c r="AJ280" i="2"/>
  <c r="AJ281" i="2" s="1"/>
  <c r="AH318" i="2"/>
  <c r="AI308" i="2"/>
  <c r="AH310" i="2"/>
  <c r="AJ298" i="2"/>
  <c r="AJ299" i="2" s="1"/>
  <c r="AL315" i="2"/>
  <c r="AL302" i="2"/>
  <c r="AL297" i="2"/>
  <c r="AL284" i="2"/>
  <c r="AL266" i="2"/>
  <c r="AL279" i="2"/>
  <c r="AH282" i="2"/>
  <c r="AI272" i="2"/>
  <c r="AH274" i="2"/>
  <c r="AE328" i="2"/>
  <c r="AF619" i="2"/>
  <c r="AF617" i="2" s="1"/>
  <c r="AF92" i="2"/>
  <c r="AF323" i="2" s="1"/>
  <c r="AG88" i="2"/>
  <c r="AG324" i="2" s="1"/>
  <c r="AE76" i="4"/>
  <c r="AE165" i="4" s="1"/>
  <c r="AL260" i="2"/>
  <c r="AL242" i="2"/>
  <c r="AL247" i="2"/>
  <c r="AL224" i="2"/>
  <c r="AL229" i="2"/>
  <c r="AL211" i="2"/>
  <c r="AL206" i="2"/>
  <c r="AL188" i="2"/>
  <c r="AL175" i="2"/>
  <c r="AL193" i="2"/>
  <c r="AG227" i="2"/>
  <c r="AH217" i="2"/>
  <c r="AG219" i="2"/>
  <c r="AG191" i="2"/>
  <c r="AH181" i="2"/>
  <c r="AG183" i="2"/>
  <c r="AJ261" i="2"/>
  <c r="AJ262" i="2" s="1"/>
  <c r="AG263" i="2"/>
  <c r="AH253" i="2"/>
  <c r="AG255" i="2"/>
  <c r="AH245" i="2"/>
  <c r="AI235" i="2"/>
  <c r="AJ189" i="2"/>
  <c r="AJ225" i="2"/>
  <c r="AJ226" i="2" s="1"/>
  <c r="AJ243" i="2"/>
  <c r="AJ244" i="2" s="1"/>
  <c r="AJ207" i="2"/>
  <c r="AJ208" i="2" s="1"/>
  <c r="AI226" i="2"/>
  <c r="AI215" i="2" s="1"/>
  <c r="AG209" i="2"/>
  <c r="AH199" i="2"/>
  <c r="AG201" i="2"/>
  <c r="AE625" i="2"/>
  <c r="AE623" i="2" s="1"/>
  <c r="AE39" i="4"/>
  <c r="AD101" i="4"/>
  <c r="AD623" i="2"/>
  <c r="AL151" i="2"/>
  <c r="AL156" i="2"/>
  <c r="AL138" i="2"/>
  <c r="AL169" i="2"/>
  <c r="AL120" i="2"/>
  <c r="AL133" i="2"/>
  <c r="AL115" i="2"/>
  <c r="AL102" i="2"/>
  <c r="AI135" i="2"/>
  <c r="AI124" i="2" s="1"/>
  <c r="AG136" i="2"/>
  <c r="AH126" i="2"/>
  <c r="AG128" i="2"/>
  <c r="AJ116" i="2"/>
  <c r="AJ117" i="2" s="1"/>
  <c r="AJ170" i="2"/>
  <c r="AJ171" i="2" s="1"/>
  <c r="AG172" i="2"/>
  <c r="AH162" i="2"/>
  <c r="AG164" i="2"/>
  <c r="AG118" i="2"/>
  <c r="AH108" i="2"/>
  <c r="AH110" i="2" s="1"/>
  <c r="AG110" i="2"/>
  <c r="AJ152" i="2"/>
  <c r="AJ153" i="2" s="1"/>
  <c r="AJ134" i="2"/>
  <c r="AJ135" i="2" s="1"/>
  <c r="AH154" i="2"/>
  <c r="AI144" i="2"/>
  <c r="AH146" i="2"/>
  <c r="AI99" i="2"/>
  <c r="AI141" i="4"/>
  <c r="AI146" i="4"/>
  <c r="AL84" i="2"/>
  <c r="AL97" i="2"/>
  <c r="AH100" i="2"/>
  <c r="AI90" i="2"/>
  <c r="AJ98" i="2"/>
  <c r="AL595" i="2"/>
  <c r="AL883" i="2"/>
  <c r="AL252" i="4"/>
  <c r="AL187" i="4"/>
  <c r="AL236" i="4"/>
  <c r="AL203" i="4"/>
  <c r="AL294" i="4"/>
  <c r="AQ86" i="1"/>
  <c r="AL497" i="2"/>
  <c r="AB116" i="10"/>
  <c r="AL590" i="2"/>
  <c r="AL113" i="4"/>
  <c r="AL577" i="2"/>
  <c r="Z114" i="10"/>
  <c r="Z122" i="10"/>
  <c r="AM2" i="5"/>
  <c r="AM2" i="4"/>
  <c r="AM2" i="2"/>
  <c r="AN25" i="1"/>
  <c r="AM2" i="1"/>
  <c r="AM45" i="1" s="1"/>
  <c r="AM2" i="10"/>
  <c r="AM141" i="1"/>
  <c r="AA120" i="10"/>
  <c r="AQ79" i="1"/>
  <c r="AP81" i="1"/>
  <c r="AL289" i="4"/>
  <c r="AL103" i="4"/>
  <c r="AM103" i="4" s="1"/>
  <c r="AL489" i="2"/>
  <c r="AN48" i="1"/>
  <c r="AN49" i="1"/>
  <c r="AN50" i="1"/>
  <c r="AN197" i="4"/>
  <c r="AO43" i="1"/>
  <c r="AN288" i="4"/>
  <c r="AN246" i="4"/>
  <c r="AN47" i="1"/>
  <c r="AL83" i="4"/>
  <c r="AM83" i="4" s="1"/>
  <c r="AL13" i="2"/>
  <c r="AL157" i="2" s="1"/>
  <c r="AL14" i="2"/>
  <c r="AL139" i="2" s="1"/>
  <c r="AL12" i="2"/>
  <c r="AL121" i="2" s="1"/>
  <c r="AL108" i="4"/>
  <c r="AO87" i="1"/>
  <c r="AN91" i="1"/>
  <c r="AL603" i="2"/>
  <c r="AL198" i="4"/>
  <c r="AH4" i="2"/>
  <c r="AH42" i="2"/>
  <c r="AI42" i="2"/>
  <c r="AL850" i="2"/>
  <c r="AM849" i="2"/>
  <c r="AM848" i="2" s="1"/>
  <c r="AK858" i="2"/>
  <c r="AL857" i="2"/>
  <c r="AL856" i="2" s="1"/>
  <c r="M130" i="4"/>
  <c r="AM54" i="1"/>
  <c r="AL55" i="1"/>
  <c r="AL53" i="1" s="1"/>
  <c r="AN62" i="10"/>
  <c r="AN57" i="10"/>
  <c r="AI47" i="4"/>
  <c r="AI491" i="2"/>
  <c r="AI13" i="4" s="1"/>
  <c r="AJ487" i="2"/>
  <c r="Q79" i="10"/>
  <c r="AI1" i="5"/>
  <c r="AI271" i="4"/>
  <c r="AI826" i="2"/>
  <c r="AI102" i="10"/>
  <c r="AI38" i="1"/>
  <c r="M158" i="4"/>
  <c r="AI317" i="4"/>
  <c r="AJ146" i="1"/>
  <c r="AJ90" i="4"/>
  <c r="AK93" i="10"/>
  <c r="AG178" i="4"/>
  <c r="AH131" i="1"/>
  <c r="K211" i="4"/>
  <c r="AK499" i="2"/>
  <c r="AL495" i="2"/>
  <c r="M159" i="4"/>
  <c r="O991" i="2"/>
  <c r="AJ275" i="4"/>
  <c r="AK123" i="1"/>
  <c r="AJ226" i="4"/>
  <c r="AK120" i="1"/>
  <c r="L227" i="4"/>
  <c r="E71" i="7" s="1"/>
  <c r="L346" i="4"/>
  <c r="AJ82" i="4"/>
  <c r="AK97" i="10"/>
  <c r="AI592" i="2"/>
  <c r="AI14" i="4" s="1"/>
  <c r="AJ588" i="2"/>
  <c r="W141" i="1"/>
  <c r="AK140" i="1"/>
  <c r="AK606" i="2"/>
  <c r="P89" i="4"/>
  <c r="P93" i="4" s="1"/>
  <c r="P169" i="4" s="1"/>
  <c r="Q84" i="10"/>
  <c r="AL111" i="4"/>
  <c r="AL601" i="2"/>
  <c r="AJ663" i="2"/>
  <c r="AK662" i="2"/>
  <c r="AL593" i="2"/>
  <c r="AJ86" i="4"/>
  <c r="AK65" i="10"/>
  <c r="M43" i="4"/>
  <c r="AJ668" i="2"/>
  <c r="AK667" i="2"/>
  <c r="AK124" i="10"/>
  <c r="M337" i="4"/>
  <c r="K302" i="4"/>
  <c r="N29" i="4"/>
  <c r="N326" i="4"/>
  <c r="N989" i="2"/>
  <c r="N990" i="2" s="1"/>
  <c r="N1011" i="2"/>
  <c r="AK656" i="2"/>
  <c r="AK657" i="2" s="1"/>
  <c r="V71" i="10"/>
  <c r="V72" i="10" s="1"/>
  <c r="K260" i="4"/>
  <c r="AK632" i="2"/>
  <c r="AK633" i="2" s="1"/>
  <c r="P329" i="4"/>
  <c r="AL582" i="2"/>
  <c r="AJ651" i="2"/>
  <c r="AK650" i="2"/>
  <c r="AJ29" i="1"/>
  <c r="AJ28" i="1"/>
  <c r="AK26" i="1"/>
  <c r="AJ27" i="1"/>
  <c r="AK638" i="2"/>
  <c r="AH1" i="5"/>
  <c r="AH4" i="5"/>
  <c r="AH174" i="4"/>
  <c r="AH138" i="4"/>
  <c r="AH73" i="4"/>
  <c r="AH4" i="4"/>
  <c r="AH271" i="4"/>
  <c r="AH119" i="4"/>
  <c r="AH222" i="4"/>
  <c r="AH37" i="4"/>
  <c r="AH1" i="4"/>
  <c r="AH615" i="2"/>
  <c r="AH891" i="2"/>
  <c r="AH313" i="4"/>
  <c r="AH841" i="2"/>
  <c r="AH880" i="2"/>
  <c r="AH513" i="2"/>
  <c r="AH464" i="2"/>
  <c r="AH80" i="2"/>
  <c r="AH332" i="2"/>
  <c r="AH1" i="2"/>
  <c r="AH862" i="2"/>
  <c r="AH682" i="2"/>
  <c r="AH1" i="10"/>
  <c r="AH102" i="10"/>
  <c r="AH68" i="1"/>
  <c r="AH14" i="1"/>
  <c r="AH1" i="1"/>
  <c r="AH113" i="1"/>
  <c r="AH952" i="2"/>
  <c r="AH38" i="1"/>
  <c r="AH90" i="10"/>
  <c r="AH55" i="10"/>
  <c r="AH826" i="2"/>
  <c r="AK673" i="2"/>
  <c r="AL672" i="2"/>
  <c r="P17" i="4"/>
  <c r="F14" i="7" s="1"/>
  <c r="AJ102" i="4"/>
  <c r="AK125" i="10"/>
  <c r="AK644" i="2"/>
  <c r="AK645" i="2" s="1"/>
  <c r="AJ627" i="2"/>
  <c r="AK626" i="2"/>
  <c r="M116" i="4"/>
  <c r="K84" i="4"/>
  <c r="K163" i="4" s="1"/>
  <c r="J117" i="4"/>
  <c r="J160" i="4"/>
  <c r="J170" i="4"/>
  <c r="K199" i="4"/>
  <c r="K248" i="4"/>
  <c r="K307" i="4"/>
  <c r="K309" i="4"/>
  <c r="K264" i="4"/>
  <c r="K265" i="4" s="1"/>
  <c r="K266" i="4"/>
  <c r="K267" i="4" s="1"/>
  <c r="K215" i="4"/>
  <c r="K217" i="4"/>
  <c r="K294" i="4"/>
  <c r="K283" i="4"/>
  <c r="K240" i="4"/>
  <c r="K233" i="4"/>
  <c r="K191" i="4"/>
  <c r="K184" i="4"/>
  <c r="AI55" i="10" l="1"/>
  <c r="AI682" i="2"/>
  <c r="AI332" i="2"/>
  <c r="AI119" i="4"/>
  <c r="L69" i="4"/>
  <c r="E64" i="7" s="1"/>
  <c r="AI68" i="1"/>
  <c r="AI1" i="1"/>
  <c r="AI952" i="2"/>
  <c r="AI464" i="2"/>
  <c r="AI615" i="2"/>
  <c r="AI73" i="4"/>
  <c r="AI1" i="4"/>
  <c r="AI222" i="4"/>
  <c r="AM247" i="4"/>
  <c r="AN247" i="4" s="1"/>
  <c r="AI14" i="1"/>
  <c r="AI1" i="10"/>
  <c r="AI113" i="1"/>
  <c r="AI90" i="10"/>
  <c r="AI513" i="2"/>
  <c r="AI880" i="2"/>
  <c r="AI80" i="2"/>
  <c r="AI891" i="2"/>
  <c r="AI862" i="2"/>
  <c r="AI841" i="2"/>
  <c r="AI1" i="2"/>
  <c r="AI138" i="4"/>
  <c r="AI4" i="4"/>
  <c r="AI174" i="4"/>
  <c r="AI37" i="4"/>
  <c r="AI313" i="4"/>
  <c r="AI4" i="5"/>
  <c r="AI4" i="2"/>
  <c r="S781" i="2"/>
  <c r="T700" i="2"/>
  <c r="T799" i="2"/>
  <c r="T736" i="2"/>
  <c r="T795" i="2"/>
  <c r="T732" i="2"/>
  <c r="T784" i="2"/>
  <c r="T705" i="2"/>
  <c r="AI709" i="2"/>
  <c r="AH822" i="2"/>
  <c r="AC111" i="10"/>
  <c r="AC116" i="10" s="1"/>
  <c r="AH454" i="2"/>
  <c r="AE458" i="2"/>
  <c r="AE649" i="2" s="1"/>
  <c r="AE647" i="2" s="1"/>
  <c r="AE97" i="4" s="1"/>
  <c r="AI455" i="2"/>
  <c r="AI631" i="2" s="1"/>
  <c r="AI629" i="2" s="1"/>
  <c r="AI80" i="4" s="1"/>
  <c r="AF453" i="2"/>
  <c r="AF964" i="2" s="1"/>
  <c r="AK341" i="2"/>
  <c r="AK797" i="2"/>
  <c r="AK790" i="2" s="1"/>
  <c r="AK53" i="4" s="1"/>
  <c r="AK423" i="2"/>
  <c r="AK424" i="2" s="1"/>
  <c r="AK418" i="2" s="1"/>
  <c r="AM422" i="2"/>
  <c r="AM414" i="2"/>
  <c r="AM416" i="2"/>
  <c r="AM407" i="2"/>
  <c r="AM411" i="2"/>
  <c r="AM409" i="2"/>
  <c r="AL406" i="2"/>
  <c r="AL413" i="2" s="1"/>
  <c r="AL539" i="2"/>
  <c r="AL535" i="2" s="1"/>
  <c r="AL540" i="2" s="1"/>
  <c r="W122" i="4"/>
  <c r="W867" i="2"/>
  <c r="W869" i="2" s="1"/>
  <c r="W873" i="2" s="1"/>
  <c r="W963" i="2" s="1"/>
  <c r="W972" i="2" s="1"/>
  <c r="W958" i="2" s="1"/>
  <c r="AK804" i="2"/>
  <c r="AK962" i="2" s="1"/>
  <c r="AL569" i="2"/>
  <c r="AL565" i="2" s="1"/>
  <c r="AL599" i="2" s="1"/>
  <c r="AL605" i="2" s="1"/>
  <c r="AL15" i="4" s="1"/>
  <c r="AJ818" i="2"/>
  <c r="AJ968" i="2" s="1"/>
  <c r="AI973" i="2"/>
  <c r="AK599" i="2"/>
  <c r="AK605" i="2" s="1"/>
  <c r="AK15" i="4" s="1"/>
  <c r="AJ598" i="2"/>
  <c r="AI182" i="4"/>
  <c r="AI279" i="4"/>
  <c r="AI229" i="4"/>
  <c r="AK776" i="2"/>
  <c r="AK52" i="4" s="1"/>
  <c r="AL523" i="2"/>
  <c r="AL519" i="2" s="1"/>
  <c r="AL524" i="2" s="1"/>
  <c r="AL708" i="2"/>
  <c r="AL789" i="2" s="1"/>
  <c r="AL702" i="2"/>
  <c r="AL782" i="2" s="1"/>
  <c r="AJ52" i="4"/>
  <c r="AJ817" i="2"/>
  <c r="AL767" i="2"/>
  <c r="AL761" i="2"/>
  <c r="AL550" i="2"/>
  <c r="AL546" i="2" s="1"/>
  <c r="AL551" i="2" s="1"/>
  <c r="AJ962" i="2"/>
  <c r="AM352" i="2"/>
  <c r="AM257" i="2"/>
  <c r="AM294" i="2"/>
  <c r="AM221" i="2"/>
  <c r="AM148" i="2"/>
  <c r="AM112" i="2"/>
  <c r="AM312" i="2"/>
  <c r="AM239" i="2"/>
  <c r="AM185" i="2"/>
  <c r="AM166" i="2"/>
  <c r="AM130" i="2"/>
  <c r="AM276" i="2"/>
  <c r="AM94" i="2"/>
  <c r="AM203" i="2"/>
  <c r="AM529" i="2"/>
  <c r="AM750" i="2"/>
  <c r="AM442" i="2"/>
  <c r="AM548" i="2"/>
  <c r="AM399" i="2"/>
  <c r="AM378" i="2"/>
  <c r="AM567" i="2"/>
  <c r="AM722" i="2"/>
  <c r="AM556" i="2"/>
  <c r="AM521" i="2"/>
  <c r="AM692" i="2"/>
  <c r="AM537" i="2"/>
  <c r="AN72" i="1"/>
  <c r="AH182" i="4"/>
  <c r="AH279" i="4"/>
  <c r="AH229" i="4"/>
  <c r="AL739" i="2"/>
  <c r="AL733" i="2"/>
  <c r="AJ597" i="2"/>
  <c r="AJ572" i="2"/>
  <c r="AI611" i="2"/>
  <c r="AK574" i="2"/>
  <c r="AL531" i="2"/>
  <c r="AL527" i="2" s="1"/>
  <c r="AL532" i="2" s="1"/>
  <c r="AK573" i="2"/>
  <c r="AL558" i="2"/>
  <c r="AL554" i="2" s="1"/>
  <c r="AL559" i="2" s="1"/>
  <c r="AK586" i="2"/>
  <c r="AK587" i="2"/>
  <c r="AJ585" i="2"/>
  <c r="AJ965" i="2"/>
  <c r="AL337" i="2"/>
  <c r="AG143" i="4"/>
  <c r="AL304" i="2"/>
  <c r="AL305" i="2" s="1"/>
  <c r="N147" i="4"/>
  <c r="AF372" i="2"/>
  <c r="AL427" i="2"/>
  <c r="AL428" i="2" s="1"/>
  <c r="AL435" i="2" s="1"/>
  <c r="AL445" i="2" s="1"/>
  <c r="AL446" i="2" s="1"/>
  <c r="AL440" i="2" s="1"/>
  <c r="W109" i="4"/>
  <c r="X939" i="2"/>
  <c r="X934" i="2" s="1"/>
  <c r="X126" i="4"/>
  <c r="X278" i="4"/>
  <c r="X181" i="4"/>
  <c r="U1007" i="2"/>
  <c r="U1008" i="2" s="1"/>
  <c r="U1002" i="2" s="1"/>
  <c r="Z923" i="2"/>
  <c r="Z938" i="2" s="1"/>
  <c r="Z44" i="4" s="1"/>
  <c r="Z937" i="2"/>
  <c r="Z21" i="4" s="1"/>
  <c r="V324" i="4"/>
  <c r="V959" i="2"/>
  <c r="U334" i="4"/>
  <c r="U998" i="2"/>
  <c r="U999" i="2" s="1"/>
  <c r="U333" i="4" s="1"/>
  <c r="V871" i="2"/>
  <c r="V46" i="4" s="1"/>
  <c r="V26" i="4"/>
  <c r="V974" i="2"/>
  <c r="Y921" i="2"/>
  <c r="Y938" i="2"/>
  <c r="Y44" i="4" s="1"/>
  <c r="AC904" i="2"/>
  <c r="V944" i="2"/>
  <c r="V913" i="2"/>
  <c r="AM924" i="2"/>
  <c r="AM905" i="2"/>
  <c r="AM931" i="2"/>
  <c r="AM932" i="2" s="1"/>
  <c r="AG42" i="4"/>
  <c r="AI608" i="2"/>
  <c r="AH610" i="2"/>
  <c r="AM568" i="2"/>
  <c r="AL231" i="2"/>
  <c r="AL232" i="2" s="1"/>
  <c r="AM557" i="2"/>
  <c r="AM549" i="2"/>
  <c r="AL213" i="2"/>
  <c r="AL214" i="2" s="1"/>
  <c r="AI575" i="2"/>
  <c r="AH579" i="2"/>
  <c r="AH10" i="4" s="1"/>
  <c r="AH143" i="4" s="1"/>
  <c r="AI580" i="2"/>
  <c r="AH584" i="2"/>
  <c r="AM522" i="2"/>
  <c r="AM538" i="2"/>
  <c r="AM530" i="2"/>
  <c r="AL470" i="2"/>
  <c r="AL471" i="2" s="1"/>
  <c r="AI345" i="2"/>
  <c r="AI355" i="2" s="1"/>
  <c r="AL195" i="2"/>
  <c r="AL196" i="2" s="1"/>
  <c r="AL268" i="2"/>
  <c r="AL269" i="2" s="1"/>
  <c r="AH356" i="2"/>
  <c r="AM426" i="2"/>
  <c r="AM438" i="2"/>
  <c r="AM436" i="2"/>
  <c r="AM444" i="2"/>
  <c r="AM433" i="2"/>
  <c r="AM429" i="2"/>
  <c r="AM431" i="2"/>
  <c r="AL86" i="2"/>
  <c r="AL87" i="2" s="1"/>
  <c r="AL177" i="2"/>
  <c r="AL178" i="2" s="1"/>
  <c r="AK38" i="2"/>
  <c r="AK336" i="2" s="1"/>
  <c r="AK338" i="2" s="1"/>
  <c r="AK451" i="2" s="1"/>
  <c r="AF449" i="2"/>
  <c r="AF8" i="4" s="1"/>
  <c r="J7" i="7" s="1"/>
  <c r="AG356" i="2"/>
  <c r="AG453" i="2" s="1"/>
  <c r="AJ339" i="2"/>
  <c r="AM390" i="2"/>
  <c r="AM388" i="2"/>
  <c r="AM386" i="2"/>
  <c r="AM393" i="2"/>
  <c r="AM19" i="2"/>
  <c r="AM395" i="2"/>
  <c r="AM401" i="2"/>
  <c r="AM17" i="2"/>
  <c r="AM18" i="2"/>
  <c r="AM21" i="2"/>
  <c r="AM20" i="2"/>
  <c r="AL385" i="2"/>
  <c r="AL392" i="2" s="1"/>
  <c r="AL28" i="2"/>
  <c r="AL36" i="2"/>
  <c r="AL27" i="2"/>
  <c r="AL35" i="2"/>
  <c r="AK30" i="2"/>
  <c r="AL25" i="2"/>
  <c r="AL33" i="2"/>
  <c r="AL22" i="2"/>
  <c r="AL249" i="2"/>
  <c r="AL250" i="2" s="1"/>
  <c r="AL29" i="2"/>
  <c r="AL37" i="2"/>
  <c r="AL26" i="2"/>
  <c r="AL34" i="2"/>
  <c r="AL158" i="2"/>
  <c r="AL159" i="2" s="1"/>
  <c r="AC460" i="2"/>
  <c r="AI346" i="2"/>
  <c r="AD450" i="2"/>
  <c r="AG348" i="2"/>
  <c r="AF350" i="2"/>
  <c r="AK793" i="2"/>
  <c r="AK91" i="4" s="1"/>
  <c r="AM354" i="2"/>
  <c r="AM343" i="2"/>
  <c r="AL104" i="2"/>
  <c r="AL105" i="2" s="1"/>
  <c r="AH382" i="2"/>
  <c r="AG955" i="2"/>
  <c r="AG321" i="4" s="1"/>
  <c r="AG449" i="2"/>
  <c r="AG8" i="4" s="1"/>
  <c r="AJ367" i="2"/>
  <c r="AJ457" i="2" s="1"/>
  <c r="AJ365" i="2"/>
  <c r="AI371" i="2"/>
  <c r="AD653" i="2"/>
  <c r="AD675" i="2" s="1"/>
  <c r="AD77" i="4"/>
  <c r="AJ369" i="2"/>
  <c r="AJ456" i="2" s="1"/>
  <c r="AE655" i="2"/>
  <c r="AF374" i="2"/>
  <c r="AF459" i="2" s="1"/>
  <c r="AE376" i="2"/>
  <c r="AE452" i="2" s="1"/>
  <c r="AE142" i="4"/>
  <c r="AE167" i="4"/>
  <c r="AE7" i="4"/>
  <c r="AE11" i="4" s="1"/>
  <c r="AM380" i="2"/>
  <c r="AK768" i="2"/>
  <c r="AL140" i="2"/>
  <c r="AL141" i="2" s="1"/>
  <c r="AL286" i="2"/>
  <c r="AL287" i="2" s="1"/>
  <c r="AG144" i="4"/>
  <c r="AI509" i="2"/>
  <c r="AI986" i="2" s="1"/>
  <c r="AI331" i="4" s="1"/>
  <c r="AH508" i="2"/>
  <c r="AH41" i="4" s="1"/>
  <c r="AH483" i="2"/>
  <c r="AH9" i="4" s="1"/>
  <c r="AJ502" i="2"/>
  <c r="AJ476" i="2"/>
  <c r="AL758" i="2"/>
  <c r="AK472" i="2"/>
  <c r="AK478" i="2" s="1"/>
  <c r="AK503" i="2" s="1"/>
  <c r="AK477" i="2"/>
  <c r="AL755" i="2"/>
  <c r="AL763" i="2" s="1"/>
  <c r="AL764" i="2" s="1"/>
  <c r="AI504" i="2"/>
  <c r="AI661" i="2" s="1"/>
  <c r="AI659" i="2" s="1"/>
  <c r="AI100" i="4" s="1"/>
  <c r="AJ984" i="2"/>
  <c r="AJ332" i="4" s="1"/>
  <c r="AJ506" i="2"/>
  <c r="AJ985" i="2" s="1"/>
  <c r="AH637" i="2"/>
  <c r="AH635" i="2" s="1"/>
  <c r="AH79" i="4" s="1"/>
  <c r="AI481" i="2"/>
  <c r="AI479" i="2"/>
  <c r="AH643" i="2"/>
  <c r="AH641" i="2" s="1"/>
  <c r="AH78" i="4" s="1"/>
  <c r="AH166" i="4" s="1"/>
  <c r="AI500" i="2"/>
  <c r="AM744" i="2"/>
  <c r="AM758" i="2" s="1"/>
  <c r="AM474" i="2"/>
  <c r="AM501" i="2"/>
  <c r="AL697" i="2"/>
  <c r="AL703" i="2" s="1"/>
  <c r="AL783" i="2" s="1"/>
  <c r="AK794" i="2"/>
  <c r="AK671" i="2" s="1"/>
  <c r="AK670" i="2" s="1"/>
  <c r="AK98" i="4" s="1"/>
  <c r="AJ798" i="2"/>
  <c r="AJ970" i="2" s="1"/>
  <c r="AL698" i="2"/>
  <c r="AK740" i="2"/>
  <c r="AM689" i="2"/>
  <c r="AM697" i="2" s="1"/>
  <c r="AM716" i="2"/>
  <c r="AL727" i="2"/>
  <c r="AL730" i="2"/>
  <c r="AL729" i="2"/>
  <c r="AL793" i="2" s="1"/>
  <c r="AK734" i="2"/>
  <c r="AJ160" i="2"/>
  <c r="AJ215" i="2"/>
  <c r="AJ306" i="2"/>
  <c r="AJ251" i="2"/>
  <c r="AJ233" i="2"/>
  <c r="AJ197" i="2"/>
  <c r="AJ124" i="2"/>
  <c r="AJ106" i="2"/>
  <c r="AJ142" i="2"/>
  <c r="AK134" i="2"/>
  <c r="AK135" i="2" s="1"/>
  <c r="AJ288" i="2"/>
  <c r="AJ270" i="2"/>
  <c r="AL122" i="2"/>
  <c r="AL123" i="2" s="1"/>
  <c r="AG326" i="2"/>
  <c r="AG961" i="2" s="1"/>
  <c r="AK280" i="2"/>
  <c r="AK281" i="2" s="1"/>
  <c r="AJ327" i="2"/>
  <c r="AJ954" i="2" s="1"/>
  <c r="AJ320" i="4" s="1"/>
  <c r="AI322" i="2"/>
  <c r="AH325" i="2"/>
  <c r="AK321" i="2"/>
  <c r="AK6" i="4" s="1"/>
  <c r="AI318" i="2"/>
  <c r="AJ308" i="2"/>
  <c r="AK316" i="2"/>
  <c r="AK317" i="2" s="1"/>
  <c r="AI300" i="2"/>
  <c r="AJ290" i="2"/>
  <c r="AI292" i="2"/>
  <c r="AI282" i="2"/>
  <c r="AJ272" i="2"/>
  <c r="AI274" i="2"/>
  <c r="AM302" i="2"/>
  <c r="AM297" i="2"/>
  <c r="AM315" i="2"/>
  <c r="AM284" i="2"/>
  <c r="AM266" i="2"/>
  <c r="AM279" i="2"/>
  <c r="AK298" i="2"/>
  <c r="AK299" i="2" s="1"/>
  <c r="AI310" i="2"/>
  <c r="AF328" i="2"/>
  <c r="AG619" i="2"/>
  <c r="AG617" i="2" s="1"/>
  <c r="AH88" i="2"/>
  <c r="AH324" i="2" s="1"/>
  <c r="AG92" i="2"/>
  <c r="AG323" i="2" s="1"/>
  <c r="AG328" i="2" s="1"/>
  <c r="AF76" i="4"/>
  <c r="AF165" i="4" s="1"/>
  <c r="AH209" i="2"/>
  <c r="AI199" i="2"/>
  <c r="AH201" i="2"/>
  <c r="AK189" i="2"/>
  <c r="AJ190" i="2"/>
  <c r="AJ179" i="2" s="1"/>
  <c r="AK225" i="2"/>
  <c r="AK226" i="2" s="1"/>
  <c r="AH227" i="2"/>
  <c r="AI217" i="2"/>
  <c r="AH219" i="2"/>
  <c r="AI245" i="2"/>
  <c r="AJ235" i="2"/>
  <c r="AH263" i="2"/>
  <c r="AI253" i="2"/>
  <c r="AH255" i="2"/>
  <c r="AM247" i="2"/>
  <c r="AM242" i="2"/>
  <c r="AM229" i="2"/>
  <c r="AM224" i="2"/>
  <c r="AM211" i="2"/>
  <c r="AM206" i="2"/>
  <c r="AM188" i="2"/>
  <c r="AM260" i="2"/>
  <c r="AM175" i="2"/>
  <c r="AM193" i="2"/>
  <c r="AK207" i="2"/>
  <c r="AK208" i="2" s="1"/>
  <c r="AI237" i="2"/>
  <c r="AK261" i="2"/>
  <c r="AK262" i="2" s="1"/>
  <c r="AK243" i="2"/>
  <c r="AK244" i="2" s="1"/>
  <c r="AH191" i="2"/>
  <c r="AI181" i="2"/>
  <c r="AH183" i="2"/>
  <c r="AE101" i="4"/>
  <c r="AF39" i="4"/>
  <c r="J34" i="7" s="1"/>
  <c r="AF961" i="2"/>
  <c r="AJ141" i="4"/>
  <c r="AF623" i="2"/>
  <c r="AF101" i="4"/>
  <c r="AJ146" i="4"/>
  <c r="AK152" i="2"/>
  <c r="AK153" i="2" s="1"/>
  <c r="AK170" i="2"/>
  <c r="AK171" i="2" s="1"/>
  <c r="AK116" i="2"/>
  <c r="AK117" i="2" s="1"/>
  <c r="AM156" i="2"/>
  <c r="AM151" i="2"/>
  <c r="AM120" i="2"/>
  <c r="AM133" i="2"/>
  <c r="AM138" i="2"/>
  <c r="AM115" i="2"/>
  <c r="AM169" i="2"/>
  <c r="AM102" i="2"/>
  <c r="AH136" i="2"/>
  <c r="AI126" i="2"/>
  <c r="AH128" i="2"/>
  <c r="AI154" i="2"/>
  <c r="AJ144" i="2"/>
  <c r="AI146" i="2"/>
  <c r="AH172" i="2"/>
  <c r="AI162" i="2"/>
  <c r="AH164" i="2"/>
  <c r="AH118" i="2"/>
  <c r="AI108" i="2"/>
  <c r="AJ99" i="2"/>
  <c r="AK98" i="2"/>
  <c r="AM84" i="2"/>
  <c r="AM97" i="2"/>
  <c r="AI100" i="2"/>
  <c r="AJ90" i="2"/>
  <c r="AM590" i="2"/>
  <c r="AM603" i="2"/>
  <c r="AM489" i="2"/>
  <c r="AM883" i="2"/>
  <c r="AM497" i="2"/>
  <c r="AM577" i="2"/>
  <c r="AN2" i="1"/>
  <c r="AN45" i="1" s="1"/>
  <c r="AO25" i="1"/>
  <c r="AN2" i="5"/>
  <c r="AN2" i="10"/>
  <c r="AN2" i="4"/>
  <c r="AN2" i="2"/>
  <c r="AN141" i="1"/>
  <c r="AO246" i="4"/>
  <c r="AO288" i="4"/>
  <c r="AO50" i="1"/>
  <c r="AO197" i="4"/>
  <c r="AO47" i="1"/>
  <c r="AP43" i="1"/>
  <c r="AO48" i="1"/>
  <c r="AO49" i="1"/>
  <c r="AQ81" i="1"/>
  <c r="AR79" i="1"/>
  <c r="AM13" i="2"/>
  <c r="AM157" i="2" s="1"/>
  <c r="AM14" i="2"/>
  <c r="AM139" i="2" s="1"/>
  <c r="AM12" i="2"/>
  <c r="AM121" i="2" s="1"/>
  <c r="AM113" i="4"/>
  <c r="AN113" i="4" s="1"/>
  <c r="AR86" i="1"/>
  <c r="AP87" i="1"/>
  <c r="AO91" i="1"/>
  <c r="AN83" i="4"/>
  <c r="AM187" i="4"/>
  <c r="AM236" i="4"/>
  <c r="AM294" i="4"/>
  <c r="AM252" i="4"/>
  <c r="AM203" i="4"/>
  <c r="AM44" i="1"/>
  <c r="AN44" i="1" s="1"/>
  <c r="AM289" i="4"/>
  <c r="AN289" i="4" s="1"/>
  <c r="AA114" i="10"/>
  <c r="AA122" i="10"/>
  <c r="AM92" i="4"/>
  <c r="AN92" i="4" s="1"/>
  <c r="AB110" i="10"/>
  <c r="AM59" i="1"/>
  <c r="AN59" i="1" s="1"/>
  <c r="AM108" i="4"/>
  <c r="AN108" i="4" s="1"/>
  <c r="AM198" i="4"/>
  <c r="AN198" i="4" s="1"/>
  <c r="AM595" i="2"/>
  <c r="AN103" i="4"/>
  <c r="AM857" i="2"/>
  <c r="AM856" i="2" s="1"/>
  <c r="AL858" i="2"/>
  <c r="AM850" i="2"/>
  <c r="AN849" i="2"/>
  <c r="AN848" i="2" s="1"/>
  <c r="AN54" i="1"/>
  <c r="AM55" i="1"/>
  <c r="AM53" i="1" s="1"/>
  <c r="AJ47" i="4"/>
  <c r="K42" i="7" s="1"/>
  <c r="AO62" i="10"/>
  <c r="AO57" i="10"/>
  <c r="W70" i="10"/>
  <c r="O327" i="4"/>
  <c r="O994" i="2"/>
  <c r="P993" i="2" s="1"/>
  <c r="L75" i="4"/>
  <c r="L84" i="4" s="1"/>
  <c r="N30" i="4"/>
  <c r="AL124" i="10"/>
  <c r="AK86" i="4"/>
  <c r="AL65" i="10"/>
  <c r="AM601" i="2"/>
  <c r="AL644" i="2"/>
  <c r="P189" i="4"/>
  <c r="P152" i="4"/>
  <c r="P22" i="4"/>
  <c r="F19" i="7" s="1"/>
  <c r="P238" i="4"/>
  <c r="P161" i="4"/>
  <c r="P121" i="4"/>
  <c r="P123" i="4" s="1"/>
  <c r="AJ34" i="1"/>
  <c r="AJ55" i="2" s="1"/>
  <c r="AL499" i="2"/>
  <c r="AM495" i="2"/>
  <c r="AK90" i="4"/>
  <c r="AL93" i="10"/>
  <c r="N325" i="4"/>
  <c r="N1012" i="2"/>
  <c r="AK663" i="2"/>
  <c r="AL662" i="2"/>
  <c r="AK82" i="4"/>
  <c r="AL97" i="10"/>
  <c r="AK651" i="2"/>
  <c r="AL650" i="2"/>
  <c r="AL632" i="2"/>
  <c r="AL656" i="2"/>
  <c r="AL657" i="2" s="1"/>
  <c r="M344" i="4"/>
  <c r="AM593" i="2"/>
  <c r="AM111" i="4"/>
  <c r="L232" i="4"/>
  <c r="E76" i="7" s="1"/>
  <c r="L239" i="4"/>
  <c r="E82" i="7" s="1"/>
  <c r="AJ317" i="4"/>
  <c r="AK146" i="1"/>
  <c r="Q88" i="4"/>
  <c r="Q981" i="2"/>
  <c r="Q976" i="2" s="1"/>
  <c r="R77" i="10"/>
  <c r="K297" i="4"/>
  <c r="AL673" i="2"/>
  <c r="AM672" i="2"/>
  <c r="AM582" i="2"/>
  <c r="AK668" i="2"/>
  <c r="AL667" i="2"/>
  <c r="AK226" i="4"/>
  <c r="AL120" i="1"/>
  <c r="AL621" i="2"/>
  <c r="V141" i="1"/>
  <c r="AL140" i="1"/>
  <c r="AH178" i="4"/>
  <c r="AI131" i="1"/>
  <c r="AK29" i="1"/>
  <c r="AK28" i="1"/>
  <c r="AL26" i="1"/>
  <c r="AK27" i="1"/>
  <c r="Q85" i="10"/>
  <c r="Q20" i="4"/>
  <c r="AK627" i="2"/>
  <c r="AL626" i="2"/>
  <c r="AL638" i="2"/>
  <c r="AL639" i="2" s="1"/>
  <c r="AL606" i="2"/>
  <c r="AJ592" i="2"/>
  <c r="AJ14" i="4" s="1"/>
  <c r="K12" i="7" s="1"/>
  <c r="AK588" i="2"/>
  <c r="M49" i="4"/>
  <c r="L183" i="4"/>
  <c r="L190" i="4"/>
  <c r="AK102" i="4"/>
  <c r="AL125" i="10"/>
  <c r="AK639" i="2"/>
  <c r="N328" i="4"/>
  <c r="N1013" i="2"/>
  <c r="N666" i="2" s="1"/>
  <c r="N665" i="2" s="1"/>
  <c r="AK621" i="2"/>
  <c r="AK275" i="4"/>
  <c r="AL123" i="1"/>
  <c r="L301" i="4"/>
  <c r="L282" i="4"/>
  <c r="L308" i="4"/>
  <c r="L306" i="4"/>
  <c r="L290" i="4"/>
  <c r="AJ491" i="2"/>
  <c r="AJ13" i="4" s="1"/>
  <c r="AK487" i="2"/>
  <c r="K95" i="4"/>
  <c r="K216" i="4"/>
  <c r="K218" i="4"/>
  <c r="K192" i="4"/>
  <c r="K241" i="4"/>
  <c r="L947" i="2" l="1"/>
  <c r="M68" i="4"/>
  <c r="F63" i="7" s="1"/>
  <c r="L887" i="2"/>
  <c r="AC112" i="10"/>
  <c r="AC117" i="10" s="1"/>
  <c r="AI822" i="2"/>
  <c r="AJ709" i="2"/>
  <c r="T785" i="2"/>
  <c r="U704" i="2"/>
  <c r="T796" i="2"/>
  <c r="U731" i="2"/>
  <c r="T800" i="2"/>
  <c r="U735" i="2"/>
  <c r="T780" i="2"/>
  <c r="T701" i="2"/>
  <c r="S87" i="4"/>
  <c r="S979" i="2"/>
  <c r="AK818" i="2"/>
  <c r="AK968" i="2" s="1"/>
  <c r="AJ455" i="2"/>
  <c r="AJ631" i="2" s="1"/>
  <c r="AJ629" i="2" s="1"/>
  <c r="AJ80" i="4" s="1"/>
  <c r="AM406" i="2"/>
  <c r="AM413" i="2" s="1"/>
  <c r="AM423" i="2" s="1"/>
  <c r="AF458" i="2"/>
  <c r="AF649" i="2" s="1"/>
  <c r="AF647" i="2" s="1"/>
  <c r="AF97" i="4" s="1"/>
  <c r="AH453" i="2"/>
  <c r="AH964" i="2" s="1"/>
  <c r="AL341" i="2"/>
  <c r="AL423" i="2"/>
  <c r="AL424" i="2" s="1"/>
  <c r="AL418" i="2" s="1"/>
  <c r="AN416" i="2"/>
  <c r="AN414" i="2"/>
  <c r="AN422" i="2"/>
  <c r="AN405" i="2"/>
  <c r="AN409" i="2"/>
  <c r="AN407" i="2"/>
  <c r="AN411" i="2"/>
  <c r="AM539" i="2"/>
  <c r="AM535" i="2" s="1"/>
  <c r="AM540" i="2" s="1"/>
  <c r="AM569" i="2"/>
  <c r="AM565" i="2" s="1"/>
  <c r="AM570" i="2" s="1"/>
  <c r="AM600" i="2" s="1"/>
  <c r="AL570" i="2"/>
  <c r="AL600" i="2" s="1"/>
  <c r="AL598" i="2" s="1"/>
  <c r="AK56" i="4"/>
  <c r="AJ973" i="2"/>
  <c r="AL804" i="2"/>
  <c r="AL962" i="2" s="1"/>
  <c r="AK598" i="2"/>
  <c r="AK58" i="4"/>
  <c r="AK182" i="4" s="1"/>
  <c r="AL797" i="2"/>
  <c r="AL790" i="2" s="1"/>
  <c r="AL53" i="4" s="1"/>
  <c r="W872" i="2"/>
  <c r="W871" i="2" s="1"/>
  <c r="W46" i="4" s="1"/>
  <c r="AJ58" i="4"/>
  <c r="K47" i="7"/>
  <c r="AK817" i="2"/>
  <c r="AM708" i="2"/>
  <c r="AM789" i="2" s="1"/>
  <c r="AM702" i="2"/>
  <c r="AM782" i="2" s="1"/>
  <c r="AL776" i="2"/>
  <c r="AM523" i="2"/>
  <c r="AM519" i="2" s="1"/>
  <c r="AM524" i="2" s="1"/>
  <c r="AM767" i="2"/>
  <c r="AM761" i="2"/>
  <c r="AM550" i="2"/>
  <c r="AM546" i="2" s="1"/>
  <c r="AM551" i="2" s="1"/>
  <c r="AM739" i="2"/>
  <c r="AM733" i="2"/>
  <c r="AN352" i="2"/>
  <c r="AN257" i="2"/>
  <c r="AN185" i="2"/>
  <c r="AN312" i="2"/>
  <c r="AN239" i="2"/>
  <c r="AN166" i="2"/>
  <c r="AN94" i="2"/>
  <c r="AN294" i="2"/>
  <c r="AN203" i="2"/>
  <c r="AN130" i="2"/>
  <c r="AN276" i="2"/>
  <c r="AN148" i="2"/>
  <c r="AN112" i="2"/>
  <c r="AN221" i="2"/>
  <c r="AN529" i="2"/>
  <c r="AN442" i="2"/>
  <c r="AN722" i="2"/>
  <c r="AN750" i="2"/>
  <c r="AN399" i="2"/>
  <c r="AN378" i="2"/>
  <c r="AN567" i="2"/>
  <c r="AN556" i="2"/>
  <c r="AN537" i="2"/>
  <c r="AN521" i="2"/>
  <c r="AN548" i="2"/>
  <c r="AN692" i="2"/>
  <c r="AO72" i="1"/>
  <c r="AJ611" i="2"/>
  <c r="AL574" i="2"/>
  <c r="AK585" i="2"/>
  <c r="AK572" i="2"/>
  <c r="AM531" i="2"/>
  <c r="AM527" i="2" s="1"/>
  <c r="AM532" i="2" s="1"/>
  <c r="AL586" i="2"/>
  <c r="AK597" i="2"/>
  <c r="AK965" i="2"/>
  <c r="AL573" i="2"/>
  <c r="AM558" i="2"/>
  <c r="AM554" i="2" s="1"/>
  <c r="AM559" i="2" s="1"/>
  <c r="AL587" i="2"/>
  <c r="AM427" i="2"/>
  <c r="AM428" i="2" s="1"/>
  <c r="AM435" i="2" s="1"/>
  <c r="AM445" i="2" s="1"/>
  <c r="AM304" i="2"/>
  <c r="AM305" i="2" s="1"/>
  <c r="AM337" i="2"/>
  <c r="AG372" i="2"/>
  <c r="Q145" i="4"/>
  <c r="V1006" i="2"/>
  <c r="X945" i="2"/>
  <c r="X25" i="4" s="1"/>
  <c r="X106" i="4"/>
  <c r="X867" i="2" s="1"/>
  <c r="Y939" i="2"/>
  <c r="Y934" i="2" s="1"/>
  <c r="Z921" i="2"/>
  <c r="AA922" i="2"/>
  <c r="Y126" i="4"/>
  <c r="Y181" i="4"/>
  <c r="Y278" i="4"/>
  <c r="W324" i="4"/>
  <c r="W959" i="2"/>
  <c r="W960" i="2" s="1"/>
  <c r="W323" i="4" s="1"/>
  <c r="U336" i="4"/>
  <c r="U1003" i="2"/>
  <c r="U1004" i="2" s="1"/>
  <c r="U335" i="4" s="1"/>
  <c r="V1000" i="2"/>
  <c r="V997" i="2" s="1"/>
  <c r="V1009" i="2"/>
  <c r="V1005" i="2"/>
  <c r="Z278" i="4"/>
  <c r="Z181" i="4"/>
  <c r="Z126" i="4"/>
  <c r="V81" i="4"/>
  <c r="W974" i="2"/>
  <c r="V960" i="2"/>
  <c r="V323" i="4" s="1"/>
  <c r="AM213" i="2"/>
  <c r="AM214" i="2" s="1"/>
  <c r="AD903" i="2"/>
  <c r="AC902" i="2"/>
  <c r="V943" i="2"/>
  <c r="W912" i="2"/>
  <c r="AN924" i="2"/>
  <c r="AN905" i="2"/>
  <c r="AN931" i="2"/>
  <c r="AN932" i="2" s="1"/>
  <c r="AH42" i="4"/>
  <c r="AJ608" i="2"/>
  <c r="AI610" i="2"/>
  <c r="AN568" i="2"/>
  <c r="AM231" i="2"/>
  <c r="AM232" i="2" s="1"/>
  <c r="AN549" i="2"/>
  <c r="AN557" i="2"/>
  <c r="AI584" i="2"/>
  <c r="AJ580" i="2"/>
  <c r="AJ575" i="2"/>
  <c r="AI579" i="2"/>
  <c r="AI10" i="4" s="1"/>
  <c r="AN538" i="2"/>
  <c r="AN530" i="2"/>
  <c r="AN522" i="2"/>
  <c r="AI356" i="2"/>
  <c r="AM195" i="2"/>
  <c r="AM196" i="2" s="1"/>
  <c r="AM470" i="2"/>
  <c r="AM471" i="2" s="1"/>
  <c r="AM268" i="2"/>
  <c r="AM269" i="2" s="1"/>
  <c r="AG964" i="2"/>
  <c r="AM177" i="2"/>
  <c r="AM178" i="2" s="1"/>
  <c r="AM86" i="2"/>
  <c r="AM87" i="2" s="1"/>
  <c r="AN426" i="2"/>
  <c r="AN438" i="2"/>
  <c r="AN436" i="2"/>
  <c r="AN444" i="2"/>
  <c r="AN433" i="2"/>
  <c r="AN429" i="2"/>
  <c r="AN431" i="2"/>
  <c r="AM385" i="2"/>
  <c r="AM392" i="2" s="1"/>
  <c r="AM402" i="2" s="1"/>
  <c r="AM403" i="2" s="1"/>
  <c r="AM397" i="2" s="1"/>
  <c r="AK339" i="2"/>
  <c r="AL38" i="2"/>
  <c r="AL336" i="2" s="1"/>
  <c r="AL338" i="2" s="1"/>
  <c r="AL451" i="2" s="1"/>
  <c r="AJ345" i="2"/>
  <c r="AJ355" i="2" s="1"/>
  <c r="AM158" i="2"/>
  <c r="AM159" i="2" s="1"/>
  <c r="AM27" i="2"/>
  <c r="AM35" i="2"/>
  <c r="AM28" i="2"/>
  <c r="AM36" i="2"/>
  <c r="AN390" i="2"/>
  <c r="AN388" i="2"/>
  <c r="AN386" i="2"/>
  <c r="AN395" i="2"/>
  <c r="AN393" i="2"/>
  <c r="AN20" i="2"/>
  <c r="AN18" i="2"/>
  <c r="AN21" i="2"/>
  <c r="AN19" i="2"/>
  <c r="AN401" i="2"/>
  <c r="AN17" i="2"/>
  <c r="AL30" i="2"/>
  <c r="AM29" i="2"/>
  <c r="AM37" i="2"/>
  <c r="AM249" i="2"/>
  <c r="AM250" i="2" s="1"/>
  <c r="AM26" i="2"/>
  <c r="AM34" i="2"/>
  <c r="AL402" i="2"/>
  <c r="AL403" i="2" s="1"/>
  <c r="AL397" i="2" s="1"/>
  <c r="AM25" i="2"/>
  <c r="AM22" i="2"/>
  <c r="AM33" i="2"/>
  <c r="AD40" i="4"/>
  <c r="AD460" i="2"/>
  <c r="AE450" i="2"/>
  <c r="AE40" i="4" s="1"/>
  <c r="AJ346" i="2"/>
  <c r="AH348" i="2"/>
  <c r="AG350" i="2"/>
  <c r="AN354" i="2"/>
  <c r="AN343" i="2"/>
  <c r="AM104" i="2"/>
  <c r="AM105" i="2" s="1"/>
  <c r="AL768" i="2"/>
  <c r="AM286" i="2"/>
  <c r="AM287" i="2" s="1"/>
  <c r="AF655" i="2"/>
  <c r="AG374" i="2"/>
  <c r="AG459" i="2" s="1"/>
  <c r="AF376" i="2"/>
  <c r="AF452" i="2" s="1"/>
  <c r="AE77" i="4"/>
  <c r="AE653" i="2"/>
  <c r="AE675" i="2" s="1"/>
  <c r="AI381" i="2"/>
  <c r="AI454" i="2" s="1"/>
  <c r="AH955" i="2"/>
  <c r="AH321" i="4" s="1"/>
  <c r="AH449" i="2"/>
  <c r="AH8" i="4" s="1"/>
  <c r="AH7" i="4" s="1"/>
  <c r="AH11" i="4" s="1"/>
  <c r="AG142" i="4"/>
  <c r="AG167" i="4"/>
  <c r="AM140" i="2"/>
  <c r="AM141" i="2" s="1"/>
  <c r="AK367" i="2"/>
  <c r="AK457" i="2" s="1"/>
  <c r="AK369" i="2"/>
  <c r="AK456" i="2" s="1"/>
  <c r="AK365" i="2"/>
  <c r="AJ371" i="2"/>
  <c r="AG7" i="4"/>
  <c r="AF142" i="4"/>
  <c r="AF167" i="4"/>
  <c r="AF7" i="4"/>
  <c r="AF11" i="4" s="1"/>
  <c r="J10" i="7" s="1"/>
  <c r="AN380" i="2"/>
  <c r="AM364" i="2"/>
  <c r="AJ509" i="2"/>
  <c r="AJ986" i="2" s="1"/>
  <c r="AJ331" i="4" s="1"/>
  <c r="AH144" i="4"/>
  <c r="AK502" i="2"/>
  <c r="AK476" i="2"/>
  <c r="AK984" i="2"/>
  <c r="AK332" i="4" s="1"/>
  <c r="AK506" i="2"/>
  <c r="AK985" i="2" s="1"/>
  <c r="AL759" i="2"/>
  <c r="AL760" i="2" s="1"/>
  <c r="AJ500" i="2"/>
  <c r="AL762" i="2"/>
  <c r="AJ504" i="2"/>
  <c r="AJ661" i="2" s="1"/>
  <c r="AJ659" i="2" s="1"/>
  <c r="AJ100" i="4" s="1"/>
  <c r="AJ481" i="2"/>
  <c r="AI637" i="2"/>
  <c r="AI635" i="2" s="1"/>
  <c r="AI79" i="4" s="1"/>
  <c r="AI483" i="2"/>
  <c r="AI9" i="4" s="1"/>
  <c r="AM757" i="2"/>
  <c r="AI508" i="2"/>
  <c r="AI41" i="4" s="1"/>
  <c r="AM755" i="2"/>
  <c r="AM762" i="2" s="1"/>
  <c r="AL472" i="2"/>
  <c r="AL478" i="2" s="1"/>
  <c r="AL503" i="2" s="1"/>
  <c r="AL477" i="2"/>
  <c r="AJ479" i="2"/>
  <c r="AI643" i="2"/>
  <c r="AI641" i="2" s="1"/>
  <c r="AI78" i="4" s="1"/>
  <c r="AI166" i="4" s="1"/>
  <c r="AN744" i="2"/>
  <c r="AN755" i="2" s="1"/>
  <c r="AN474" i="2"/>
  <c r="AN501" i="2"/>
  <c r="AM698" i="2"/>
  <c r="AM778" i="2" s="1"/>
  <c r="AL794" i="2"/>
  <c r="AL671" i="2" s="1"/>
  <c r="AL670" i="2" s="1"/>
  <c r="AL98" i="4" s="1"/>
  <c r="AL778" i="2"/>
  <c r="AL91" i="4" s="1"/>
  <c r="AM699" i="2"/>
  <c r="AM779" i="2" s="1"/>
  <c r="AK798" i="2"/>
  <c r="AK970" i="2" s="1"/>
  <c r="AK973" i="2" s="1"/>
  <c r="AN689" i="2"/>
  <c r="AN699" i="2" s="1"/>
  <c r="AN779" i="2" s="1"/>
  <c r="AN716" i="2"/>
  <c r="AL740" i="2"/>
  <c r="AL734" i="2"/>
  <c r="AM727" i="2"/>
  <c r="AM730" i="2"/>
  <c r="AM729" i="2"/>
  <c r="AM703" i="2"/>
  <c r="AM783" i="2" s="1"/>
  <c r="AJ237" i="2"/>
  <c r="AK124" i="2"/>
  <c r="AK215" i="2"/>
  <c r="AK251" i="2"/>
  <c r="AK233" i="2"/>
  <c r="AJ146" i="2"/>
  <c r="AL116" i="2"/>
  <c r="AL117" i="2" s="1"/>
  <c r="AL243" i="2"/>
  <c r="AK197" i="2"/>
  <c r="AK160" i="2"/>
  <c r="AK288" i="2"/>
  <c r="AK270" i="2"/>
  <c r="AK106" i="2"/>
  <c r="AK306" i="2"/>
  <c r="AK142" i="2"/>
  <c r="AM122" i="2"/>
  <c r="AM123" i="2" s="1"/>
  <c r="AJ322" i="2"/>
  <c r="AI325" i="2"/>
  <c r="AL321" i="2"/>
  <c r="AL6" i="4" s="1"/>
  <c r="AH326" i="2"/>
  <c r="AH625" i="2" s="1"/>
  <c r="AK327" i="2"/>
  <c r="AK954" i="2" s="1"/>
  <c r="AK320" i="4" s="1"/>
  <c r="AJ282" i="2"/>
  <c r="AK272" i="2"/>
  <c r="AL316" i="2"/>
  <c r="AL317" i="2" s="1"/>
  <c r="AJ300" i="2"/>
  <c r="AK290" i="2"/>
  <c r="AJ292" i="2"/>
  <c r="AJ318" i="2"/>
  <c r="AK308" i="2"/>
  <c r="AN315" i="2"/>
  <c r="AN279" i="2"/>
  <c r="AN297" i="2"/>
  <c r="AN302" i="2"/>
  <c r="AN284" i="2"/>
  <c r="AN266" i="2"/>
  <c r="AL280" i="2"/>
  <c r="AL281" i="2" s="1"/>
  <c r="AJ310" i="2"/>
  <c r="AL298" i="2"/>
  <c r="AL299" i="2" s="1"/>
  <c r="AJ274" i="2"/>
  <c r="AH619" i="2"/>
  <c r="AH617" i="2" s="1"/>
  <c r="AI88" i="2"/>
  <c r="AI324" i="2" s="1"/>
  <c r="AH92" i="2"/>
  <c r="AG76" i="4"/>
  <c r="AG165" i="4" s="1"/>
  <c r="AI263" i="2"/>
  <c r="AJ253" i="2"/>
  <c r="AI255" i="2"/>
  <c r="AL261" i="2"/>
  <c r="AL189" i="2"/>
  <c r="AJ245" i="2"/>
  <c r="AK235" i="2"/>
  <c r="AI209" i="2"/>
  <c r="AJ199" i="2"/>
  <c r="AI201" i="2"/>
  <c r="AN260" i="2"/>
  <c r="AN247" i="2"/>
  <c r="AN229" i="2"/>
  <c r="AN206" i="2"/>
  <c r="AN211" i="2"/>
  <c r="AN242" i="2"/>
  <c r="AN175" i="2"/>
  <c r="AN224" i="2"/>
  <c r="AN193" i="2"/>
  <c r="AN188" i="2"/>
  <c r="AI191" i="2"/>
  <c r="AJ181" i="2"/>
  <c r="AJ183" i="2" s="1"/>
  <c r="AI183" i="2"/>
  <c r="AL207" i="2"/>
  <c r="AL208" i="2" s="1"/>
  <c r="AL225" i="2"/>
  <c r="AL226" i="2" s="1"/>
  <c r="AK190" i="2"/>
  <c r="AK179" i="2" s="1"/>
  <c r="AI227" i="2"/>
  <c r="AJ217" i="2"/>
  <c r="AI219" i="2"/>
  <c r="AG39" i="4"/>
  <c r="AG625" i="2"/>
  <c r="AL170" i="2"/>
  <c r="AL171" i="2" s="1"/>
  <c r="AN169" i="2"/>
  <c r="AN156" i="2"/>
  <c r="AN138" i="2"/>
  <c r="AN133" i="2"/>
  <c r="AN115" i="2"/>
  <c r="AN151" i="2"/>
  <c r="AN120" i="2"/>
  <c r="AN102" i="2"/>
  <c r="AL134" i="2"/>
  <c r="AI136" i="2"/>
  <c r="AJ126" i="2"/>
  <c r="AI172" i="2"/>
  <c r="AI164" i="2"/>
  <c r="AJ162" i="2"/>
  <c r="AI118" i="2"/>
  <c r="AJ108" i="2"/>
  <c r="AI110" i="2"/>
  <c r="AL152" i="2"/>
  <c r="AL153" i="2" s="1"/>
  <c r="AI128" i="2"/>
  <c r="AJ154" i="2"/>
  <c r="AK144" i="2"/>
  <c r="AK99" i="2"/>
  <c r="AK141" i="4"/>
  <c r="AK146" i="4"/>
  <c r="AL98" i="2"/>
  <c r="AJ100" i="2"/>
  <c r="AK90" i="2"/>
  <c r="AN97" i="2"/>
  <c r="AN84" i="2"/>
  <c r="AN577" i="2"/>
  <c r="AN603" i="2"/>
  <c r="AN489" i="2"/>
  <c r="AN14" i="2"/>
  <c r="AN139" i="2" s="1"/>
  <c r="AN13" i="2"/>
  <c r="AN157" i="2" s="1"/>
  <c r="AN12" i="2"/>
  <c r="AN121" i="2" s="1"/>
  <c r="AN497" i="2"/>
  <c r="AN252" i="4"/>
  <c r="AN187" i="4"/>
  <c r="AN236" i="4"/>
  <c r="L80" i="7" s="1"/>
  <c r="AN203" i="4"/>
  <c r="AN294" i="4"/>
  <c r="AD111" i="10"/>
  <c r="AN590" i="2"/>
  <c r="AQ87" i="1"/>
  <c r="AP91" i="1"/>
  <c r="AP197" i="4"/>
  <c r="AP47" i="1"/>
  <c r="AQ43" i="1"/>
  <c r="AP50" i="1"/>
  <c r="AP49" i="1"/>
  <c r="AP48" i="1"/>
  <c r="AP246" i="4"/>
  <c r="AP288" i="4"/>
  <c r="AO2" i="5"/>
  <c r="AO2" i="4"/>
  <c r="AO92" i="4" s="1"/>
  <c r="AO2" i="2"/>
  <c r="AO2" i="10"/>
  <c r="AO2" i="1"/>
  <c r="AO45" i="1" s="1"/>
  <c r="AP25" i="1"/>
  <c r="AO141" i="1"/>
  <c r="AN595" i="2"/>
  <c r="AO59" i="1"/>
  <c r="AO289" i="4"/>
  <c r="AS86" i="1"/>
  <c r="AO113" i="4"/>
  <c r="AB120" i="10"/>
  <c r="AC107" i="10"/>
  <c r="AC118" i="10" s="1"/>
  <c r="AR81" i="1"/>
  <c r="AS79" i="1"/>
  <c r="AN883" i="2"/>
  <c r="AJ4" i="2"/>
  <c r="AJ42" i="2"/>
  <c r="AO849" i="2"/>
  <c r="AO848" i="2" s="1"/>
  <c r="AN850" i="2"/>
  <c r="AN857" i="2"/>
  <c r="AN856" i="2" s="1"/>
  <c r="AM858" i="2"/>
  <c r="AO54" i="1"/>
  <c r="AN55" i="1"/>
  <c r="AN53" i="1" s="1"/>
  <c r="O995" i="2"/>
  <c r="O988" i="2" s="1"/>
  <c r="L95" i="4"/>
  <c r="L117" i="4" s="1"/>
  <c r="L163" i="4"/>
  <c r="AP57" i="10"/>
  <c r="AP62" i="10"/>
  <c r="U141" i="1"/>
  <c r="AM140" i="1"/>
  <c r="L264" i="4"/>
  <c r="L248" i="4"/>
  <c r="L240" i="4"/>
  <c r="E83" i="7" s="1"/>
  <c r="L259" i="4"/>
  <c r="L266" i="4"/>
  <c r="N337" i="4"/>
  <c r="AM644" i="2"/>
  <c r="AM645" i="2" s="1"/>
  <c r="AN601" i="2"/>
  <c r="AM124" i="10"/>
  <c r="L307" i="4"/>
  <c r="AK592" i="2"/>
  <c r="AK14" i="4" s="1"/>
  <c r="AL588" i="2"/>
  <c r="AM673" i="2"/>
  <c r="AN672" i="2"/>
  <c r="L233" i="4"/>
  <c r="E77" i="7" s="1"/>
  <c r="AL82" i="4"/>
  <c r="AM97" i="10"/>
  <c r="AL645" i="2"/>
  <c r="K206" i="4"/>
  <c r="L309" i="4"/>
  <c r="AL102" i="4"/>
  <c r="AM125" i="10"/>
  <c r="AL29" i="1"/>
  <c r="AL27" i="1"/>
  <c r="AM26" i="1"/>
  <c r="AL28" i="1"/>
  <c r="R78" i="10"/>
  <c r="M345" i="4"/>
  <c r="AL86" i="4"/>
  <c r="AM65" i="10"/>
  <c r="L283" i="4"/>
  <c r="N151" i="4"/>
  <c r="N33" i="4"/>
  <c r="N112" i="4"/>
  <c r="N114" i="4" s="1"/>
  <c r="W71" i="10"/>
  <c r="W72" i="10" s="1"/>
  <c r="AK491" i="2"/>
  <c r="AK13" i="4" s="1"/>
  <c r="AL487" i="2"/>
  <c r="AL651" i="2"/>
  <c r="AM650" i="2"/>
  <c r="AL668" i="2"/>
  <c r="AM667" i="2"/>
  <c r="AK317" i="4"/>
  <c r="AL146" i="1"/>
  <c r="AN593" i="2"/>
  <c r="AM656" i="2"/>
  <c r="AM657" i="2" s="1"/>
  <c r="P28" i="4"/>
  <c r="F23" i="7" s="1"/>
  <c r="AK47" i="4"/>
  <c r="N99" i="4"/>
  <c r="N104" i="4" s="1"/>
  <c r="N676" i="2"/>
  <c r="N677" i="2" s="1"/>
  <c r="N678" i="2" s="1"/>
  <c r="AM606" i="2"/>
  <c r="AL226" i="4"/>
  <c r="AM120" i="1"/>
  <c r="AN111" i="4"/>
  <c r="AL90" i="4"/>
  <c r="AM93" i="10"/>
  <c r="AK34" i="1"/>
  <c r="AK55" i="2" s="1"/>
  <c r="AJ4" i="5"/>
  <c r="AJ1" i="5"/>
  <c r="AJ313" i="4"/>
  <c r="AJ138" i="4"/>
  <c r="AJ4" i="4"/>
  <c r="AJ271" i="4"/>
  <c r="AJ174" i="4"/>
  <c r="AJ73" i="4"/>
  <c r="AJ37" i="4"/>
  <c r="AJ119" i="4"/>
  <c r="AJ1" i="4"/>
  <c r="AJ222" i="4"/>
  <c r="AJ880" i="2"/>
  <c r="AJ513" i="2"/>
  <c r="AJ464" i="2"/>
  <c r="AJ826" i="2"/>
  <c r="AJ80" i="2"/>
  <c r="AJ615" i="2"/>
  <c r="AJ682" i="2"/>
  <c r="AJ952" i="2"/>
  <c r="AJ841" i="2"/>
  <c r="AJ862" i="2"/>
  <c r="AJ891" i="2"/>
  <c r="AJ332" i="2"/>
  <c r="AJ1" i="10"/>
  <c r="AJ1" i="2"/>
  <c r="AJ102" i="10"/>
  <c r="AJ90" i="10"/>
  <c r="AJ55" i="10"/>
  <c r="AJ113" i="1"/>
  <c r="AJ14" i="1"/>
  <c r="AJ38" i="1"/>
  <c r="AJ68" i="1"/>
  <c r="AJ1" i="1"/>
  <c r="AM638" i="2"/>
  <c r="AM639" i="2" s="1"/>
  <c r="AI178" i="4"/>
  <c r="AJ131" i="1"/>
  <c r="AM632" i="2"/>
  <c r="AM633" i="2" s="1"/>
  <c r="K255" i="4"/>
  <c r="AL627" i="2"/>
  <c r="AM626" i="2"/>
  <c r="Q86" i="10"/>
  <c r="Q16" i="4"/>
  <c r="Q330" i="4"/>
  <c r="Q977" i="2"/>
  <c r="Q978" i="2" s="1"/>
  <c r="L302" i="4"/>
  <c r="L210" i="4"/>
  <c r="L191" i="4"/>
  <c r="L217" i="4"/>
  <c r="L199" i="4"/>
  <c r="L215" i="4"/>
  <c r="AL663" i="2"/>
  <c r="AM662" i="2"/>
  <c r="AL275" i="4"/>
  <c r="AM123" i="1"/>
  <c r="L184" i="4"/>
  <c r="M180" i="4"/>
  <c r="M67" i="4"/>
  <c r="M125" i="4"/>
  <c r="M128" i="4" s="1"/>
  <c r="M948" i="2" s="1"/>
  <c r="M228" i="4"/>
  <c r="M277" i="4"/>
  <c r="AN582" i="2"/>
  <c r="AL633" i="2"/>
  <c r="N43" i="4"/>
  <c r="AM499" i="2"/>
  <c r="AN495" i="2"/>
  <c r="K117" i="4"/>
  <c r="K160" i="4"/>
  <c r="K170" i="4"/>
  <c r="AO247" i="4" l="1"/>
  <c r="AC110" i="10"/>
  <c r="T781" i="2"/>
  <c r="U700" i="2"/>
  <c r="U799" i="2"/>
  <c r="U736" i="2"/>
  <c r="U795" i="2"/>
  <c r="U732" i="2"/>
  <c r="U784" i="2"/>
  <c r="U705" i="2"/>
  <c r="AJ822" i="2"/>
  <c r="AK709" i="2"/>
  <c r="AO83" i="4"/>
  <c r="W26" i="4"/>
  <c r="AM424" i="2"/>
  <c r="AM418" i="2" s="1"/>
  <c r="AK455" i="2"/>
  <c r="AK631" i="2" s="1"/>
  <c r="AK629" i="2" s="1"/>
  <c r="AK80" i="4" s="1"/>
  <c r="AM341" i="2"/>
  <c r="AN539" i="2"/>
  <c r="AN535" i="2" s="1"/>
  <c r="AN540" i="2" s="1"/>
  <c r="AG458" i="2"/>
  <c r="AG649" i="2" s="1"/>
  <c r="AG647" i="2" s="1"/>
  <c r="AG97" i="4" s="1"/>
  <c r="AO416" i="2"/>
  <c r="AO414" i="2"/>
  <c r="AO422" i="2"/>
  <c r="AO405" i="2"/>
  <c r="AO411" i="2"/>
  <c r="AO407" i="2"/>
  <c r="AO409" i="2"/>
  <c r="AN406" i="2"/>
  <c r="AN413" i="2" s="1"/>
  <c r="AN569" i="2"/>
  <c r="AN565" i="2" s="1"/>
  <c r="AN599" i="2" s="1"/>
  <c r="AN605" i="2" s="1"/>
  <c r="AN15" i="4" s="1"/>
  <c r="AM599" i="2"/>
  <c r="AM605" i="2" s="1"/>
  <c r="AM15" i="4" s="1"/>
  <c r="AL56" i="4"/>
  <c r="AK229" i="4"/>
  <c r="AL818" i="2"/>
  <c r="AL968" i="2" s="1"/>
  <c r="AK279" i="4"/>
  <c r="AM797" i="2"/>
  <c r="AM790" i="2" s="1"/>
  <c r="AM53" i="4" s="1"/>
  <c r="AM804" i="2"/>
  <c r="AM962" i="2" s="1"/>
  <c r="AN523" i="2"/>
  <c r="AN519" i="2" s="1"/>
  <c r="AN524" i="2" s="1"/>
  <c r="AO312" i="2"/>
  <c r="AO276" i="2"/>
  <c r="AO203" i="2"/>
  <c r="AO130" i="2"/>
  <c r="AO239" i="2"/>
  <c r="AO166" i="2"/>
  <c r="AO185" i="2"/>
  <c r="AO352" i="2"/>
  <c r="AO294" i="2"/>
  <c r="AO257" i="2"/>
  <c r="AO221" i="2"/>
  <c r="AO94" i="2"/>
  <c r="AO112" i="2"/>
  <c r="AO148" i="2"/>
  <c r="AO442" i="2"/>
  <c r="AO750" i="2"/>
  <c r="AO722" i="2"/>
  <c r="AO548" i="2"/>
  <c r="AO567" i="2"/>
  <c r="AO556" i="2"/>
  <c r="AO537" i="2"/>
  <c r="AO521" i="2"/>
  <c r="AO692" i="2"/>
  <c r="AO529" i="2"/>
  <c r="AO399" i="2"/>
  <c r="AO378" i="2"/>
  <c r="AP72" i="1"/>
  <c r="AN550" i="2"/>
  <c r="AN546" i="2" s="1"/>
  <c r="AN551" i="2" s="1"/>
  <c r="AL817" i="2"/>
  <c r="AL52" i="4"/>
  <c r="AN708" i="2"/>
  <c r="AN789" i="2" s="1"/>
  <c r="AN702" i="2"/>
  <c r="AN782" i="2" s="1"/>
  <c r="AN767" i="2"/>
  <c r="AN761" i="2"/>
  <c r="K53" i="7"/>
  <c r="AJ182" i="4"/>
  <c r="AJ279" i="4"/>
  <c r="AJ229" i="4"/>
  <c r="K73" i="7" s="1"/>
  <c r="AN739" i="2"/>
  <c r="AN733" i="2"/>
  <c r="AM776" i="2"/>
  <c r="Y945" i="2"/>
  <c r="Y25" i="4" s="1"/>
  <c r="AK611" i="2"/>
  <c r="AN531" i="2"/>
  <c r="AN527" i="2" s="1"/>
  <c r="AN532" i="2" s="1"/>
  <c r="AL572" i="2"/>
  <c r="AM573" i="2"/>
  <c r="AM574" i="2"/>
  <c r="AL585" i="2"/>
  <c r="AN427" i="2"/>
  <c r="AN428" i="2" s="1"/>
  <c r="AN435" i="2" s="1"/>
  <c r="AN445" i="2" s="1"/>
  <c r="AN446" i="2" s="1"/>
  <c r="AN440" i="2" s="1"/>
  <c r="AM586" i="2"/>
  <c r="AM587" i="2"/>
  <c r="AL965" i="2"/>
  <c r="AN558" i="2"/>
  <c r="AN554" i="2" s="1"/>
  <c r="AN559" i="2" s="1"/>
  <c r="AN304" i="2"/>
  <c r="AN305" i="2" s="1"/>
  <c r="AG376" i="2"/>
  <c r="AG452" i="2" s="1"/>
  <c r="AL597" i="2"/>
  <c r="AH372" i="2"/>
  <c r="AN337" i="2"/>
  <c r="Q148" i="4"/>
  <c r="J6" i="7"/>
  <c r="AI143" i="4"/>
  <c r="AG11" i="4"/>
  <c r="X109" i="4"/>
  <c r="X122" i="4"/>
  <c r="Y106" i="4"/>
  <c r="Y867" i="2" s="1"/>
  <c r="Z939" i="2"/>
  <c r="X869" i="2"/>
  <c r="X873" i="2" s="1"/>
  <c r="X963" i="2" s="1"/>
  <c r="X972" i="2" s="1"/>
  <c r="X958" i="2" s="1"/>
  <c r="X872" i="2"/>
  <c r="AN213" i="2"/>
  <c r="AN214" i="2" s="1"/>
  <c r="AA923" i="2"/>
  <c r="AA921" i="2" s="1"/>
  <c r="AA937" i="2"/>
  <c r="AA21" i="4" s="1"/>
  <c r="W81" i="4"/>
  <c r="V1007" i="2"/>
  <c r="V1008" i="2" s="1"/>
  <c r="V1002" i="2" s="1"/>
  <c r="W1000" i="2"/>
  <c r="W997" i="2" s="1"/>
  <c r="W1005" i="2"/>
  <c r="W1009" i="2"/>
  <c r="V334" i="4"/>
  <c r="V998" i="2"/>
  <c r="V999" i="2" s="1"/>
  <c r="V333" i="4" s="1"/>
  <c r="W913" i="2"/>
  <c r="W944" i="2"/>
  <c r="AD904" i="2"/>
  <c r="AE903" i="2" s="1"/>
  <c r="AO931" i="2"/>
  <c r="AO932" i="2" s="1"/>
  <c r="AO924" i="2"/>
  <c r="AO905" i="2"/>
  <c r="AI42" i="4"/>
  <c r="AK608" i="2"/>
  <c r="AJ610" i="2"/>
  <c r="AO568" i="2"/>
  <c r="AN231" i="2"/>
  <c r="AN232" i="2" s="1"/>
  <c r="AO557" i="2"/>
  <c r="AO549" i="2"/>
  <c r="AM763" i="2"/>
  <c r="AM764" i="2" s="1"/>
  <c r="AN763" i="2" s="1"/>
  <c r="AN764" i="2" s="1"/>
  <c r="AN268" i="2"/>
  <c r="AN269" i="2" s="1"/>
  <c r="AK575" i="2"/>
  <c r="AJ579" i="2"/>
  <c r="AJ10" i="4" s="1"/>
  <c r="AJ143" i="4" s="1"/>
  <c r="AJ584" i="2"/>
  <c r="AK580" i="2"/>
  <c r="AN195" i="2"/>
  <c r="AN196" i="2" s="1"/>
  <c r="AO538" i="2"/>
  <c r="AO522" i="2"/>
  <c r="AO530" i="2"/>
  <c r="AN470" i="2"/>
  <c r="AN471" i="2" s="1"/>
  <c r="AM446" i="2"/>
  <c r="AM440" i="2" s="1"/>
  <c r="AG655" i="2"/>
  <c r="AN86" i="2"/>
  <c r="AN87" i="2" s="1"/>
  <c r="AN177" i="2"/>
  <c r="AN178" i="2" s="1"/>
  <c r="AO438" i="2"/>
  <c r="AO436" i="2"/>
  <c r="AO444" i="2"/>
  <c r="AO429" i="2"/>
  <c r="AO426" i="2"/>
  <c r="AO433" i="2"/>
  <c r="AO431" i="2"/>
  <c r="AN249" i="2"/>
  <c r="AN250" i="2" s="1"/>
  <c r="AM30" i="2"/>
  <c r="AL339" i="2"/>
  <c r="AK345" i="2"/>
  <c r="AN385" i="2"/>
  <c r="AN392" i="2" s="1"/>
  <c r="AN402" i="2" s="1"/>
  <c r="AN403" i="2" s="1"/>
  <c r="AN397" i="2" s="1"/>
  <c r="AJ356" i="2"/>
  <c r="AN158" i="2"/>
  <c r="AN159" i="2" s="1"/>
  <c r="AM38" i="2"/>
  <c r="AM336" i="2" s="1"/>
  <c r="AM338" i="2" s="1"/>
  <c r="AM451" i="2" s="1"/>
  <c r="AN26" i="2"/>
  <c r="AN34" i="2"/>
  <c r="AN28" i="2"/>
  <c r="AN36" i="2"/>
  <c r="AO395" i="2"/>
  <c r="AO393" i="2"/>
  <c r="AO390" i="2"/>
  <c r="AO19" i="2"/>
  <c r="AO401" i="2"/>
  <c r="AO388" i="2"/>
  <c r="AO18" i="2"/>
  <c r="AO21" i="2"/>
  <c r="AO20" i="2"/>
  <c r="AO386" i="2"/>
  <c r="AO17" i="2"/>
  <c r="AN27" i="2"/>
  <c r="AN35" i="2"/>
  <c r="AN25" i="2"/>
  <c r="AN22" i="2"/>
  <c r="AN33" i="2"/>
  <c r="AN29" i="2"/>
  <c r="AN37" i="2"/>
  <c r="AN104" i="2"/>
  <c r="AN105" i="2" s="1"/>
  <c r="AF450" i="2"/>
  <c r="AF40" i="4" s="1"/>
  <c r="J35" i="7" s="1"/>
  <c r="AI348" i="2"/>
  <c r="AH350" i="2"/>
  <c r="AK346" i="2"/>
  <c r="AE460" i="2"/>
  <c r="AO354" i="2"/>
  <c r="AO343" i="2"/>
  <c r="AN140" i="2"/>
  <c r="AN141" i="2" s="1"/>
  <c r="AN286" i="2"/>
  <c r="AN287" i="2" s="1"/>
  <c r="AI382" i="2"/>
  <c r="AI453" i="2" s="1"/>
  <c r="AM768" i="2"/>
  <c r="AJ483" i="2"/>
  <c r="AJ9" i="4" s="1"/>
  <c r="AJ144" i="4" s="1"/>
  <c r="AL367" i="2"/>
  <c r="AL457" i="2" s="1"/>
  <c r="AH142" i="4"/>
  <c r="AH167" i="4"/>
  <c r="AH374" i="2"/>
  <c r="AH459" i="2" s="1"/>
  <c r="AL365" i="2"/>
  <c r="AK371" i="2"/>
  <c r="AF653" i="2"/>
  <c r="AF675" i="2" s="1"/>
  <c r="AF77" i="4"/>
  <c r="AL369" i="2"/>
  <c r="AL456" i="2" s="1"/>
  <c r="AI955" i="2"/>
  <c r="AI321" i="4" s="1"/>
  <c r="AI449" i="2"/>
  <c r="AJ381" i="2"/>
  <c r="AJ454" i="2" s="1"/>
  <c r="AN757" i="2"/>
  <c r="AN758" i="2"/>
  <c r="AN364" i="2"/>
  <c r="AO380" i="2"/>
  <c r="AO364" i="2" s="1"/>
  <c r="AM759" i="2"/>
  <c r="AM760" i="2" s="1"/>
  <c r="AN759" i="2" s="1"/>
  <c r="AN760" i="2" s="1"/>
  <c r="AI144" i="4"/>
  <c r="AK509" i="2"/>
  <c r="AK986" i="2" s="1"/>
  <c r="AK331" i="4" s="1"/>
  <c r="AK479" i="2"/>
  <c r="AJ643" i="2"/>
  <c r="AJ641" i="2" s="1"/>
  <c r="AJ78" i="4" s="1"/>
  <c r="AJ166" i="4" s="1"/>
  <c r="AK481" i="2"/>
  <c r="AJ637" i="2"/>
  <c r="AJ635" i="2" s="1"/>
  <c r="AJ79" i="4" s="1"/>
  <c r="AL476" i="2"/>
  <c r="AL502" i="2"/>
  <c r="AJ508" i="2"/>
  <c r="AJ41" i="4" s="1"/>
  <c r="K36" i="7" s="1"/>
  <c r="AM472" i="2"/>
  <c r="AM478" i="2" s="1"/>
  <c r="AM503" i="2" s="1"/>
  <c r="AM477" i="2"/>
  <c r="AL984" i="2"/>
  <c r="AL332" i="4" s="1"/>
  <c r="AL506" i="2"/>
  <c r="AL985" i="2" s="1"/>
  <c r="AK500" i="2"/>
  <c r="AM793" i="2"/>
  <c r="AM91" i="4" s="1"/>
  <c r="AK504" i="2"/>
  <c r="AK661" i="2" s="1"/>
  <c r="AK659" i="2" s="1"/>
  <c r="AK100" i="4" s="1"/>
  <c r="AO744" i="2"/>
  <c r="AO757" i="2" s="1"/>
  <c r="AO501" i="2"/>
  <c r="AO474" i="2"/>
  <c r="AL798" i="2"/>
  <c r="AL970" i="2" s="1"/>
  <c r="AM794" i="2"/>
  <c r="AM671" i="2" s="1"/>
  <c r="AM670" i="2" s="1"/>
  <c r="AM98" i="4" s="1"/>
  <c r="AN762" i="2"/>
  <c r="AN698" i="2"/>
  <c r="AN778" i="2" s="1"/>
  <c r="AN697" i="2"/>
  <c r="AN703" i="2" s="1"/>
  <c r="AN783" i="2" s="1"/>
  <c r="AM740" i="2"/>
  <c r="AN727" i="2"/>
  <c r="AN730" i="2"/>
  <c r="AN729" i="2"/>
  <c r="AO689" i="2"/>
  <c r="AO697" i="2" s="1"/>
  <c r="AO716" i="2"/>
  <c r="AM734" i="2"/>
  <c r="AN122" i="2"/>
  <c r="AN123" i="2" s="1"/>
  <c r="AL160" i="2"/>
  <c r="AK310" i="2"/>
  <c r="AL197" i="2"/>
  <c r="AM116" i="2"/>
  <c r="AM117" i="2" s="1"/>
  <c r="AM106" i="2" s="1"/>
  <c r="AL244" i="2"/>
  <c r="AL233" i="2" s="1"/>
  <c r="AL306" i="2"/>
  <c r="AL270" i="2"/>
  <c r="AL142" i="2"/>
  <c r="AK146" i="2"/>
  <c r="AL215" i="2"/>
  <c r="AL288" i="2"/>
  <c r="AL106" i="2"/>
  <c r="AK322" i="2"/>
  <c r="AJ325" i="2"/>
  <c r="AI326" i="2"/>
  <c r="AI625" i="2" s="1"/>
  <c r="AL327" i="2"/>
  <c r="AL954" i="2" s="1"/>
  <c r="AL320" i="4" s="1"/>
  <c r="AM321" i="2"/>
  <c r="AM6" i="4" s="1"/>
  <c r="AH323" i="2"/>
  <c r="AH328" i="2" s="1"/>
  <c r="AO315" i="2"/>
  <c r="AO279" i="2"/>
  <c r="AO302" i="2"/>
  <c r="AO297" i="2"/>
  <c r="AO284" i="2"/>
  <c r="AO266" i="2"/>
  <c r="AM298" i="2"/>
  <c r="AM299" i="2" s="1"/>
  <c r="AK318" i="2"/>
  <c r="AL308" i="2"/>
  <c r="AK282" i="2"/>
  <c r="AL272" i="2"/>
  <c r="AK274" i="2"/>
  <c r="AM280" i="2"/>
  <c r="AM281" i="2" s="1"/>
  <c r="AM316" i="2"/>
  <c r="AM317" i="2" s="1"/>
  <c r="AK300" i="2"/>
  <c r="AL290" i="2"/>
  <c r="AK292" i="2"/>
  <c r="AI619" i="2"/>
  <c r="AI617" i="2" s="1"/>
  <c r="AJ88" i="2"/>
  <c r="AJ324" i="2" s="1"/>
  <c r="AI92" i="2"/>
  <c r="AH76" i="4"/>
  <c r="AH165" i="4" s="1"/>
  <c r="AJ263" i="2"/>
  <c r="AK253" i="2"/>
  <c r="AJ255" i="2"/>
  <c r="AL190" i="2"/>
  <c r="AL179" i="2" s="1"/>
  <c r="AJ227" i="2"/>
  <c r="AK217" i="2"/>
  <c r="AJ219" i="2"/>
  <c r="AM243" i="2"/>
  <c r="AM244" i="2" s="1"/>
  <c r="AM189" i="2"/>
  <c r="AM190" i="2" s="1"/>
  <c r="AJ209" i="2"/>
  <c r="AK199" i="2"/>
  <c r="AJ201" i="2"/>
  <c r="AM225" i="2"/>
  <c r="AM226" i="2" s="1"/>
  <c r="AM207" i="2"/>
  <c r="AM208" i="2" s="1"/>
  <c r="AK245" i="2"/>
  <c r="AL235" i="2"/>
  <c r="AK237" i="2"/>
  <c r="AL262" i="2"/>
  <c r="AL251" i="2" s="1"/>
  <c r="AO260" i="2"/>
  <c r="AO247" i="2"/>
  <c r="AO224" i="2"/>
  <c r="AO211" i="2"/>
  <c r="AO206" i="2"/>
  <c r="AO242" i="2"/>
  <c r="AO188" i="2"/>
  <c r="AO229" i="2"/>
  <c r="AO193" i="2"/>
  <c r="AO175" i="2"/>
  <c r="AM261" i="2"/>
  <c r="AM262" i="2" s="1"/>
  <c r="AJ191" i="2"/>
  <c r="AK181" i="2"/>
  <c r="AH961" i="2"/>
  <c r="AG623" i="2"/>
  <c r="AG101" i="4"/>
  <c r="AH623" i="2"/>
  <c r="AH101" i="4"/>
  <c r="AO169" i="2"/>
  <c r="AO156" i="2"/>
  <c r="AO151" i="2"/>
  <c r="AO133" i="2"/>
  <c r="AO102" i="2"/>
  <c r="AO115" i="2"/>
  <c r="AO120" i="2"/>
  <c r="AO138" i="2"/>
  <c r="AL135" i="2"/>
  <c r="AL124" i="2" s="1"/>
  <c r="AM134" i="2"/>
  <c r="AJ118" i="2"/>
  <c r="AK108" i="2"/>
  <c r="AJ110" i="2"/>
  <c r="AM170" i="2"/>
  <c r="AM171" i="2" s="1"/>
  <c r="AJ172" i="2"/>
  <c r="AK162" i="2"/>
  <c r="AJ164" i="2"/>
  <c r="AJ136" i="2"/>
  <c r="AK126" i="2"/>
  <c r="AJ128" i="2"/>
  <c r="AM152" i="2"/>
  <c r="AM153" i="2" s="1"/>
  <c r="AK154" i="2"/>
  <c r="AL144" i="2"/>
  <c r="AL99" i="2"/>
  <c r="AL141" i="4"/>
  <c r="AL146" i="4"/>
  <c r="AK100" i="2"/>
  <c r="AL90" i="2"/>
  <c r="AO97" i="2"/>
  <c r="AO84" i="2"/>
  <c r="AM98" i="2"/>
  <c r="AO883" i="2"/>
  <c r="AO603" i="2"/>
  <c r="AO497" i="2"/>
  <c r="AO489" i="2"/>
  <c r="AO103" i="4"/>
  <c r="AO44" i="1"/>
  <c r="AS81" i="1"/>
  <c r="AT79" i="1"/>
  <c r="AB114" i="10"/>
  <c r="AB122" i="10"/>
  <c r="AO198" i="4"/>
  <c r="AO595" i="2"/>
  <c r="AR87" i="1"/>
  <c r="AQ91" i="1"/>
  <c r="AT86" i="1"/>
  <c r="AO14" i="2"/>
  <c r="AO139" i="2" s="1"/>
  <c r="AO12" i="2"/>
  <c r="AO121" i="2" s="1"/>
  <c r="AO13" i="2"/>
  <c r="AO157" i="2" s="1"/>
  <c r="AO590" i="2"/>
  <c r="AP2" i="5"/>
  <c r="AQ25" i="1"/>
  <c r="AP2" i="4"/>
  <c r="AP92" i="4" s="1"/>
  <c r="AP2" i="2"/>
  <c r="AP2" i="10"/>
  <c r="AP2" i="1"/>
  <c r="AP45" i="1" s="1"/>
  <c r="AP141" i="1"/>
  <c r="AO203" i="4"/>
  <c r="AO252" i="4"/>
  <c r="AO236" i="4"/>
  <c r="AO187" i="4"/>
  <c r="AO294" i="4"/>
  <c r="AQ246" i="4"/>
  <c r="AQ47" i="1"/>
  <c r="AQ49" i="1"/>
  <c r="AR43" i="1"/>
  <c r="AQ48" i="1"/>
  <c r="AQ50" i="1"/>
  <c r="AQ288" i="4"/>
  <c r="AQ197" i="4"/>
  <c r="AD116" i="10"/>
  <c r="AD112" i="10"/>
  <c r="AO577" i="2"/>
  <c r="AO108" i="4"/>
  <c r="AP108" i="4" s="1"/>
  <c r="AK4" i="2"/>
  <c r="AK42" i="2"/>
  <c r="AN858" i="2"/>
  <c r="AO857" i="2"/>
  <c r="AO856" i="2" s="1"/>
  <c r="AO850" i="2"/>
  <c r="AP849" i="2"/>
  <c r="AP848" i="2" s="1"/>
  <c r="L160" i="4"/>
  <c r="AP54" i="1"/>
  <c r="AO55" i="1"/>
  <c r="AO53" i="1" s="1"/>
  <c r="L170" i="4"/>
  <c r="N130" i="4"/>
  <c r="AQ62" i="10"/>
  <c r="AQ57" i="10"/>
  <c r="N159" i="4"/>
  <c r="N158" i="4"/>
  <c r="AL47" i="4"/>
  <c r="Q329" i="4"/>
  <c r="AN499" i="2"/>
  <c r="AO495" i="2"/>
  <c r="L192" i="4"/>
  <c r="M276" i="4"/>
  <c r="AM663" i="2"/>
  <c r="AN662" i="2"/>
  <c r="L211" i="4"/>
  <c r="AN621" i="2"/>
  <c r="AM651" i="2"/>
  <c r="AN650" i="2"/>
  <c r="O326" i="4"/>
  <c r="O29" i="4"/>
  <c r="O989" i="2"/>
  <c r="O1011" i="2"/>
  <c r="M227" i="4"/>
  <c r="AM275" i="4"/>
  <c r="AN123" i="1"/>
  <c r="AM627" i="2"/>
  <c r="AN626" i="2"/>
  <c r="AK4" i="5"/>
  <c r="AK1" i="5"/>
  <c r="AK271" i="4"/>
  <c r="AK138" i="4"/>
  <c r="AK4" i="4"/>
  <c r="AK174" i="4"/>
  <c r="AK73" i="4"/>
  <c r="AK313" i="4"/>
  <c r="AK222" i="4"/>
  <c r="AK37" i="4"/>
  <c r="AK119" i="4"/>
  <c r="AK1" i="4"/>
  <c r="AK841" i="2"/>
  <c r="AK952" i="2"/>
  <c r="AK862" i="2"/>
  <c r="AK682" i="2"/>
  <c r="AK880" i="2"/>
  <c r="AK513" i="2"/>
  <c r="AK464" i="2"/>
  <c r="AK826" i="2"/>
  <c r="AK332" i="2"/>
  <c r="AK1" i="2"/>
  <c r="AK102" i="10"/>
  <c r="AK615" i="2"/>
  <c r="AK1" i="1"/>
  <c r="AK80" i="2"/>
  <c r="AK891" i="2"/>
  <c r="AK68" i="1"/>
  <c r="AK90" i="10"/>
  <c r="AK55" i="10"/>
  <c r="AK38" i="1"/>
  <c r="AK14" i="1"/>
  <c r="AK1" i="10"/>
  <c r="AK113" i="1"/>
  <c r="AM621" i="2"/>
  <c r="AN656" i="2"/>
  <c r="AM102" i="4"/>
  <c r="AN125" i="10"/>
  <c r="T141" i="1"/>
  <c r="AN140" i="1"/>
  <c r="Q89" i="4"/>
  <c r="Q93" i="4" s="1"/>
  <c r="Q169" i="4" s="1"/>
  <c r="R84" i="10"/>
  <c r="N49" i="4"/>
  <c r="AM90" i="4"/>
  <c r="AN93" i="10"/>
  <c r="P991" i="2"/>
  <c r="AJ178" i="4"/>
  <c r="AK131" i="1"/>
  <c r="L260" i="4"/>
  <c r="M179" i="4"/>
  <c r="AO111" i="4"/>
  <c r="AL491" i="2"/>
  <c r="AL13" i="4" s="1"/>
  <c r="AM487" i="2"/>
  <c r="L297" i="4"/>
  <c r="AM29" i="1"/>
  <c r="AM27" i="1"/>
  <c r="AM28" i="1"/>
  <c r="AN26" i="1"/>
  <c r="AO601" i="2"/>
  <c r="N344" i="4"/>
  <c r="L241" i="4"/>
  <c r="E84" i="7" s="1"/>
  <c r="AN124" i="10"/>
  <c r="AN644" i="2"/>
  <c r="AN645" i="2" s="1"/>
  <c r="M69" i="4"/>
  <c r="L216" i="4"/>
  <c r="AN606" i="2"/>
  <c r="AO593" i="2"/>
  <c r="AM86" i="4"/>
  <c r="AN65" i="10"/>
  <c r="AO582" i="2"/>
  <c r="AN632" i="2"/>
  <c r="AN638" i="2"/>
  <c r="AN639" i="2" s="1"/>
  <c r="AL317" i="4"/>
  <c r="AM146" i="1"/>
  <c r="M346" i="4"/>
  <c r="AN673" i="2"/>
  <c r="AO672" i="2"/>
  <c r="AM668" i="2"/>
  <c r="AN667" i="2"/>
  <c r="AL592" i="2"/>
  <c r="AL14" i="4" s="1"/>
  <c r="AM588" i="2"/>
  <c r="L267" i="4"/>
  <c r="L218" i="4"/>
  <c r="Q17" i="4"/>
  <c r="AM226" i="4"/>
  <c r="AN120" i="1"/>
  <c r="N116" i="4"/>
  <c r="X70" i="10"/>
  <c r="R79" i="10"/>
  <c r="AL34" i="1"/>
  <c r="AL55" i="2" s="1"/>
  <c r="AM82" i="4"/>
  <c r="AN97" i="10"/>
  <c r="L265" i="4"/>
  <c r="AP83" i="4" l="1"/>
  <c r="AC120" i="10"/>
  <c r="AD107" i="10"/>
  <c r="AD118" i="10" s="1"/>
  <c r="AP198" i="4"/>
  <c r="U785" i="2"/>
  <c r="V704" i="2"/>
  <c r="U796" i="2"/>
  <c r="V731" i="2"/>
  <c r="U800" i="2"/>
  <c r="V735" i="2"/>
  <c r="U780" i="2"/>
  <c r="U701" i="2"/>
  <c r="AM34" i="1"/>
  <c r="AM55" i="2" s="1"/>
  <c r="AP289" i="4"/>
  <c r="AP44" i="1"/>
  <c r="AK822" i="2"/>
  <c r="AL709" i="2"/>
  <c r="T979" i="2"/>
  <c r="T87" i="4"/>
  <c r="AO539" i="2"/>
  <c r="AO535" i="2" s="1"/>
  <c r="AN570" i="2"/>
  <c r="AN600" i="2" s="1"/>
  <c r="AN598" i="2" s="1"/>
  <c r="AL455" i="2"/>
  <c r="AL631" i="2" s="1"/>
  <c r="AL629" i="2" s="1"/>
  <c r="AL80" i="4" s="1"/>
  <c r="AO569" i="2"/>
  <c r="AO565" i="2" s="1"/>
  <c r="AO599" i="2" s="1"/>
  <c r="AO605" i="2" s="1"/>
  <c r="AO15" i="4" s="1"/>
  <c r="AL58" i="4"/>
  <c r="AL182" i="4" s="1"/>
  <c r="AG450" i="2"/>
  <c r="AG40" i="4" s="1"/>
  <c r="AN341" i="2"/>
  <c r="AH458" i="2"/>
  <c r="AH649" i="2" s="1"/>
  <c r="AH647" i="2" s="1"/>
  <c r="AH97" i="4" s="1"/>
  <c r="AO406" i="2"/>
  <c r="AO413" i="2" s="1"/>
  <c r="AP416" i="2"/>
  <c r="AP414" i="2"/>
  <c r="AP422" i="2"/>
  <c r="AP405" i="2"/>
  <c r="AP411" i="2"/>
  <c r="AP407" i="2"/>
  <c r="AP409" i="2"/>
  <c r="AN423" i="2"/>
  <c r="AN424" i="2" s="1"/>
  <c r="AN418" i="2" s="1"/>
  <c r="AM598" i="2"/>
  <c r="AL973" i="2"/>
  <c r="AM818" i="2"/>
  <c r="AM968" i="2" s="1"/>
  <c r="AM56" i="4"/>
  <c r="AN797" i="2"/>
  <c r="AN790" i="2" s="1"/>
  <c r="AN53" i="4" s="1"/>
  <c r="L48" i="7" s="1"/>
  <c r="AO523" i="2"/>
  <c r="AO519" i="2" s="1"/>
  <c r="AO524" i="2" s="1"/>
  <c r="AO531" i="2"/>
  <c r="AO527" i="2" s="1"/>
  <c r="AO532" i="2" s="1"/>
  <c r="AN573" i="2"/>
  <c r="AO739" i="2"/>
  <c r="AO733" i="2"/>
  <c r="AO550" i="2"/>
  <c r="AO546" i="2" s="1"/>
  <c r="AO551" i="2" s="1"/>
  <c r="AM52" i="4"/>
  <c r="AM817" i="2"/>
  <c r="AO767" i="2"/>
  <c r="AO761" i="2"/>
  <c r="AP312" i="2"/>
  <c r="AP239" i="2"/>
  <c r="AP166" i="2"/>
  <c r="AP294" i="2"/>
  <c r="AP221" i="2"/>
  <c r="AP352" i="2"/>
  <c r="AP185" i="2"/>
  <c r="AP148" i="2"/>
  <c r="AP257" i="2"/>
  <c r="AP203" i="2"/>
  <c r="AP112" i="2"/>
  <c r="AP130" i="2"/>
  <c r="AP94" i="2"/>
  <c r="AP276" i="2"/>
  <c r="AP750" i="2"/>
  <c r="AP722" i="2"/>
  <c r="AP399" i="2"/>
  <c r="AP548" i="2"/>
  <c r="AP378" i="2"/>
  <c r="AP529" i="2"/>
  <c r="AP556" i="2"/>
  <c r="AP537" i="2"/>
  <c r="AP442" i="2"/>
  <c r="AP692" i="2"/>
  <c r="AP521" i="2"/>
  <c r="AP567" i="2"/>
  <c r="AQ72" i="1"/>
  <c r="AO708" i="2"/>
  <c r="AO789" i="2" s="1"/>
  <c r="AO702" i="2"/>
  <c r="AO782" i="2" s="1"/>
  <c r="AL279" i="4"/>
  <c r="AN804" i="2"/>
  <c r="AN962" i="2" s="1"/>
  <c r="AN776" i="2"/>
  <c r="AN52" i="4" s="1"/>
  <c r="AO540" i="2"/>
  <c r="AM572" i="2"/>
  <c r="AN574" i="2"/>
  <c r="AM965" i="2"/>
  <c r="AL611" i="2"/>
  <c r="AH376" i="2"/>
  <c r="AO427" i="2"/>
  <c r="AO428" i="2" s="1"/>
  <c r="AO435" i="2" s="1"/>
  <c r="AO445" i="2" s="1"/>
  <c r="AO446" i="2" s="1"/>
  <c r="AO440" i="2" s="1"/>
  <c r="AM585" i="2"/>
  <c r="AM597" i="2"/>
  <c r="AO558" i="2"/>
  <c r="AO554" i="2" s="1"/>
  <c r="AO559" i="2" s="1"/>
  <c r="AN586" i="2"/>
  <c r="AN587" i="2"/>
  <c r="AO304" i="2"/>
  <c r="AO305" i="2" s="1"/>
  <c r="AO337" i="2"/>
  <c r="AI372" i="2"/>
  <c r="K9" i="7"/>
  <c r="O147" i="4"/>
  <c r="K8" i="7"/>
  <c r="L13" i="7"/>
  <c r="Y122" i="4"/>
  <c r="Y109" i="4"/>
  <c r="X974" i="2"/>
  <c r="X81" i="4" s="1"/>
  <c r="AA939" i="2"/>
  <c r="AA106" i="4" s="1"/>
  <c r="AA867" i="2" s="1"/>
  <c r="Z106" i="4"/>
  <c r="Z867" i="2" s="1"/>
  <c r="Z945" i="2"/>
  <c r="Z25" i="4" s="1"/>
  <c r="Z934" i="2"/>
  <c r="X871" i="2"/>
  <c r="X46" i="4" s="1"/>
  <c r="H41" i="7" s="1"/>
  <c r="X26" i="4"/>
  <c r="H21" i="7" s="1"/>
  <c r="X959" i="2"/>
  <c r="X960" i="2" s="1"/>
  <c r="X323" i="4" s="1"/>
  <c r="X324" i="4"/>
  <c r="W334" i="4"/>
  <c r="W998" i="2"/>
  <c r="W999" i="2" s="1"/>
  <c r="W333" i="4" s="1"/>
  <c r="V1003" i="2"/>
  <c r="V1004" i="2" s="1"/>
  <c r="V335" i="4" s="1"/>
  <c r="V336" i="4"/>
  <c r="AB922" i="2"/>
  <c r="AA938" i="2"/>
  <c r="AO213" i="2"/>
  <c r="AO214" i="2" s="1"/>
  <c r="W1006" i="2"/>
  <c r="Y869" i="2"/>
  <c r="Y873" i="2" s="1"/>
  <c r="Y963" i="2" s="1"/>
  <c r="Y972" i="2" s="1"/>
  <c r="Y958" i="2" s="1"/>
  <c r="Y872" i="2"/>
  <c r="AD902" i="2"/>
  <c r="W943" i="2"/>
  <c r="X912" i="2"/>
  <c r="AE904" i="2"/>
  <c r="AE902" i="2" s="1"/>
  <c r="AP905" i="2"/>
  <c r="AP924" i="2"/>
  <c r="AP931" i="2"/>
  <c r="AP932" i="2" s="1"/>
  <c r="AJ42" i="4"/>
  <c r="K37" i="7" s="1"/>
  <c r="AO231" i="2"/>
  <c r="AO232" i="2" s="1"/>
  <c r="AL608" i="2"/>
  <c r="AK610" i="2"/>
  <c r="AP568" i="2"/>
  <c r="AO268" i="2"/>
  <c r="AO269" i="2" s="1"/>
  <c r="AP557" i="2"/>
  <c r="AP549" i="2"/>
  <c r="AO195" i="2"/>
  <c r="AO196" i="2" s="1"/>
  <c r="AK584" i="2"/>
  <c r="AL580" i="2"/>
  <c r="AK579" i="2"/>
  <c r="AK10" i="4" s="1"/>
  <c r="AL575" i="2"/>
  <c r="AO470" i="2"/>
  <c r="AO471" i="2" s="1"/>
  <c r="AP538" i="2"/>
  <c r="AP530" i="2"/>
  <c r="AP522" i="2"/>
  <c r="AO249" i="2"/>
  <c r="AO250" i="2" s="1"/>
  <c r="AO177" i="2"/>
  <c r="AO178" i="2" s="1"/>
  <c r="AL345" i="2"/>
  <c r="AL355" i="2" s="1"/>
  <c r="AO86" i="2"/>
  <c r="AO87" i="2" s="1"/>
  <c r="AP438" i="2"/>
  <c r="AP436" i="2"/>
  <c r="AP444" i="2"/>
  <c r="AP431" i="2"/>
  <c r="AP433" i="2"/>
  <c r="AP429" i="2"/>
  <c r="AP426" i="2"/>
  <c r="AO158" i="2"/>
  <c r="AO159" i="2" s="1"/>
  <c r="AK355" i="2"/>
  <c r="AM339" i="2"/>
  <c r="AN30" i="2"/>
  <c r="AO26" i="2"/>
  <c r="AO34" i="2"/>
  <c r="AP395" i="2"/>
  <c r="AP393" i="2"/>
  <c r="AP401" i="2"/>
  <c r="AP390" i="2"/>
  <c r="AP388" i="2"/>
  <c r="AP386" i="2"/>
  <c r="AP17" i="2"/>
  <c r="AP20" i="2"/>
  <c r="AP19" i="2"/>
  <c r="AP21" i="2"/>
  <c r="AP18" i="2"/>
  <c r="AO27" i="2"/>
  <c r="AO35" i="2"/>
  <c r="AO104" i="2"/>
  <c r="AO105" i="2" s="1"/>
  <c r="AN38" i="2"/>
  <c r="AN336" i="2" s="1"/>
  <c r="AN338" i="2" s="1"/>
  <c r="AN451" i="2" s="1"/>
  <c r="AO28" i="2"/>
  <c r="AO36" i="2"/>
  <c r="AO25" i="2"/>
  <c r="AO22" i="2"/>
  <c r="AO33" i="2"/>
  <c r="AO385" i="2"/>
  <c r="AO392" i="2" s="1"/>
  <c r="AO29" i="2"/>
  <c r="AO37" i="2"/>
  <c r="AO286" i="2"/>
  <c r="AO287" i="2" s="1"/>
  <c r="AF460" i="2"/>
  <c r="AL346" i="2"/>
  <c r="AJ348" i="2"/>
  <c r="AI350" i="2"/>
  <c r="AI964" i="2"/>
  <c r="AO140" i="2"/>
  <c r="AO141" i="2" s="1"/>
  <c r="AP354" i="2"/>
  <c r="AP343" i="2"/>
  <c r="AJ382" i="2"/>
  <c r="AJ453" i="2" s="1"/>
  <c r="AN768" i="2"/>
  <c r="AM369" i="2"/>
  <c r="AM456" i="2" s="1"/>
  <c r="AM365" i="2"/>
  <c r="AL371" i="2"/>
  <c r="AL381" i="2" s="1"/>
  <c r="AM367" i="2"/>
  <c r="AM457" i="2" s="1"/>
  <c r="AJ955" i="2"/>
  <c r="AJ321" i="4" s="1"/>
  <c r="AJ449" i="2"/>
  <c r="AI8" i="4"/>
  <c r="AG77" i="4"/>
  <c r="AG653" i="2"/>
  <c r="AG675" i="2" s="1"/>
  <c r="AK381" i="2"/>
  <c r="AO755" i="2"/>
  <c r="AO759" i="2" s="1"/>
  <c r="AO760" i="2" s="1"/>
  <c r="AI374" i="2"/>
  <c r="AI459" i="2" s="1"/>
  <c r="AP380" i="2"/>
  <c r="AN793" i="2"/>
  <c r="AN91" i="4" s="1"/>
  <c r="AK508" i="2"/>
  <c r="AK41" i="4" s="1"/>
  <c r="AK637" i="2"/>
  <c r="AK635" i="2" s="1"/>
  <c r="AK79" i="4" s="1"/>
  <c r="AL481" i="2"/>
  <c r="AM476" i="2"/>
  <c r="AM502" i="2"/>
  <c r="AL479" i="2"/>
  <c r="AK643" i="2"/>
  <c r="AK641" i="2" s="1"/>
  <c r="AK78" i="4" s="1"/>
  <c r="AK166" i="4" s="1"/>
  <c r="AO758" i="2"/>
  <c r="AM984" i="2"/>
  <c r="AM332" i="4" s="1"/>
  <c r="AM506" i="2"/>
  <c r="AM985" i="2" s="1"/>
  <c r="AK483" i="2"/>
  <c r="AK9" i="4" s="1"/>
  <c r="AL504" i="2"/>
  <c r="AL661" i="2" s="1"/>
  <c r="AL659" i="2" s="1"/>
  <c r="AL100" i="4" s="1"/>
  <c r="AL500" i="2"/>
  <c r="AN472" i="2"/>
  <c r="AN478" i="2" s="1"/>
  <c r="AN503" i="2" s="1"/>
  <c r="AN477" i="2"/>
  <c r="AL509" i="2"/>
  <c r="AL986" i="2" s="1"/>
  <c r="AL331" i="4" s="1"/>
  <c r="AP744" i="2"/>
  <c r="AP755" i="2" s="1"/>
  <c r="AP474" i="2"/>
  <c r="AN794" i="2"/>
  <c r="AN671" i="2" s="1"/>
  <c r="AN670" i="2" s="1"/>
  <c r="AN98" i="4" s="1"/>
  <c r="AM798" i="2"/>
  <c r="AM970" i="2" s="1"/>
  <c r="AO727" i="2"/>
  <c r="AO730" i="2"/>
  <c r="AO729" i="2"/>
  <c r="AO793" i="2" s="1"/>
  <c r="AP689" i="2"/>
  <c r="AP699" i="2" s="1"/>
  <c r="AP779" i="2" s="1"/>
  <c r="AP716" i="2"/>
  <c r="AO698" i="2"/>
  <c r="AO778" i="2" s="1"/>
  <c r="AN740" i="2"/>
  <c r="AO699" i="2"/>
  <c r="AO779" i="2" s="1"/>
  <c r="AN734" i="2"/>
  <c r="AO122" i="2"/>
  <c r="AO123" i="2" s="1"/>
  <c r="AO703" i="2"/>
  <c r="AO783" i="2" s="1"/>
  <c r="AM288" i="2"/>
  <c r="AL274" i="2"/>
  <c r="AM233" i="2"/>
  <c r="AM215" i="2"/>
  <c r="AM160" i="2"/>
  <c r="AM179" i="2"/>
  <c r="AN316" i="2"/>
  <c r="AM251" i="2"/>
  <c r="AM142" i="2"/>
  <c r="AM197" i="2"/>
  <c r="AM270" i="2"/>
  <c r="AM306" i="2"/>
  <c r="AJ326" i="2"/>
  <c r="AJ961" i="2" s="1"/>
  <c r="AK325" i="2"/>
  <c r="AN321" i="2"/>
  <c r="AN6" i="4" s="1"/>
  <c r="L5" i="7" s="1"/>
  <c r="AH39" i="4"/>
  <c r="AM327" i="2"/>
  <c r="AM954" i="2" s="1"/>
  <c r="AM320" i="4" s="1"/>
  <c r="AI323" i="2"/>
  <c r="AI328" i="2" s="1"/>
  <c r="AL322" i="2"/>
  <c r="AL300" i="2"/>
  <c r="AM290" i="2"/>
  <c r="AN280" i="2"/>
  <c r="AN281" i="2" s="1"/>
  <c r="AN298" i="2"/>
  <c r="AN299" i="2" s="1"/>
  <c r="AL282" i="2"/>
  <c r="AM272" i="2"/>
  <c r="AL292" i="2"/>
  <c r="AP315" i="2"/>
  <c r="AP302" i="2"/>
  <c r="AP297" i="2"/>
  <c r="AP284" i="2"/>
  <c r="AP266" i="2"/>
  <c r="AP279" i="2"/>
  <c r="AL318" i="2"/>
  <c r="AM308" i="2"/>
  <c r="AL310" i="2"/>
  <c r="AJ619" i="2"/>
  <c r="AJ617" i="2" s="1"/>
  <c r="AK88" i="2"/>
  <c r="AK324" i="2" s="1"/>
  <c r="AJ92" i="2"/>
  <c r="AJ323" i="2" s="1"/>
  <c r="AI76" i="4"/>
  <c r="AI165" i="4" s="1"/>
  <c r="AL245" i="2"/>
  <c r="AM235" i="2"/>
  <c r="AL237" i="2"/>
  <c r="AK263" i="2"/>
  <c r="AL253" i="2"/>
  <c r="AK255" i="2"/>
  <c r="AK191" i="2"/>
  <c r="AL181" i="2"/>
  <c r="AL183" i="2" s="1"/>
  <c r="AK183" i="2"/>
  <c r="AK209" i="2"/>
  <c r="AL199" i="2"/>
  <c r="AK201" i="2"/>
  <c r="AN261" i="2"/>
  <c r="AN189" i="2"/>
  <c r="AN190" i="2" s="1"/>
  <c r="AP260" i="2"/>
  <c r="AP247" i="2"/>
  <c r="AP242" i="2"/>
  <c r="AP229" i="2"/>
  <c r="AP188" i="2"/>
  <c r="AP224" i="2"/>
  <c r="AP211" i="2"/>
  <c r="AP206" i="2"/>
  <c r="AP193" i="2"/>
  <c r="AP175" i="2"/>
  <c r="AN225" i="2"/>
  <c r="AN226" i="2" s="1"/>
  <c r="AN207" i="2"/>
  <c r="AK227" i="2"/>
  <c r="AL217" i="2"/>
  <c r="AK219" i="2"/>
  <c r="AN243" i="2"/>
  <c r="AN244" i="2" s="1"/>
  <c r="AI961" i="2"/>
  <c r="AM141" i="4"/>
  <c r="AM146" i="4"/>
  <c r="AI623" i="2"/>
  <c r="AI101" i="4"/>
  <c r="AN116" i="2"/>
  <c r="AN117" i="2" s="1"/>
  <c r="AL154" i="2"/>
  <c r="AM144" i="2"/>
  <c r="AL146" i="2"/>
  <c r="AK136" i="2"/>
  <c r="AL126" i="2"/>
  <c r="AK128" i="2"/>
  <c r="AK118" i="2"/>
  <c r="AL108" i="2"/>
  <c r="AK110" i="2"/>
  <c r="AP169" i="2"/>
  <c r="AP156" i="2"/>
  <c r="AP115" i="2"/>
  <c r="AP133" i="2"/>
  <c r="AP138" i="2"/>
  <c r="AP151" i="2"/>
  <c r="AP120" i="2"/>
  <c r="AP102" i="2"/>
  <c r="AM135" i="2"/>
  <c r="AM124" i="2" s="1"/>
  <c r="AN152" i="2"/>
  <c r="AN153" i="2" s="1"/>
  <c r="AK172" i="2"/>
  <c r="AL162" i="2"/>
  <c r="AK164" i="2"/>
  <c r="AN170" i="2"/>
  <c r="AN171" i="2" s="1"/>
  <c r="AN134" i="2"/>
  <c r="AN135" i="2" s="1"/>
  <c r="AM99" i="2"/>
  <c r="AN98" i="2"/>
  <c r="AP883" i="2"/>
  <c r="AP97" i="2"/>
  <c r="AP84" i="2"/>
  <c r="AL100" i="2"/>
  <c r="AM90" i="2"/>
  <c r="AP595" i="2"/>
  <c r="AP12" i="2"/>
  <c r="AP121" i="2" s="1"/>
  <c r="AP14" i="2"/>
  <c r="AP139" i="2" s="1"/>
  <c r="AP13" i="2"/>
  <c r="AP157" i="2" s="1"/>
  <c r="AP590" i="2"/>
  <c r="AP497" i="2"/>
  <c r="AP187" i="4"/>
  <c r="AP236" i="4"/>
  <c r="AP294" i="4"/>
  <c r="AP203" i="4"/>
  <c r="AP252" i="4"/>
  <c r="AP247" i="4"/>
  <c r="AE111" i="10"/>
  <c r="AD117" i="10"/>
  <c r="AU86" i="1"/>
  <c r="AP577" i="2"/>
  <c r="AP59" i="1"/>
  <c r="AP103" i="4"/>
  <c r="AQ2" i="5"/>
  <c r="AQ2" i="4"/>
  <c r="AQ2" i="2"/>
  <c r="AQ2" i="10"/>
  <c r="AR25" i="1"/>
  <c r="AQ2" i="1"/>
  <c r="AQ45" i="1" s="1"/>
  <c r="AQ141" i="1"/>
  <c r="AQ83" i="4"/>
  <c r="AS43" i="1"/>
  <c r="AR50" i="1"/>
  <c r="AR49" i="1"/>
  <c r="AR48" i="1"/>
  <c r="AR246" i="4"/>
  <c r="AR288" i="4"/>
  <c r="AR197" i="4"/>
  <c r="AR47" i="1"/>
  <c r="AP113" i="4"/>
  <c r="AQ113" i="4" s="1"/>
  <c r="AU79" i="1"/>
  <c r="AT81" i="1"/>
  <c r="AD110" i="10"/>
  <c r="AP489" i="2"/>
  <c r="AS87" i="1"/>
  <c r="AR91" i="1"/>
  <c r="AP603" i="2"/>
  <c r="AL4" i="2"/>
  <c r="AL42" i="2"/>
  <c r="AP850" i="2"/>
  <c r="AQ849" i="2"/>
  <c r="AQ848" i="2" s="1"/>
  <c r="AO858" i="2"/>
  <c r="AP857" i="2"/>
  <c r="AP856" i="2" s="1"/>
  <c r="AQ54" i="1"/>
  <c r="AP55" i="1"/>
  <c r="AP53" i="1" s="1"/>
  <c r="AR57" i="10"/>
  <c r="AR62" i="10"/>
  <c r="AN668" i="2"/>
  <c r="AO667" i="2"/>
  <c r="AO632" i="2"/>
  <c r="AO633" i="2" s="1"/>
  <c r="Q189" i="4"/>
  <c r="Q161" i="4"/>
  <c r="Q121" i="4"/>
  <c r="Q123" i="4" s="1"/>
  <c r="Q22" i="4"/>
  <c r="Q152" i="4"/>
  <c r="Q238" i="4"/>
  <c r="AN633" i="2"/>
  <c r="O328" i="4"/>
  <c r="O1013" i="2"/>
  <c r="O666" i="2" s="1"/>
  <c r="O665" i="2" s="1"/>
  <c r="L206" i="4"/>
  <c r="AL4" i="5"/>
  <c r="AL1" i="5"/>
  <c r="AL313" i="4"/>
  <c r="AL119" i="4"/>
  <c r="AL37" i="4"/>
  <c r="AL73" i="4"/>
  <c r="AL138" i="4"/>
  <c r="AL222" i="4"/>
  <c r="AL4" i="4"/>
  <c r="AL271" i="4"/>
  <c r="AL1" i="4"/>
  <c r="AL174" i="4"/>
  <c r="AL615" i="2"/>
  <c r="AL891" i="2"/>
  <c r="AL841" i="2"/>
  <c r="AL880" i="2"/>
  <c r="AL513" i="2"/>
  <c r="AL464" i="2"/>
  <c r="AL80" i="2"/>
  <c r="AL826" i="2"/>
  <c r="AL952" i="2"/>
  <c r="AL332" i="2"/>
  <c r="AL1" i="2"/>
  <c r="AL682" i="2"/>
  <c r="AL1" i="10"/>
  <c r="AL102" i="10"/>
  <c r="AL1" i="1"/>
  <c r="AL90" i="10"/>
  <c r="AL55" i="10"/>
  <c r="AL38" i="1"/>
  <c r="AL14" i="1"/>
  <c r="AL68" i="1"/>
  <c r="AL862" i="2"/>
  <c r="AL113" i="1"/>
  <c r="AO606" i="2"/>
  <c r="M75" i="4"/>
  <c r="M84" i="4" s="1"/>
  <c r="M947" i="2"/>
  <c r="M887" i="2"/>
  <c r="N68" i="4"/>
  <c r="AN627" i="2"/>
  <c r="AO626" i="2"/>
  <c r="M239" i="4"/>
  <c r="M232" i="4"/>
  <c r="O990" i="2"/>
  <c r="AO499" i="2"/>
  <c r="AP495" i="2"/>
  <c r="AM313" i="4"/>
  <c r="AM464" i="2"/>
  <c r="AP111" i="4"/>
  <c r="M190" i="4"/>
  <c r="M183" i="4"/>
  <c r="AK178" i="4"/>
  <c r="AL131" i="1"/>
  <c r="R88" i="4"/>
  <c r="R981" i="2"/>
  <c r="R976" i="2" s="1"/>
  <c r="S77" i="10"/>
  <c r="AM317" i="4"/>
  <c r="AN146" i="1"/>
  <c r="N228" i="4"/>
  <c r="N125" i="4"/>
  <c r="N128" i="4" s="1"/>
  <c r="N948" i="2" s="1"/>
  <c r="N277" i="4"/>
  <c r="N180" i="4"/>
  <c r="N67" i="4"/>
  <c r="AO656" i="2"/>
  <c r="AO657" i="2" s="1"/>
  <c r="AN226" i="4"/>
  <c r="AO120" i="1"/>
  <c r="AM491" i="2"/>
  <c r="AM13" i="4" s="1"/>
  <c r="AN487" i="2"/>
  <c r="X71" i="10"/>
  <c r="X72" i="10" s="1"/>
  <c r="AO673" i="2"/>
  <c r="AP672" i="2"/>
  <c r="AP593" i="2"/>
  <c r="AO644" i="2"/>
  <c r="L255" i="4"/>
  <c r="AN29" i="1"/>
  <c r="AN27" i="1"/>
  <c r="AO26" i="1"/>
  <c r="AN28" i="1"/>
  <c r="R85" i="10"/>
  <c r="R20" i="4"/>
  <c r="AM47" i="4"/>
  <c r="AN651" i="2"/>
  <c r="AO650" i="2"/>
  <c r="AN82" i="4"/>
  <c r="AO97" i="10"/>
  <c r="AP601" i="2"/>
  <c r="AN86" i="4"/>
  <c r="AO65" i="10"/>
  <c r="AN102" i="4"/>
  <c r="AO125" i="10"/>
  <c r="AN663" i="2"/>
  <c r="AO662" i="2"/>
  <c r="AP582" i="2"/>
  <c r="AN90" i="4"/>
  <c r="AO93" i="10"/>
  <c r="M282" i="4"/>
  <c r="M308" i="4"/>
  <c r="M306" i="4"/>
  <c r="M290" i="4"/>
  <c r="M301" i="4"/>
  <c r="O30" i="4"/>
  <c r="P327" i="4"/>
  <c r="P994" i="2"/>
  <c r="Q993" i="2" s="1"/>
  <c r="AN657" i="2"/>
  <c r="AM592" i="2"/>
  <c r="AM14" i="4" s="1"/>
  <c r="AN588" i="2"/>
  <c r="AO638" i="2"/>
  <c r="AO124" i="10"/>
  <c r="N345" i="4"/>
  <c r="S141" i="1"/>
  <c r="AO140" i="1"/>
  <c r="AN275" i="4"/>
  <c r="AO123" i="1"/>
  <c r="AO621" i="2"/>
  <c r="AM1" i="10" l="1"/>
  <c r="AM138" i="4"/>
  <c r="AM14" i="1"/>
  <c r="AM952" i="2"/>
  <c r="AM615" i="2"/>
  <c r="AM174" i="4"/>
  <c r="AM38" i="1"/>
  <c r="AM68" i="1"/>
  <c r="AM513" i="2"/>
  <c r="AM880" i="2"/>
  <c r="AM826" i="2"/>
  <c r="AM332" i="2"/>
  <c r="AM37" i="4"/>
  <c r="AM271" i="4"/>
  <c r="AM1" i="5"/>
  <c r="AM42" i="2"/>
  <c r="AM90" i="10"/>
  <c r="AM55" i="10"/>
  <c r="AM113" i="1"/>
  <c r="AM1" i="1"/>
  <c r="AM80" i="2"/>
  <c r="AM102" i="10"/>
  <c r="AM682" i="2"/>
  <c r="AM891" i="2"/>
  <c r="AM862" i="2"/>
  <c r="AM841" i="2"/>
  <c r="AM1" i="2"/>
  <c r="AM4" i="4"/>
  <c r="AM73" i="4"/>
  <c r="AM119" i="4"/>
  <c r="AM222" i="4"/>
  <c r="AM1" i="4"/>
  <c r="AM4" i="5"/>
  <c r="AM4" i="2"/>
  <c r="AC114" i="10"/>
  <c r="AC122" i="10"/>
  <c r="AQ198" i="4"/>
  <c r="AR198" i="4" s="1"/>
  <c r="AP539" i="2"/>
  <c r="AP535" i="2" s="1"/>
  <c r="AP540" i="2" s="1"/>
  <c r="AL229" i="4"/>
  <c r="AQ289" i="4"/>
  <c r="AM709" i="2"/>
  <c r="AL822" i="2"/>
  <c r="V700" i="2"/>
  <c r="U781" i="2"/>
  <c r="V799" i="2"/>
  <c r="V736" i="2"/>
  <c r="V795" i="2"/>
  <c r="V732" i="2"/>
  <c r="V784" i="2"/>
  <c r="V705" i="2"/>
  <c r="AO570" i="2"/>
  <c r="AO600" i="2" s="1"/>
  <c r="AO598" i="2" s="1"/>
  <c r="AP406" i="2"/>
  <c r="AP413" i="2" s="1"/>
  <c r="AG460" i="2"/>
  <c r="AP569" i="2"/>
  <c r="AP565" i="2" s="1"/>
  <c r="AP599" i="2" s="1"/>
  <c r="AL454" i="2"/>
  <c r="AI458" i="2"/>
  <c r="AI649" i="2" s="1"/>
  <c r="AI647" i="2" s="1"/>
  <c r="AI97" i="4" s="1"/>
  <c r="AO341" i="2"/>
  <c r="AH452" i="2"/>
  <c r="AH450" i="2" s="1"/>
  <c r="AM455" i="2"/>
  <c r="AM631" i="2" s="1"/>
  <c r="AM629" i="2" s="1"/>
  <c r="AM80" i="4" s="1"/>
  <c r="AM58" i="4"/>
  <c r="AM279" i="4" s="1"/>
  <c r="AK454" i="2"/>
  <c r="AK955" i="2" s="1"/>
  <c r="AK321" i="4" s="1"/>
  <c r="AM973" i="2"/>
  <c r="AQ422" i="2"/>
  <c r="AQ416" i="2"/>
  <c r="AQ414" i="2"/>
  <c r="AQ407" i="2"/>
  <c r="AQ409" i="2"/>
  <c r="AQ411" i="2"/>
  <c r="AO423" i="2"/>
  <c r="AO424" i="2" s="1"/>
  <c r="AO418" i="2" s="1"/>
  <c r="AN818" i="2"/>
  <c r="AN968" i="2" s="1"/>
  <c r="AP523" i="2"/>
  <c r="AP519" i="2" s="1"/>
  <c r="AP524" i="2" s="1"/>
  <c r="AP531" i="2"/>
  <c r="AP527" i="2" s="1"/>
  <c r="AN56" i="4"/>
  <c r="L51" i="7" s="1"/>
  <c r="AO797" i="2"/>
  <c r="AO790" i="2" s="1"/>
  <c r="AO53" i="4" s="1"/>
  <c r="L47" i="7"/>
  <c r="AO573" i="2"/>
  <c r="AN572" i="2"/>
  <c r="AQ294" i="2"/>
  <c r="AQ352" i="2"/>
  <c r="AQ257" i="2"/>
  <c r="AQ185" i="2"/>
  <c r="AQ112" i="2"/>
  <c r="AQ94" i="2"/>
  <c r="AQ203" i="2"/>
  <c r="AQ130" i="2"/>
  <c r="AQ276" i="2"/>
  <c r="AQ221" i="2"/>
  <c r="AQ312" i="2"/>
  <c r="AQ148" i="2"/>
  <c r="AQ239" i="2"/>
  <c r="AQ166" i="2"/>
  <c r="AQ722" i="2"/>
  <c r="AQ556" i="2"/>
  <c r="AQ548" i="2"/>
  <c r="AQ521" i="2"/>
  <c r="AQ692" i="2"/>
  <c r="AQ399" i="2"/>
  <c r="AQ378" i="2"/>
  <c r="AQ567" i="2"/>
  <c r="AQ537" i="2"/>
  <c r="AQ529" i="2"/>
  <c r="AQ442" i="2"/>
  <c r="AQ750" i="2"/>
  <c r="AR72" i="1"/>
  <c r="AO574" i="2"/>
  <c r="AP708" i="2"/>
  <c r="AP789" i="2" s="1"/>
  <c r="AP702" i="2"/>
  <c r="AP782" i="2" s="1"/>
  <c r="AP739" i="2"/>
  <c r="AP733" i="2"/>
  <c r="AN817" i="2"/>
  <c r="AO804" i="2"/>
  <c r="AO962" i="2" s="1"/>
  <c r="AO776" i="2"/>
  <c r="AP767" i="2"/>
  <c r="AP761" i="2"/>
  <c r="AM229" i="4"/>
  <c r="AP550" i="2"/>
  <c r="AP546" i="2" s="1"/>
  <c r="AP551" i="2" s="1"/>
  <c r="AM611" i="2"/>
  <c r="AN965" i="2"/>
  <c r="AP427" i="2"/>
  <c r="AP428" i="2" s="1"/>
  <c r="AP435" i="2" s="1"/>
  <c r="AP445" i="2" s="1"/>
  <c r="AP446" i="2" s="1"/>
  <c r="AP440" i="2" s="1"/>
  <c r="AO587" i="2"/>
  <c r="AN597" i="2"/>
  <c r="AP558" i="2"/>
  <c r="AP554" i="2" s="1"/>
  <c r="AP559" i="2" s="1"/>
  <c r="AN585" i="2"/>
  <c r="AP304" i="2"/>
  <c r="AP305" i="2" s="1"/>
  <c r="AO586" i="2"/>
  <c r="AP337" i="2"/>
  <c r="AJ372" i="2"/>
  <c r="Q28" i="4"/>
  <c r="Q991" i="2" s="1"/>
  <c r="R145" i="4"/>
  <c r="AK143" i="4"/>
  <c r="AA934" i="2"/>
  <c r="Z109" i="4"/>
  <c r="Z122" i="4"/>
  <c r="Y959" i="2"/>
  <c r="Y960" i="2" s="1"/>
  <c r="Y323" i="4" s="1"/>
  <c r="Y324" i="4"/>
  <c r="W1007" i="2"/>
  <c r="W1008" i="2" s="1"/>
  <c r="W1002" i="2" s="1"/>
  <c r="AA945" i="2"/>
  <c r="AA25" i="4" s="1"/>
  <c r="AA44" i="4"/>
  <c r="AB923" i="2"/>
  <c r="AC922" i="2" s="1"/>
  <c r="AB937" i="2"/>
  <c r="AB21" i="4" s="1"/>
  <c r="I18" i="7" s="1"/>
  <c r="Y974" i="2"/>
  <c r="X1009" i="2"/>
  <c r="X1000" i="2"/>
  <c r="X997" i="2" s="1"/>
  <c r="X1005" i="2"/>
  <c r="AP213" i="2"/>
  <c r="AP214" i="2" s="1"/>
  <c r="AA109" i="4"/>
  <c r="AA122" i="4"/>
  <c r="Y26" i="4"/>
  <c r="Y871" i="2"/>
  <c r="Y46" i="4" s="1"/>
  <c r="AF903" i="2"/>
  <c r="X913" i="2"/>
  <c r="X944" i="2"/>
  <c r="AQ931" i="2"/>
  <c r="AQ932" i="2" s="1"/>
  <c r="AQ924" i="2"/>
  <c r="AQ905" i="2"/>
  <c r="AP268" i="2"/>
  <c r="AP269" i="2" s="1"/>
  <c r="AK42" i="4"/>
  <c r="AM608" i="2"/>
  <c r="AL610" i="2"/>
  <c r="AP231" i="2"/>
  <c r="AP232" i="2" s="1"/>
  <c r="AQ568" i="2"/>
  <c r="AQ557" i="2"/>
  <c r="AQ549" i="2"/>
  <c r="AP195" i="2"/>
  <c r="AP196" i="2" s="1"/>
  <c r="AP249" i="2"/>
  <c r="AP250" i="2" s="1"/>
  <c r="AM575" i="2"/>
  <c r="AL579" i="2"/>
  <c r="AL10" i="4" s="1"/>
  <c r="AL143" i="4" s="1"/>
  <c r="AM580" i="2"/>
  <c r="AL584" i="2"/>
  <c r="AP470" i="2"/>
  <c r="AP471" i="2" s="1"/>
  <c r="AQ538" i="2"/>
  <c r="AQ530" i="2"/>
  <c r="AQ522" i="2"/>
  <c r="AP177" i="2"/>
  <c r="AP178" i="2" s="1"/>
  <c r="AP86" i="2"/>
  <c r="AP87" i="2" s="1"/>
  <c r="AM345" i="2"/>
  <c r="AM355" i="2" s="1"/>
  <c r="AK356" i="2"/>
  <c r="AL356" i="2"/>
  <c r="AQ444" i="2"/>
  <c r="AQ433" i="2"/>
  <c r="AQ431" i="2"/>
  <c r="AQ429" i="2"/>
  <c r="AQ426" i="2"/>
  <c r="AQ438" i="2"/>
  <c r="AQ436" i="2"/>
  <c r="AP104" i="2"/>
  <c r="AP105" i="2" s="1"/>
  <c r="AP158" i="2"/>
  <c r="AP159" i="2" s="1"/>
  <c r="AN339" i="2"/>
  <c r="AQ401" i="2"/>
  <c r="AQ18" i="2"/>
  <c r="AQ21" i="2"/>
  <c r="AQ388" i="2"/>
  <c r="AQ20" i="2"/>
  <c r="AQ395" i="2"/>
  <c r="AQ19" i="2"/>
  <c r="AQ17" i="2"/>
  <c r="AQ390" i="2"/>
  <c r="AQ393" i="2"/>
  <c r="AQ386" i="2"/>
  <c r="AO30" i="2"/>
  <c r="AP26" i="2"/>
  <c r="AP34" i="2"/>
  <c r="AP385" i="2"/>
  <c r="AP392" i="2" s="1"/>
  <c r="AP27" i="2"/>
  <c r="AP35" i="2"/>
  <c r="AP25" i="2"/>
  <c r="AP22" i="2"/>
  <c r="AP33" i="2"/>
  <c r="AP29" i="2"/>
  <c r="AP37" i="2"/>
  <c r="AO402" i="2"/>
  <c r="AO403" i="2" s="1"/>
  <c r="AO397" i="2" s="1"/>
  <c r="AP28" i="2"/>
  <c r="AP36" i="2"/>
  <c r="AO38" i="2"/>
  <c r="AO336" i="2" s="1"/>
  <c r="AO338" i="2" s="1"/>
  <c r="AO451" i="2" s="1"/>
  <c r="AP286" i="2"/>
  <c r="AP287" i="2" s="1"/>
  <c r="AK348" i="2"/>
  <c r="AJ350" i="2"/>
  <c r="AO762" i="2"/>
  <c r="AM346" i="2"/>
  <c r="AQ354" i="2"/>
  <c r="AQ343" i="2"/>
  <c r="AP140" i="2"/>
  <c r="AP141" i="2" s="1"/>
  <c r="AO763" i="2"/>
  <c r="AO764" i="2" s="1"/>
  <c r="AP763" i="2" s="1"/>
  <c r="AP764" i="2" s="1"/>
  <c r="AO768" i="2"/>
  <c r="AJ8" i="4"/>
  <c r="K7" i="7" s="1"/>
  <c r="AO794" i="2"/>
  <c r="AO671" i="2" s="1"/>
  <c r="AO670" i="2" s="1"/>
  <c r="AO98" i="4" s="1"/>
  <c r="AP364" i="2"/>
  <c r="AK382" i="2"/>
  <c r="AL382" i="2"/>
  <c r="AN369" i="2"/>
  <c r="AN456" i="2" s="1"/>
  <c r="AI655" i="2"/>
  <c r="AJ374" i="2"/>
  <c r="AJ459" i="2" s="1"/>
  <c r="AI376" i="2"/>
  <c r="AI452" i="2" s="1"/>
  <c r="AN365" i="2"/>
  <c r="AM371" i="2"/>
  <c r="AN367" i="2"/>
  <c r="AN457" i="2" s="1"/>
  <c r="AH655" i="2"/>
  <c r="AI142" i="4"/>
  <c r="AI167" i="4"/>
  <c r="AI7" i="4"/>
  <c r="AJ964" i="2"/>
  <c r="AQ380" i="2"/>
  <c r="AL483" i="2"/>
  <c r="AL9" i="4" s="1"/>
  <c r="AL508" i="2"/>
  <c r="AL41" i="4" s="1"/>
  <c r="AM479" i="2"/>
  <c r="AL643" i="2"/>
  <c r="AL641" i="2" s="1"/>
  <c r="AL78" i="4" s="1"/>
  <c r="AL166" i="4" s="1"/>
  <c r="AM504" i="2"/>
  <c r="AM661" i="2" s="1"/>
  <c r="AM659" i="2" s="1"/>
  <c r="AM100" i="4" s="1"/>
  <c r="AP758" i="2"/>
  <c r="AK144" i="4"/>
  <c r="AM500" i="2"/>
  <c r="AP501" i="2"/>
  <c r="AP757" i="2"/>
  <c r="AN476" i="2"/>
  <c r="AN502" i="2"/>
  <c r="AM509" i="2"/>
  <c r="AM986" i="2" s="1"/>
  <c r="AM331" i="4" s="1"/>
  <c r="AM481" i="2"/>
  <c r="AL637" i="2"/>
  <c r="AL635" i="2" s="1"/>
  <c r="AL79" i="4" s="1"/>
  <c r="AO472" i="2"/>
  <c r="AO478" i="2" s="1"/>
  <c r="AO503" i="2" s="1"/>
  <c r="AO477" i="2"/>
  <c r="AN984" i="2"/>
  <c r="AN332" i="4" s="1"/>
  <c r="AN506" i="2"/>
  <c r="AN985" i="2" s="1"/>
  <c r="AQ744" i="2"/>
  <c r="AQ755" i="2" s="1"/>
  <c r="AQ474" i="2"/>
  <c r="AQ501" i="2"/>
  <c r="AO91" i="4"/>
  <c r="AP697" i="2"/>
  <c r="AP703" i="2" s="1"/>
  <c r="AP783" i="2" s="1"/>
  <c r="AN798" i="2"/>
  <c r="AN970" i="2" s="1"/>
  <c r="AP762" i="2"/>
  <c r="AP759" i="2"/>
  <c r="AP760" i="2" s="1"/>
  <c r="AM322" i="2"/>
  <c r="AP122" i="2"/>
  <c r="AP123" i="2" s="1"/>
  <c r="AQ689" i="2"/>
  <c r="AQ698" i="2" s="1"/>
  <c r="AQ778" i="2" s="1"/>
  <c r="AQ716" i="2"/>
  <c r="AP727" i="2"/>
  <c r="AP729" i="2"/>
  <c r="AP730" i="2"/>
  <c r="AM237" i="2"/>
  <c r="AO740" i="2"/>
  <c r="AP698" i="2"/>
  <c r="AP778" i="2" s="1"/>
  <c r="AO734" i="2"/>
  <c r="AN270" i="2"/>
  <c r="AM274" i="2"/>
  <c r="AN317" i="2"/>
  <c r="AN306" i="2" s="1"/>
  <c r="AN215" i="2"/>
  <c r="AN179" i="2"/>
  <c r="AN142" i="2"/>
  <c r="AN124" i="2"/>
  <c r="AN233" i="2"/>
  <c r="AN106" i="2"/>
  <c r="AO316" i="2"/>
  <c r="AO317" i="2" s="1"/>
  <c r="AN160" i="2"/>
  <c r="AN288" i="2"/>
  <c r="AK326" i="2"/>
  <c r="AK961" i="2" s="1"/>
  <c r="AI39" i="4"/>
  <c r="AN327" i="2"/>
  <c r="AN954" i="2" s="1"/>
  <c r="AN320" i="4" s="1"/>
  <c r="AL325" i="2"/>
  <c r="AO321" i="2"/>
  <c r="AO6" i="4" s="1"/>
  <c r="AM318" i="2"/>
  <c r="AN308" i="2"/>
  <c r="AO280" i="2"/>
  <c r="AO281" i="2" s="1"/>
  <c r="AM300" i="2"/>
  <c r="AN290" i="2"/>
  <c r="AO298" i="2"/>
  <c r="AM282" i="2"/>
  <c r="AN272" i="2"/>
  <c r="AM292" i="2"/>
  <c r="AQ297" i="2"/>
  <c r="AQ302" i="2"/>
  <c r="AQ279" i="2"/>
  <c r="AQ266" i="2"/>
  <c r="AQ284" i="2"/>
  <c r="AQ315" i="2"/>
  <c r="AM310" i="2"/>
  <c r="AJ76" i="4"/>
  <c r="AJ165" i="4" s="1"/>
  <c r="AN99" i="2"/>
  <c r="AK619" i="2"/>
  <c r="AK617" i="2" s="1"/>
  <c r="AK92" i="2"/>
  <c r="AL88" i="2"/>
  <c r="AL324" i="2" s="1"/>
  <c r="AJ328" i="2"/>
  <c r="AO225" i="2"/>
  <c r="AO226" i="2" s="1"/>
  <c r="AN208" i="2"/>
  <c r="AN197" i="2" s="1"/>
  <c r="AL191" i="2"/>
  <c r="AM181" i="2"/>
  <c r="AO243" i="2"/>
  <c r="AO244" i="2" s="1"/>
  <c r="AO207" i="2"/>
  <c r="AO208" i="2" s="1"/>
  <c r="AN262" i="2"/>
  <c r="AN251" i="2" s="1"/>
  <c r="AL227" i="2"/>
  <c r="AM217" i="2"/>
  <c r="AL219" i="2"/>
  <c r="AL263" i="2"/>
  <c r="AM253" i="2"/>
  <c r="AQ247" i="2"/>
  <c r="AQ260" i="2"/>
  <c r="AQ242" i="2"/>
  <c r="AQ211" i="2"/>
  <c r="AQ229" i="2"/>
  <c r="AQ224" i="2"/>
  <c r="AQ193" i="2"/>
  <c r="AQ206" i="2"/>
  <c r="AQ175" i="2"/>
  <c r="AQ188" i="2"/>
  <c r="AO189" i="2"/>
  <c r="AO190" i="2" s="1"/>
  <c r="AO261" i="2"/>
  <c r="AO262" i="2" s="1"/>
  <c r="AL209" i="2"/>
  <c r="AM199" i="2"/>
  <c r="AL201" i="2"/>
  <c r="AL255" i="2"/>
  <c r="AM245" i="2"/>
  <c r="AN235" i="2"/>
  <c r="AJ625" i="2"/>
  <c r="AJ623" i="2" s="1"/>
  <c r="AJ39" i="4"/>
  <c r="AN146" i="4"/>
  <c r="AN141" i="4"/>
  <c r="AO116" i="2"/>
  <c r="AM154" i="2"/>
  <c r="AN144" i="2"/>
  <c r="AM146" i="2"/>
  <c r="AO152" i="2"/>
  <c r="AO153" i="2" s="1"/>
  <c r="AL118" i="2"/>
  <c r="AM108" i="2"/>
  <c r="AL110" i="2"/>
  <c r="AL172" i="2"/>
  <c r="AM162" i="2"/>
  <c r="AL164" i="2"/>
  <c r="AL136" i="2"/>
  <c r="AM126" i="2"/>
  <c r="AO134" i="2"/>
  <c r="AO135" i="2" s="1"/>
  <c r="AL128" i="2"/>
  <c r="AQ156" i="2"/>
  <c r="AQ169" i="2"/>
  <c r="AQ151" i="2"/>
  <c r="AQ138" i="2"/>
  <c r="AQ120" i="2"/>
  <c r="AQ115" i="2"/>
  <c r="AQ102" i="2"/>
  <c r="AQ133" i="2"/>
  <c r="AO170" i="2"/>
  <c r="AO171" i="2" s="1"/>
  <c r="AQ84" i="2"/>
  <c r="AQ97" i="2"/>
  <c r="AM100" i="2"/>
  <c r="AN90" i="2"/>
  <c r="AO98" i="2"/>
  <c r="AQ603" i="2"/>
  <c r="AQ59" i="1"/>
  <c r="AT87" i="1"/>
  <c r="AS91" i="1"/>
  <c r="AD120" i="10"/>
  <c r="AE107" i="10"/>
  <c r="AE118" i="10" s="1"/>
  <c r="AS49" i="1"/>
  <c r="AS48" i="1"/>
  <c r="AS47" i="1"/>
  <c r="AS50" i="1"/>
  <c r="AT43" i="1"/>
  <c r="AS288" i="4"/>
  <c r="AS246" i="4"/>
  <c r="AS197" i="4"/>
  <c r="AR2" i="5"/>
  <c r="AR2" i="4"/>
  <c r="AR83" i="4" s="1"/>
  <c r="AR2" i="2"/>
  <c r="AR2" i="10"/>
  <c r="AR2" i="1"/>
  <c r="AR45" i="1" s="1"/>
  <c r="AS25" i="1"/>
  <c r="AR141" i="1"/>
  <c r="AQ883" i="2"/>
  <c r="AQ590" i="2"/>
  <c r="AQ489" i="2"/>
  <c r="AV86" i="1"/>
  <c r="AE116" i="10"/>
  <c r="AE112" i="10"/>
  <c r="AE110" i="10" s="1"/>
  <c r="AN34" i="1"/>
  <c r="AN55" i="2" s="1"/>
  <c r="AU81" i="1"/>
  <c r="AV79" i="1"/>
  <c r="AV81" i="1" s="1"/>
  <c r="AQ294" i="4"/>
  <c r="AQ203" i="4"/>
  <c r="AQ236" i="4"/>
  <c r="AQ252" i="4"/>
  <c r="AQ187" i="4"/>
  <c r="AQ247" i="4"/>
  <c r="AQ497" i="2"/>
  <c r="AQ595" i="2"/>
  <c r="AQ577" i="2"/>
  <c r="AQ103" i="4"/>
  <c r="AQ92" i="4"/>
  <c r="AQ13" i="2"/>
  <c r="AQ157" i="2" s="1"/>
  <c r="AQ12" i="2"/>
  <c r="AQ121" i="2" s="1"/>
  <c r="AQ14" i="2"/>
  <c r="AQ139" i="2" s="1"/>
  <c r="AQ44" i="1"/>
  <c r="AQ108" i="4"/>
  <c r="AP858" i="2"/>
  <c r="AQ857" i="2"/>
  <c r="AQ856" i="2" s="1"/>
  <c r="AQ850" i="2"/>
  <c r="AR849" i="2"/>
  <c r="AR848" i="2" s="1"/>
  <c r="AR54" i="1"/>
  <c r="AQ55" i="1"/>
  <c r="AQ53" i="1" s="1"/>
  <c r="P995" i="2"/>
  <c r="P988" i="2" s="1"/>
  <c r="AS62" i="10"/>
  <c r="AS57" i="10"/>
  <c r="M95" i="4"/>
  <c r="M117" i="4" s="1"/>
  <c r="M163" i="4"/>
  <c r="AN47" i="4"/>
  <c r="L42" i="7" s="1"/>
  <c r="AP638" i="2"/>
  <c r="AP639" i="2" s="1"/>
  <c r="AO226" i="4"/>
  <c r="AP120" i="1"/>
  <c r="R141" i="1"/>
  <c r="AP140" i="1"/>
  <c r="Y70" i="10"/>
  <c r="AP656" i="2"/>
  <c r="AP657" i="2" s="1"/>
  <c r="M217" i="4"/>
  <c r="M215" i="4"/>
  <c r="M210" i="4"/>
  <c r="M199" i="4"/>
  <c r="M191" i="4"/>
  <c r="M233" i="4"/>
  <c r="AP632" i="2"/>
  <c r="AP633" i="2" s="1"/>
  <c r="O99" i="4"/>
  <c r="O104" i="4" s="1"/>
  <c r="O676" i="2"/>
  <c r="O677" i="2" s="1"/>
  <c r="O678" i="2" s="1"/>
  <c r="AP124" i="10"/>
  <c r="AO639" i="2"/>
  <c r="AP621" i="2"/>
  <c r="AO102" i="4"/>
  <c r="AP125" i="10"/>
  <c r="AQ593" i="2"/>
  <c r="AQ111" i="4"/>
  <c r="M259" i="4"/>
  <c r="M240" i="4"/>
  <c r="M266" i="4"/>
  <c r="M264" i="4"/>
  <c r="M248" i="4"/>
  <c r="M309" i="4"/>
  <c r="AQ601" i="2"/>
  <c r="AO651" i="2"/>
  <c r="AP650" i="2"/>
  <c r="R86" i="10"/>
  <c r="AN491" i="2"/>
  <c r="AN13" i="4" s="1"/>
  <c r="AO487" i="2"/>
  <c r="N69" i="4"/>
  <c r="R16" i="4"/>
  <c r="R330" i="4"/>
  <c r="R977" i="2"/>
  <c r="R978" i="2" s="1"/>
  <c r="AO627" i="2"/>
  <c r="AP626" i="2"/>
  <c r="AO668" i="2"/>
  <c r="AP667" i="2"/>
  <c r="AP499" i="2"/>
  <c r="AQ495" i="2"/>
  <c r="M302" i="4"/>
  <c r="AN317" i="4"/>
  <c r="AO146" i="1"/>
  <c r="M307" i="4"/>
  <c r="S78" i="10"/>
  <c r="AO275" i="4"/>
  <c r="AP123" i="1"/>
  <c r="N346" i="4"/>
  <c r="M283" i="4"/>
  <c r="N179" i="4"/>
  <c r="AO86" i="4"/>
  <c r="AP65" i="10"/>
  <c r="AP644" i="2"/>
  <c r="AP645" i="2" s="1"/>
  <c r="AO663" i="2"/>
  <c r="AP662" i="2"/>
  <c r="AO82" i="4"/>
  <c r="AP97" i="10"/>
  <c r="N227" i="4"/>
  <c r="O325" i="4"/>
  <c r="O1012" i="2"/>
  <c r="AN592" i="2"/>
  <c r="AN14" i="4" s="1"/>
  <c r="L12" i="7" s="1"/>
  <c r="AO588" i="2"/>
  <c r="M184" i="4"/>
  <c r="O151" i="4"/>
  <c r="O33" i="4"/>
  <c r="O112" i="4"/>
  <c r="O114" i="4" s="1"/>
  <c r="AO90" i="4"/>
  <c r="AP93" i="10"/>
  <c r="AQ582" i="2"/>
  <c r="AO29" i="1"/>
  <c r="AO27" i="1"/>
  <c r="AP26" i="1"/>
  <c r="AO28" i="1"/>
  <c r="AO645" i="2"/>
  <c r="AP673" i="2"/>
  <c r="AQ672" i="2"/>
  <c r="N276" i="4"/>
  <c r="AL178" i="4"/>
  <c r="AM131" i="1"/>
  <c r="AP606" i="2"/>
  <c r="AQ539" i="2" l="1"/>
  <c r="AQ535" i="2" s="1"/>
  <c r="AM182" i="4"/>
  <c r="V780" i="2"/>
  <c r="V701" i="2"/>
  <c r="AN709" i="2"/>
  <c r="AM822" i="2"/>
  <c r="V785" i="2"/>
  <c r="W704" i="2"/>
  <c r="V796" i="2"/>
  <c r="W731" i="2"/>
  <c r="V800" i="2"/>
  <c r="W735" i="2"/>
  <c r="U87" i="4"/>
  <c r="U979" i="2"/>
  <c r="AP570" i="2"/>
  <c r="AP600" i="2" s="1"/>
  <c r="AP598" i="2" s="1"/>
  <c r="AQ569" i="2"/>
  <c r="AQ565" i="2" s="1"/>
  <c r="AQ570" i="2" s="1"/>
  <c r="AQ600" i="2" s="1"/>
  <c r="AL453" i="2"/>
  <c r="AL964" i="2" s="1"/>
  <c r="AK453" i="2"/>
  <c r="AK964" i="2" s="1"/>
  <c r="AH40" i="4"/>
  <c r="AH460" i="2"/>
  <c r="AP341" i="2"/>
  <c r="AN455" i="2"/>
  <c r="AN631" i="2" s="1"/>
  <c r="AN629" i="2" s="1"/>
  <c r="AN80" i="4" s="1"/>
  <c r="AJ458" i="2"/>
  <c r="AJ649" i="2" s="1"/>
  <c r="AJ647" i="2" s="1"/>
  <c r="AJ97" i="4" s="1"/>
  <c r="AQ406" i="2"/>
  <c r="AQ413" i="2" s="1"/>
  <c r="AR422" i="2"/>
  <c r="AR405" i="2"/>
  <c r="AR416" i="2"/>
  <c r="AR414" i="2"/>
  <c r="AR409" i="2"/>
  <c r="AR407" i="2"/>
  <c r="AR411" i="2"/>
  <c r="AQ523" i="2"/>
  <c r="AQ519" i="2" s="1"/>
  <c r="AQ524" i="2" s="1"/>
  <c r="AN973" i="2"/>
  <c r="AP423" i="2"/>
  <c r="AP424" i="2" s="1"/>
  <c r="AP418" i="2" s="1"/>
  <c r="AP573" i="2"/>
  <c r="AP532" i="2"/>
  <c r="AP574" i="2" s="1"/>
  <c r="AQ531" i="2"/>
  <c r="AQ527" i="2" s="1"/>
  <c r="AQ532" i="2" s="1"/>
  <c r="AN58" i="4"/>
  <c r="AN182" i="4" s="1"/>
  <c r="AO56" i="4"/>
  <c r="AO818" i="2"/>
  <c r="AO968" i="2" s="1"/>
  <c r="AQ540" i="2"/>
  <c r="AP797" i="2"/>
  <c r="AP790" i="2" s="1"/>
  <c r="AP53" i="4" s="1"/>
  <c r="AO572" i="2"/>
  <c r="AN611" i="2"/>
  <c r="AQ550" i="2"/>
  <c r="AQ546" i="2" s="1"/>
  <c r="AQ551" i="2" s="1"/>
  <c r="AO965" i="2"/>
  <c r="AO52" i="4"/>
  <c r="AO817" i="2"/>
  <c r="AP804" i="2"/>
  <c r="AP962" i="2" s="1"/>
  <c r="AP776" i="2"/>
  <c r="AR294" i="2"/>
  <c r="AR221" i="2"/>
  <c r="AR276" i="2"/>
  <c r="AR312" i="2"/>
  <c r="AR257" i="2"/>
  <c r="AR352" i="2"/>
  <c r="AR148" i="2"/>
  <c r="AR239" i="2"/>
  <c r="AR166" i="2"/>
  <c r="AR203" i="2"/>
  <c r="AR185" i="2"/>
  <c r="AR130" i="2"/>
  <c r="AR112" i="2"/>
  <c r="AR94" i="2"/>
  <c r="AR548" i="2"/>
  <c r="AR399" i="2"/>
  <c r="AR378" i="2"/>
  <c r="AR567" i="2"/>
  <c r="AR556" i="2"/>
  <c r="AR537" i="2"/>
  <c r="AR521" i="2"/>
  <c r="AR692" i="2"/>
  <c r="AR442" i="2"/>
  <c r="AR750" i="2"/>
  <c r="AR529" i="2"/>
  <c r="AR722" i="2"/>
  <c r="AS72" i="1"/>
  <c r="AQ708" i="2"/>
  <c r="AQ789" i="2" s="1"/>
  <c r="AQ702" i="2"/>
  <c r="AQ782" i="2" s="1"/>
  <c r="AQ767" i="2"/>
  <c r="AQ761" i="2"/>
  <c r="AQ739" i="2"/>
  <c r="AQ733" i="2"/>
  <c r="AQ427" i="2"/>
  <c r="AQ428" i="2" s="1"/>
  <c r="AQ435" i="2" s="1"/>
  <c r="AQ445" i="2" s="1"/>
  <c r="AP587" i="2"/>
  <c r="AP586" i="2"/>
  <c r="AO597" i="2"/>
  <c r="AQ558" i="2"/>
  <c r="AQ554" i="2" s="1"/>
  <c r="AQ559" i="2" s="1"/>
  <c r="AO585" i="2"/>
  <c r="AQ304" i="2"/>
  <c r="AQ305" i="2" s="1"/>
  <c r="AQ337" i="2"/>
  <c r="AK372" i="2"/>
  <c r="K34" i="7"/>
  <c r="AI11" i="4"/>
  <c r="R148" i="4"/>
  <c r="AQ213" i="2"/>
  <c r="AQ214" i="2" s="1"/>
  <c r="X1006" i="2"/>
  <c r="X1007" i="2" s="1"/>
  <c r="X1008" i="2" s="1"/>
  <c r="X1002" i="2" s="1"/>
  <c r="Z869" i="2"/>
  <c r="Z873" i="2" s="1"/>
  <c r="Z963" i="2" s="1"/>
  <c r="Z972" i="2" s="1"/>
  <c r="Z958" i="2" s="1"/>
  <c r="Z872" i="2"/>
  <c r="AC923" i="2"/>
  <c r="AC921" i="2" s="1"/>
  <c r="AC937" i="2"/>
  <c r="AC21" i="4" s="1"/>
  <c r="AA126" i="4"/>
  <c r="AA181" i="4"/>
  <c r="AA278" i="4"/>
  <c r="W1003" i="2"/>
  <c r="W1004" i="2" s="1"/>
  <c r="W335" i="4" s="1"/>
  <c r="W336" i="4"/>
  <c r="X998" i="2"/>
  <c r="X999" i="2" s="1"/>
  <c r="X333" i="4" s="1"/>
  <c r="X334" i="4"/>
  <c r="AA869" i="2"/>
  <c r="AA873" i="2" s="1"/>
  <c r="AA963" i="2" s="1"/>
  <c r="AA972" i="2" s="1"/>
  <c r="AA958" i="2" s="1"/>
  <c r="AA872" i="2"/>
  <c r="Y1009" i="2"/>
  <c r="Y1000" i="2"/>
  <c r="Y997" i="2" s="1"/>
  <c r="Y1005" i="2"/>
  <c r="AB921" i="2"/>
  <c r="AB938" i="2"/>
  <c r="AB44" i="4" s="1"/>
  <c r="I39" i="7" s="1"/>
  <c r="Y81" i="4"/>
  <c r="AQ231" i="2"/>
  <c r="AQ232" i="2" s="1"/>
  <c r="AL42" i="4"/>
  <c r="X943" i="2"/>
  <c r="Y912" i="2"/>
  <c r="AF904" i="2"/>
  <c r="AF902" i="2" s="1"/>
  <c r="AQ268" i="2"/>
  <c r="AQ269" i="2" s="1"/>
  <c r="AR905" i="2"/>
  <c r="AR924" i="2"/>
  <c r="AR931" i="2"/>
  <c r="AR932" i="2" s="1"/>
  <c r="AP605" i="2"/>
  <c r="AP15" i="4" s="1"/>
  <c r="AN608" i="2"/>
  <c r="AM610" i="2"/>
  <c r="AR568" i="2"/>
  <c r="AQ195" i="2"/>
  <c r="AQ196" i="2" s="1"/>
  <c r="AR557" i="2"/>
  <c r="AR549" i="2"/>
  <c r="AQ249" i="2"/>
  <c r="AQ250" i="2" s="1"/>
  <c r="AQ470" i="2"/>
  <c r="AQ471" i="2" s="1"/>
  <c r="AQ86" i="2"/>
  <c r="AQ87" i="2" s="1"/>
  <c r="AM584" i="2"/>
  <c r="AN580" i="2"/>
  <c r="AN575" i="2"/>
  <c r="AM579" i="2"/>
  <c r="AM10" i="4" s="1"/>
  <c r="AM143" i="4" s="1"/>
  <c r="AQ177" i="2"/>
  <c r="AQ178" i="2" s="1"/>
  <c r="AR538" i="2"/>
  <c r="AR539" i="2" s="1"/>
  <c r="AR535" i="2" s="1"/>
  <c r="AR540" i="2" s="1"/>
  <c r="AR530" i="2"/>
  <c r="AR522" i="2"/>
  <c r="AQ158" i="2"/>
  <c r="AQ159" i="2" s="1"/>
  <c r="AM356" i="2"/>
  <c r="AN345" i="2"/>
  <c r="AN355" i="2" s="1"/>
  <c r="AR444" i="2"/>
  <c r="AR436" i="2"/>
  <c r="AR431" i="2"/>
  <c r="AR438" i="2"/>
  <c r="AR426" i="2"/>
  <c r="AR429" i="2"/>
  <c r="AR433" i="2"/>
  <c r="AQ104" i="2"/>
  <c r="AQ105" i="2" s="1"/>
  <c r="AK449" i="2"/>
  <c r="AK8" i="4" s="1"/>
  <c r="AQ385" i="2"/>
  <c r="AQ392" i="2" s="1"/>
  <c r="AO339" i="2"/>
  <c r="AP38" i="2"/>
  <c r="AP336" i="2" s="1"/>
  <c r="AP338" i="2" s="1"/>
  <c r="AP451" i="2" s="1"/>
  <c r="AP402" i="2"/>
  <c r="AP403" i="2" s="1"/>
  <c r="AP397" i="2" s="1"/>
  <c r="AQ27" i="2"/>
  <c r="AQ35" i="2"/>
  <c r="AQ28" i="2"/>
  <c r="AQ36" i="2"/>
  <c r="AP30" i="2"/>
  <c r="AQ26" i="2"/>
  <c r="AQ34" i="2"/>
  <c r="AR401" i="2"/>
  <c r="AR17" i="2"/>
  <c r="AR388" i="2"/>
  <c r="AR18" i="2"/>
  <c r="AR21" i="2"/>
  <c r="AR386" i="2"/>
  <c r="AR20" i="2"/>
  <c r="AR390" i="2"/>
  <c r="AR19" i="2"/>
  <c r="AR395" i="2"/>
  <c r="AR393" i="2"/>
  <c r="AQ29" i="2"/>
  <c r="AQ37" i="2"/>
  <c r="AQ25" i="2"/>
  <c r="AQ22" i="2"/>
  <c r="AQ33" i="2"/>
  <c r="AQ286" i="2"/>
  <c r="AQ287" i="2" s="1"/>
  <c r="AQ140" i="2"/>
  <c r="AQ141" i="2" s="1"/>
  <c r="AO798" i="2"/>
  <c r="AO970" i="2" s="1"/>
  <c r="AN346" i="2"/>
  <c r="AI450" i="2"/>
  <c r="AI40" i="4" s="1"/>
  <c r="AL348" i="2"/>
  <c r="AK350" i="2"/>
  <c r="AR354" i="2"/>
  <c r="AR343" i="2"/>
  <c r="AP793" i="2"/>
  <c r="AP91" i="4" s="1"/>
  <c r="AQ758" i="2"/>
  <c r="AH77" i="4"/>
  <c r="AH653" i="2"/>
  <c r="AH675" i="2" s="1"/>
  <c r="AJ655" i="2"/>
  <c r="AK374" i="2"/>
  <c r="AK459" i="2" s="1"/>
  <c r="AJ142" i="4"/>
  <c r="AJ167" i="4"/>
  <c r="AJ7" i="4"/>
  <c r="AJ11" i="4" s="1"/>
  <c r="AJ376" i="2"/>
  <c r="AJ452" i="2" s="1"/>
  <c r="AO367" i="2"/>
  <c r="AO457" i="2" s="1"/>
  <c r="AI77" i="4"/>
  <c r="AI653" i="2"/>
  <c r="AI675" i="2" s="1"/>
  <c r="AM381" i="2"/>
  <c r="AM454" i="2" s="1"/>
  <c r="AO365" i="2"/>
  <c r="AN371" i="2"/>
  <c r="AL955" i="2"/>
  <c r="AL321" i="4" s="1"/>
  <c r="AL449" i="2"/>
  <c r="AO369" i="2"/>
  <c r="AO456" i="2" s="1"/>
  <c r="AP768" i="2"/>
  <c r="AR380" i="2"/>
  <c r="AR364" i="2" s="1"/>
  <c r="AQ757" i="2"/>
  <c r="AQ364" i="2"/>
  <c r="AN509" i="2"/>
  <c r="AN986" i="2" s="1"/>
  <c r="AN331" i="4" s="1"/>
  <c r="AL144" i="4"/>
  <c r="AM483" i="2"/>
  <c r="AM9" i="4" s="1"/>
  <c r="AQ122" i="2"/>
  <c r="AQ123" i="2" s="1"/>
  <c r="AO476" i="2"/>
  <c r="AO502" i="2"/>
  <c r="AM508" i="2"/>
  <c r="AM41" i="4" s="1"/>
  <c r="AO984" i="2"/>
  <c r="AO332" i="4" s="1"/>
  <c r="AO506" i="2"/>
  <c r="AO985" i="2" s="1"/>
  <c r="AP472" i="2"/>
  <c r="AP478" i="2" s="1"/>
  <c r="AP503" i="2" s="1"/>
  <c r="AP477" i="2"/>
  <c r="AM637" i="2"/>
  <c r="AM635" i="2" s="1"/>
  <c r="AM79" i="4" s="1"/>
  <c r="AN481" i="2"/>
  <c r="AN479" i="2"/>
  <c r="AM643" i="2"/>
  <c r="AM641" i="2" s="1"/>
  <c r="AM78" i="4" s="1"/>
  <c r="AM166" i="4" s="1"/>
  <c r="AN504" i="2"/>
  <c r="AN661" i="2" s="1"/>
  <c r="AN659" i="2" s="1"/>
  <c r="AN100" i="4" s="1"/>
  <c r="AN500" i="2"/>
  <c r="AQ697" i="2"/>
  <c r="AQ703" i="2" s="1"/>
  <c r="AQ783" i="2" s="1"/>
  <c r="AR744" i="2"/>
  <c r="AR757" i="2" s="1"/>
  <c r="AR474" i="2"/>
  <c r="AR501" i="2"/>
  <c r="AQ699" i="2"/>
  <c r="AQ779" i="2" s="1"/>
  <c r="AP794" i="2"/>
  <c r="AP671" i="2" s="1"/>
  <c r="AP670" i="2" s="1"/>
  <c r="AP98" i="4" s="1"/>
  <c r="AQ762" i="2"/>
  <c r="AQ763" i="2"/>
  <c r="AQ764" i="2" s="1"/>
  <c r="AQ759" i="2"/>
  <c r="AQ760" i="2" s="1"/>
  <c r="AN274" i="2"/>
  <c r="AP740" i="2"/>
  <c r="AP734" i="2"/>
  <c r="AP798" i="2" s="1"/>
  <c r="AP970" i="2" s="1"/>
  <c r="AR689" i="2"/>
  <c r="AR697" i="2" s="1"/>
  <c r="AR716" i="2"/>
  <c r="AQ727" i="2"/>
  <c r="AQ730" i="2"/>
  <c r="AQ729" i="2"/>
  <c r="AO306" i="2"/>
  <c r="AO251" i="2"/>
  <c r="AO197" i="2"/>
  <c r="AO233" i="2"/>
  <c r="AO270" i="2"/>
  <c r="AP134" i="2"/>
  <c r="AP135" i="2" s="1"/>
  <c r="AO142" i="2"/>
  <c r="AO160" i="2"/>
  <c r="AN237" i="2"/>
  <c r="AO215" i="2"/>
  <c r="AO124" i="2"/>
  <c r="AO179" i="2"/>
  <c r="AP116" i="2"/>
  <c r="AP117" i="2" s="1"/>
  <c r="AP316" i="2"/>
  <c r="AP317" i="2" s="1"/>
  <c r="AM325" i="2"/>
  <c r="AL326" i="2"/>
  <c r="AL625" i="2" s="1"/>
  <c r="AK323" i="2"/>
  <c r="AK39" i="4" s="1"/>
  <c r="AO327" i="2"/>
  <c r="AO954" i="2" s="1"/>
  <c r="AO320" i="4" s="1"/>
  <c r="AP321" i="2"/>
  <c r="AP6" i="4" s="1"/>
  <c r="AN322" i="2"/>
  <c r="AN318" i="2"/>
  <c r="AO308" i="2"/>
  <c r="AN310" i="2"/>
  <c r="AN300" i="2"/>
  <c r="AO290" i="2"/>
  <c r="AN292" i="2"/>
  <c r="AP298" i="2"/>
  <c r="AP299" i="2" s="1"/>
  <c r="AN282" i="2"/>
  <c r="AO272" i="2"/>
  <c r="AP280" i="2"/>
  <c r="AO299" i="2"/>
  <c r="AO288" i="2" s="1"/>
  <c r="AR297" i="2"/>
  <c r="AR302" i="2"/>
  <c r="AR315" i="2"/>
  <c r="AR284" i="2"/>
  <c r="AR279" i="2"/>
  <c r="AR266" i="2"/>
  <c r="AK76" i="4"/>
  <c r="AK165" i="4" s="1"/>
  <c r="AL619" i="2"/>
  <c r="AL617" i="2" s="1"/>
  <c r="AL92" i="2"/>
  <c r="AM88" i="2"/>
  <c r="AM324" i="2" s="1"/>
  <c r="AP243" i="2"/>
  <c r="AP244" i="2" s="1"/>
  <c r="AP261" i="2"/>
  <c r="AP262" i="2" s="1"/>
  <c r="AP207" i="2"/>
  <c r="AP208" i="2" s="1"/>
  <c r="AM227" i="2"/>
  <c r="AN217" i="2"/>
  <c r="AM219" i="2"/>
  <c r="AM209" i="2"/>
  <c r="AN199" i="2"/>
  <c r="AN201" i="2" s="1"/>
  <c r="AM201" i="2"/>
  <c r="AM263" i="2"/>
  <c r="AN253" i="2"/>
  <c r="AM255" i="2"/>
  <c r="AP225" i="2"/>
  <c r="AP226" i="2" s="1"/>
  <c r="AM191" i="2"/>
  <c r="AN181" i="2"/>
  <c r="AM183" i="2"/>
  <c r="AR260" i="2"/>
  <c r="AR229" i="2"/>
  <c r="AR247" i="2"/>
  <c r="AR242" i="2"/>
  <c r="AR224" i="2"/>
  <c r="AR206" i="2"/>
  <c r="AR193" i="2"/>
  <c r="AR188" i="2"/>
  <c r="AR175" i="2"/>
  <c r="AR211" i="2"/>
  <c r="AN245" i="2"/>
  <c r="AO235" i="2"/>
  <c r="AP189" i="2"/>
  <c r="AP190" i="2" s="1"/>
  <c r="AJ101" i="4"/>
  <c r="AK625" i="2"/>
  <c r="AK623" i="2" s="1"/>
  <c r="AO117" i="2"/>
  <c r="AO106" i="2" s="1"/>
  <c r="AM136" i="2"/>
  <c r="AN126" i="2"/>
  <c r="AP152" i="2"/>
  <c r="AP153" i="2" s="1"/>
  <c r="AN154" i="2"/>
  <c r="AO144" i="2"/>
  <c r="AP170" i="2"/>
  <c r="AR156" i="2"/>
  <c r="AR169" i="2"/>
  <c r="AR151" i="2"/>
  <c r="AR138" i="2"/>
  <c r="AR115" i="2"/>
  <c r="AR133" i="2"/>
  <c r="AR120" i="2"/>
  <c r="AR102" i="2"/>
  <c r="AR577" i="2"/>
  <c r="AM118" i="2"/>
  <c r="AN108" i="2"/>
  <c r="AM110" i="2"/>
  <c r="AM128" i="2"/>
  <c r="AM172" i="2"/>
  <c r="AN162" i="2"/>
  <c r="AM164" i="2"/>
  <c r="AN146" i="2"/>
  <c r="AO99" i="2"/>
  <c r="AO141" i="4"/>
  <c r="AO146" i="4"/>
  <c r="AR97" i="2"/>
  <c r="AR84" i="2"/>
  <c r="AP98" i="2"/>
  <c r="AN100" i="2"/>
  <c r="AO90" i="2"/>
  <c r="AR497" i="2"/>
  <c r="AR595" i="2"/>
  <c r="AR489" i="2"/>
  <c r="AR883" i="2"/>
  <c r="AR603" i="2"/>
  <c r="AR590" i="2"/>
  <c r="AN952" i="2"/>
  <c r="AN313" i="4"/>
  <c r="AN37" i="4"/>
  <c r="AN4" i="4"/>
  <c r="AN682" i="2"/>
  <c r="AN14" i="1"/>
  <c r="AN271" i="4"/>
  <c r="AN113" i="1"/>
  <c r="AN102" i="10"/>
  <c r="AN119" i="4"/>
  <c r="AN1" i="10"/>
  <c r="AN138" i="4"/>
  <c r="AN862" i="2"/>
  <c r="AN1" i="2"/>
  <c r="AN826" i="2"/>
  <c r="AN222" i="4"/>
  <c r="AN4" i="2"/>
  <c r="AN55" i="10"/>
  <c r="AN80" i="2"/>
  <c r="AN42" i="2"/>
  <c r="AN38" i="1"/>
  <c r="AN332" i="2"/>
  <c r="AN464" i="2"/>
  <c r="AN174" i="4"/>
  <c r="AN891" i="2"/>
  <c r="AN90" i="10"/>
  <c r="AN615" i="2"/>
  <c r="AN1" i="5"/>
  <c r="AN4" i="5"/>
  <c r="AN68" i="1"/>
  <c r="AN513" i="2"/>
  <c r="AN73" i="4"/>
  <c r="AN1" i="1"/>
  <c r="AN841" i="2"/>
  <c r="AN880" i="2"/>
  <c r="AN1" i="4"/>
  <c r="AT49" i="1"/>
  <c r="AT48" i="1"/>
  <c r="AT197" i="4"/>
  <c r="AT47" i="1"/>
  <c r="AT50" i="1"/>
  <c r="AU43" i="1"/>
  <c r="AT246" i="4"/>
  <c r="AT288" i="4"/>
  <c r="AD114" i="10"/>
  <c r="AD122" i="10"/>
  <c r="AR92" i="4"/>
  <c r="AE120" i="10"/>
  <c r="AF107" i="10"/>
  <c r="AF118" i="10" s="1"/>
  <c r="AR103" i="4"/>
  <c r="AF111" i="10"/>
  <c r="AE117" i="10"/>
  <c r="AR14" i="2"/>
  <c r="AR139" i="2" s="1"/>
  <c r="AR13" i="2"/>
  <c r="AR157" i="2" s="1"/>
  <c r="AR12" i="2"/>
  <c r="AR121" i="2" s="1"/>
  <c r="AU87" i="1"/>
  <c r="AT91" i="1"/>
  <c r="AR44" i="1"/>
  <c r="AR187" i="4"/>
  <c r="AR203" i="4"/>
  <c r="AR294" i="4"/>
  <c r="AR236" i="4"/>
  <c r="M80" i="7" s="1"/>
  <c r="AR252" i="4"/>
  <c r="AR113" i="4"/>
  <c r="AR289" i="4"/>
  <c r="AR59" i="1"/>
  <c r="AR247" i="4"/>
  <c r="AR108" i="4"/>
  <c r="AT25" i="1"/>
  <c r="AS2" i="5"/>
  <c r="AS2" i="4"/>
  <c r="AS198" i="4" s="1"/>
  <c r="AS2" i="10"/>
  <c r="AS2" i="2"/>
  <c r="AS2" i="1"/>
  <c r="AS45" i="1" s="1"/>
  <c r="AS141" i="1"/>
  <c r="AR850" i="2"/>
  <c r="AS849" i="2"/>
  <c r="AS848" i="2" s="1"/>
  <c r="AQ858" i="2"/>
  <c r="AR857" i="2"/>
  <c r="AR856" i="2" s="1"/>
  <c r="M160" i="4"/>
  <c r="AS54" i="1"/>
  <c r="AR55" i="1"/>
  <c r="AR53" i="1" s="1"/>
  <c r="M170" i="4"/>
  <c r="O130" i="4"/>
  <c r="AT57" i="10"/>
  <c r="AT62" i="10"/>
  <c r="AO47" i="4"/>
  <c r="AQ499" i="2"/>
  <c r="AR495" i="2"/>
  <c r="R17" i="4"/>
  <c r="M260" i="4"/>
  <c r="AR601" i="2"/>
  <c r="AP275" i="4"/>
  <c r="AQ123" i="1"/>
  <c r="AO317" i="4"/>
  <c r="AP146" i="1"/>
  <c r="N75" i="4"/>
  <c r="N84" i="4" s="1"/>
  <c r="N887" i="2"/>
  <c r="N947" i="2"/>
  <c r="O68" i="4"/>
  <c r="AP102" i="4"/>
  <c r="AQ125" i="10"/>
  <c r="AQ621" i="2"/>
  <c r="O116" i="4"/>
  <c r="M192" i="4"/>
  <c r="Y71" i="10"/>
  <c r="Y72" i="10" s="1"/>
  <c r="AP226" i="4"/>
  <c r="AQ120" i="1"/>
  <c r="O43" i="4"/>
  <c r="AP663" i="2"/>
  <c r="AQ662" i="2"/>
  <c r="AP86" i="4"/>
  <c r="AQ65" i="10"/>
  <c r="AP668" i="2"/>
  <c r="AQ667" i="2"/>
  <c r="AO491" i="2"/>
  <c r="AO13" i="4" s="1"/>
  <c r="AP487" i="2"/>
  <c r="AR111" i="4"/>
  <c r="P29" i="4"/>
  <c r="P326" i="4"/>
  <c r="P989" i="2"/>
  <c r="P990" i="2" s="1"/>
  <c r="P1011" i="2"/>
  <c r="AQ673" i="2"/>
  <c r="AR672" i="2"/>
  <c r="O159" i="4"/>
  <c r="AM178" i="4"/>
  <c r="AN131" i="1"/>
  <c r="AR582" i="2"/>
  <c r="O337" i="4"/>
  <c r="M265" i="4"/>
  <c r="M211" i="4"/>
  <c r="AP29" i="1"/>
  <c r="AP27" i="1"/>
  <c r="AQ26" i="1"/>
  <c r="AP28" i="1"/>
  <c r="O158" i="4"/>
  <c r="AO592" i="2"/>
  <c r="AO14" i="4" s="1"/>
  <c r="AP588" i="2"/>
  <c r="N183" i="4"/>
  <c r="N190" i="4"/>
  <c r="Q327" i="4"/>
  <c r="Q994" i="2"/>
  <c r="Q995" i="2" s="1"/>
  <c r="Q988" i="2" s="1"/>
  <c r="R89" i="4"/>
  <c r="R93" i="4" s="1"/>
  <c r="R169" i="4" s="1"/>
  <c r="S84" i="10"/>
  <c r="M267" i="4"/>
  <c r="AR593" i="2"/>
  <c r="AQ124" i="10"/>
  <c r="AQ632" i="2"/>
  <c r="AQ633" i="2" s="1"/>
  <c r="M216" i="4"/>
  <c r="AQ638" i="2"/>
  <c r="AQ639" i="2" s="1"/>
  <c r="AP627" i="2"/>
  <c r="AQ626" i="2"/>
  <c r="AQ656" i="2"/>
  <c r="AQ657" i="2" s="1"/>
  <c r="AQ644" i="2"/>
  <c r="AQ645" i="2" s="1"/>
  <c r="S79" i="10"/>
  <c r="AP90" i="4"/>
  <c r="AQ93" i="10"/>
  <c r="N232" i="4"/>
  <c r="N239" i="4"/>
  <c r="R329" i="4"/>
  <c r="AQ606" i="2"/>
  <c r="AP82" i="4"/>
  <c r="AQ97" i="10"/>
  <c r="Q141" i="1"/>
  <c r="AQ140" i="1"/>
  <c r="N306" i="4"/>
  <c r="N290" i="4"/>
  <c r="N301" i="4"/>
  <c r="N282" i="4"/>
  <c r="N308" i="4"/>
  <c r="AO34" i="1"/>
  <c r="AO55" i="2" s="1"/>
  <c r="M297" i="4"/>
  <c r="AP651" i="2"/>
  <c r="AQ650" i="2"/>
  <c r="M241" i="4"/>
  <c r="M218" i="4"/>
  <c r="AS247" i="4" l="1"/>
  <c r="AS113" i="4"/>
  <c r="AS44" i="1"/>
  <c r="AS103" i="4"/>
  <c r="AN822" i="2"/>
  <c r="AO709" i="2"/>
  <c r="AS108" i="4"/>
  <c r="W799" i="2"/>
  <c r="W736" i="2"/>
  <c r="W795" i="2"/>
  <c r="W732" i="2"/>
  <c r="W784" i="2"/>
  <c r="W705" i="2"/>
  <c r="W700" i="2"/>
  <c r="V781" i="2"/>
  <c r="AR569" i="2"/>
  <c r="AR565" i="2" s="1"/>
  <c r="AR570" i="2" s="1"/>
  <c r="AR600" i="2" s="1"/>
  <c r="AQ599" i="2"/>
  <c r="AQ605" i="2" s="1"/>
  <c r="AQ15" i="4" s="1"/>
  <c r="AO455" i="2"/>
  <c r="AO631" i="2" s="1"/>
  <c r="AO629" i="2" s="1"/>
  <c r="AO80" i="4" s="1"/>
  <c r="AK458" i="2"/>
  <c r="AK649" i="2" s="1"/>
  <c r="AK647" i="2" s="1"/>
  <c r="AK97" i="4" s="1"/>
  <c r="AR523" i="2"/>
  <c r="AR519" i="2" s="1"/>
  <c r="AR524" i="2" s="1"/>
  <c r="AQ341" i="2"/>
  <c r="AR406" i="2"/>
  <c r="AR413" i="2" s="1"/>
  <c r="AS407" i="2"/>
  <c r="AS416" i="2"/>
  <c r="AS405" i="2"/>
  <c r="AS422" i="2"/>
  <c r="AS414" i="2"/>
  <c r="AS411" i="2"/>
  <c r="AS409" i="2"/>
  <c r="AQ423" i="2"/>
  <c r="AQ424" i="2" s="1"/>
  <c r="AQ418" i="2" s="1"/>
  <c r="AO973" i="2"/>
  <c r="L53" i="7"/>
  <c r="AR550" i="2"/>
  <c r="AR546" i="2" s="1"/>
  <c r="AR551" i="2" s="1"/>
  <c r="AP572" i="2"/>
  <c r="AQ573" i="2"/>
  <c r="AQ574" i="2"/>
  <c r="AR531" i="2"/>
  <c r="AR527" i="2" s="1"/>
  <c r="AR532" i="2" s="1"/>
  <c r="AP56" i="4"/>
  <c r="AO611" i="2"/>
  <c r="AN229" i="4"/>
  <c r="L73" i="7" s="1"/>
  <c r="AN279" i="4"/>
  <c r="AQ797" i="2"/>
  <c r="AQ790" i="2" s="1"/>
  <c r="AQ53" i="4" s="1"/>
  <c r="AP818" i="2"/>
  <c r="AP968" i="2" s="1"/>
  <c r="AP973" i="2" s="1"/>
  <c r="AQ804" i="2"/>
  <c r="AQ962" i="2" s="1"/>
  <c r="AP585" i="2"/>
  <c r="AR427" i="2"/>
  <c r="AR428" i="2" s="1"/>
  <c r="AR435" i="2" s="1"/>
  <c r="AR445" i="2" s="1"/>
  <c r="AR446" i="2" s="1"/>
  <c r="AR440" i="2" s="1"/>
  <c r="AQ776" i="2"/>
  <c r="AR739" i="2"/>
  <c r="AR733" i="2"/>
  <c r="AP965" i="2"/>
  <c r="AR767" i="2"/>
  <c r="AR761" i="2"/>
  <c r="AP52" i="4"/>
  <c r="AP817" i="2"/>
  <c r="AR708" i="2"/>
  <c r="AR789" i="2" s="1"/>
  <c r="AR702" i="2"/>
  <c r="AR782" i="2" s="1"/>
  <c r="AO58" i="4"/>
  <c r="AS276" i="2"/>
  <c r="AS312" i="2"/>
  <c r="AS239" i="2"/>
  <c r="AS166" i="2"/>
  <c r="AS352" i="2"/>
  <c r="AS221" i="2"/>
  <c r="AS148" i="2"/>
  <c r="AS294" i="2"/>
  <c r="AS112" i="2"/>
  <c r="AS94" i="2"/>
  <c r="AS203" i="2"/>
  <c r="AS185" i="2"/>
  <c r="AS130" i="2"/>
  <c r="AS257" i="2"/>
  <c r="AS399" i="2"/>
  <c r="AS378" i="2"/>
  <c r="AS567" i="2"/>
  <c r="AS556" i="2"/>
  <c r="AS537" i="2"/>
  <c r="AS521" i="2"/>
  <c r="AS692" i="2"/>
  <c r="AS529" i="2"/>
  <c r="AS750" i="2"/>
  <c r="AS722" i="2"/>
  <c r="AS442" i="2"/>
  <c r="AS548" i="2"/>
  <c r="AT72" i="1"/>
  <c r="AQ587" i="2"/>
  <c r="AP597" i="2"/>
  <c r="AR558" i="2"/>
  <c r="AR554" i="2" s="1"/>
  <c r="AR559" i="2" s="1"/>
  <c r="AQ586" i="2"/>
  <c r="AR304" i="2"/>
  <c r="AR305" i="2" s="1"/>
  <c r="AL372" i="2"/>
  <c r="AK376" i="2"/>
  <c r="AR337" i="2"/>
  <c r="AR213" i="2"/>
  <c r="AR214" i="2" s="1"/>
  <c r="K6" i="7"/>
  <c r="K10" i="7"/>
  <c r="P147" i="4"/>
  <c r="F24" i="7"/>
  <c r="Z974" i="2"/>
  <c r="AA974" i="2" s="1"/>
  <c r="AC939" i="2"/>
  <c r="AC106" i="4" s="1"/>
  <c r="AC867" i="2" s="1"/>
  <c r="Z871" i="2"/>
  <c r="Z46" i="4" s="1"/>
  <c r="Z26" i="4"/>
  <c r="Z324" i="4"/>
  <c r="Z959" i="2"/>
  <c r="Z960" i="2" s="1"/>
  <c r="Z323" i="4" s="1"/>
  <c r="AB939" i="2"/>
  <c r="AB934" i="2" s="1"/>
  <c r="AR231" i="2"/>
  <c r="AR232" i="2" s="1"/>
  <c r="AA324" i="4"/>
  <c r="AA959" i="2"/>
  <c r="AB126" i="4"/>
  <c r="AB181" i="4"/>
  <c r="AB278" i="4"/>
  <c r="AA26" i="4"/>
  <c r="AA871" i="2"/>
  <c r="AA46" i="4" s="1"/>
  <c r="X1003" i="2"/>
  <c r="X1004" i="2" s="1"/>
  <c r="X335" i="4" s="1"/>
  <c r="X336" i="4"/>
  <c r="Y334" i="4"/>
  <c r="Y998" i="2"/>
  <c r="Y999" i="2" s="1"/>
  <c r="Y333" i="4" s="1"/>
  <c r="Y1006" i="2"/>
  <c r="Y1007" i="2" s="1"/>
  <c r="Y1008" i="2" s="1"/>
  <c r="Y1002" i="2" s="1"/>
  <c r="AD922" i="2"/>
  <c r="AC938" i="2"/>
  <c r="AC44" i="4" s="1"/>
  <c r="AR177" i="2"/>
  <c r="AR178" i="2" s="1"/>
  <c r="AR86" i="2"/>
  <c r="AR87" i="2" s="1"/>
  <c r="AR268" i="2"/>
  <c r="AR269" i="2" s="1"/>
  <c r="AG903" i="2"/>
  <c r="Y913" i="2"/>
  <c r="Y944" i="2"/>
  <c r="AS924" i="2"/>
  <c r="AS905" i="2"/>
  <c r="AS931" i="2"/>
  <c r="AS932" i="2" s="1"/>
  <c r="AO608" i="2"/>
  <c r="AN610" i="2"/>
  <c r="AR470" i="2"/>
  <c r="AR471" i="2" s="1"/>
  <c r="AM42" i="4"/>
  <c r="AQ598" i="2"/>
  <c r="AR599" i="2"/>
  <c r="AS568" i="2"/>
  <c r="AR195" i="2"/>
  <c r="AR196" i="2" s="1"/>
  <c r="AR158" i="2"/>
  <c r="AR159" i="2" s="1"/>
  <c r="AR249" i="2"/>
  <c r="AR250" i="2" s="1"/>
  <c r="AS549" i="2"/>
  <c r="AS557" i="2"/>
  <c r="AN584" i="2"/>
  <c r="AO580" i="2"/>
  <c r="AO575" i="2"/>
  <c r="AN579" i="2"/>
  <c r="AN10" i="4" s="1"/>
  <c r="AS538" i="2"/>
  <c r="AS539" i="2" s="1"/>
  <c r="AS535" i="2" s="1"/>
  <c r="AS530" i="2"/>
  <c r="AS522" i="2"/>
  <c r="AR104" i="2"/>
  <c r="AR105" i="2" s="1"/>
  <c r="AN356" i="2"/>
  <c r="AQ446" i="2"/>
  <c r="AQ440" i="2" s="1"/>
  <c r="AK655" i="2"/>
  <c r="AO345" i="2"/>
  <c r="AO355" i="2" s="1"/>
  <c r="AS426" i="2"/>
  <c r="AS444" i="2"/>
  <c r="AS438" i="2"/>
  <c r="AS436" i="2"/>
  <c r="AS433" i="2"/>
  <c r="AS429" i="2"/>
  <c r="AS431" i="2"/>
  <c r="AQ38" i="2"/>
  <c r="AQ336" i="2" s="1"/>
  <c r="AQ338" i="2" s="1"/>
  <c r="AQ451" i="2" s="1"/>
  <c r="AR385" i="2"/>
  <c r="AR392" i="2" s="1"/>
  <c r="AR402" i="2" s="1"/>
  <c r="AP339" i="2"/>
  <c r="AS18" i="2"/>
  <c r="AS17" i="2"/>
  <c r="AS401" i="2"/>
  <c r="AS395" i="2"/>
  <c r="AS386" i="2"/>
  <c r="AS388" i="2"/>
  <c r="AS390" i="2"/>
  <c r="AS20" i="2"/>
  <c r="AS393" i="2"/>
  <c r="AS19" i="2"/>
  <c r="AS21" i="2"/>
  <c r="AQ402" i="2"/>
  <c r="AQ403" i="2" s="1"/>
  <c r="AQ397" i="2" s="1"/>
  <c r="AR26" i="2"/>
  <c r="AR34" i="2"/>
  <c r="AR25" i="2"/>
  <c r="AR33" i="2"/>
  <c r="AR22" i="2"/>
  <c r="AQ30" i="2"/>
  <c r="AR28" i="2"/>
  <c r="AR36" i="2"/>
  <c r="AR27" i="2"/>
  <c r="AR35" i="2"/>
  <c r="AR29" i="2"/>
  <c r="AR37" i="2"/>
  <c r="AR286" i="2"/>
  <c r="AR287" i="2" s="1"/>
  <c r="AR140" i="2"/>
  <c r="AR141" i="2" s="1"/>
  <c r="AR755" i="2"/>
  <c r="AR762" i="2" s="1"/>
  <c r="AJ450" i="2"/>
  <c r="AJ40" i="4" s="1"/>
  <c r="K35" i="7" s="1"/>
  <c r="AI460" i="2"/>
  <c r="AM348" i="2"/>
  <c r="AL350" i="2"/>
  <c r="AO346" i="2"/>
  <c r="AR758" i="2"/>
  <c r="AS354" i="2"/>
  <c r="AS343" i="2"/>
  <c r="AQ768" i="2"/>
  <c r="AM382" i="2"/>
  <c r="AM453" i="2" s="1"/>
  <c r="AP369" i="2"/>
  <c r="AP456" i="2" s="1"/>
  <c r="AJ77" i="4"/>
  <c r="AJ653" i="2"/>
  <c r="AJ675" i="2" s="1"/>
  <c r="AN381" i="2"/>
  <c r="AN454" i="2" s="1"/>
  <c r="AK142" i="4"/>
  <c r="AK167" i="4"/>
  <c r="AK7" i="4"/>
  <c r="AM955" i="2"/>
  <c r="AM321" i="4" s="1"/>
  <c r="AM449" i="2"/>
  <c r="AM8" i="4" s="1"/>
  <c r="AM7" i="4" s="1"/>
  <c r="AM11" i="4" s="1"/>
  <c r="AL8" i="4"/>
  <c r="AO371" i="2"/>
  <c r="AP365" i="2"/>
  <c r="AP367" i="2"/>
  <c r="AP457" i="2" s="1"/>
  <c r="AL374" i="2"/>
  <c r="AL459" i="2" s="1"/>
  <c r="AS380" i="2"/>
  <c r="AQ793" i="2"/>
  <c r="AQ91" i="4" s="1"/>
  <c r="AR122" i="2"/>
  <c r="AR123" i="2" s="1"/>
  <c r="AN483" i="2"/>
  <c r="AN9" i="4" s="1"/>
  <c r="L8" i="7" s="1"/>
  <c r="AM144" i="4"/>
  <c r="AO509" i="2"/>
  <c r="AO986" i="2" s="1"/>
  <c r="AO331" i="4" s="1"/>
  <c r="AO479" i="2"/>
  <c r="AN643" i="2"/>
  <c r="AN641" i="2" s="1"/>
  <c r="AN78" i="4" s="1"/>
  <c r="AN166" i="4" s="1"/>
  <c r="AQ472" i="2"/>
  <c r="AQ478" i="2" s="1"/>
  <c r="AQ503" i="2" s="1"/>
  <c r="AQ477" i="2"/>
  <c r="AO504" i="2"/>
  <c r="AO661" i="2" s="1"/>
  <c r="AO659" i="2" s="1"/>
  <c r="AO100" i="4" s="1"/>
  <c r="AO500" i="2"/>
  <c r="AP476" i="2"/>
  <c r="AP502" i="2"/>
  <c r="AN637" i="2"/>
  <c r="AN635" i="2" s="1"/>
  <c r="AN79" i="4" s="1"/>
  <c r="AO481" i="2"/>
  <c r="AN508" i="2"/>
  <c r="AN41" i="4" s="1"/>
  <c r="L36" i="7" s="1"/>
  <c r="AP984" i="2"/>
  <c r="AP332" i="4" s="1"/>
  <c r="AP506" i="2"/>
  <c r="AP985" i="2" s="1"/>
  <c r="AS744" i="2"/>
  <c r="AS755" i="2" s="1"/>
  <c r="AS501" i="2"/>
  <c r="AS474" i="2"/>
  <c r="AQ794" i="2"/>
  <c r="AQ671" i="2" s="1"/>
  <c r="AQ670" i="2" s="1"/>
  <c r="AQ98" i="4" s="1"/>
  <c r="AQ740" i="2"/>
  <c r="AR699" i="2"/>
  <c r="AR779" i="2" s="1"/>
  <c r="AR698" i="2"/>
  <c r="AR778" i="2" s="1"/>
  <c r="AS689" i="2"/>
  <c r="AS698" i="2" s="1"/>
  <c r="AS778" i="2" s="1"/>
  <c r="AS716" i="2"/>
  <c r="AR727" i="2"/>
  <c r="AR729" i="2"/>
  <c r="AR793" i="2" s="1"/>
  <c r="AR730" i="2"/>
  <c r="AQ734" i="2"/>
  <c r="AQ798" i="2" s="1"/>
  <c r="AQ970" i="2" s="1"/>
  <c r="AP106" i="2"/>
  <c r="AP124" i="2"/>
  <c r="AR703" i="2"/>
  <c r="AR783" i="2" s="1"/>
  <c r="AP306" i="2"/>
  <c r="AP179" i="2"/>
  <c r="AP233" i="2"/>
  <c r="AP142" i="2"/>
  <c r="AP251" i="2"/>
  <c r="AP288" i="2"/>
  <c r="AP215" i="2"/>
  <c r="AP197" i="2"/>
  <c r="AO292" i="2"/>
  <c r="AN325" i="2"/>
  <c r="AP327" i="2"/>
  <c r="AP954" i="2" s="1"/>
  <c r="AP320" i="4" s="1"/>
  <c r="AM326" i="2"/>
  <c r="AM961" i="2" s="1"/>
  <c r="AK328" i="2"/>
  <c r="AO322" i="2"/>
  <c r="AL323" i="2"/>
  <c r="AL39" i="4" s="1"/>
  <c r="AQ321" i="2"/>
  <c r="AQ6" i="4" s="1"/>
  <c r="AS315" i="2"/>
  <c r="AS302" i="2"/>
  <c r="AS284" i="2"/>
  <c r="AS279" i="2"/>
  <c r="AS297" i="2"/>
  <c r="AS266" i="2"/>
  <c r="AO282" i="2"/>
  <c r="AP272" i="2"/>
  <c r="AO274" i="2"/>
  <c r="AO300" i="2"/>
  <c r="AP290" i="2"/>
  <c r="AQ298" i="2"/>
  <c r="AQ299" i="2" s="1"/>
  <c r="AO318" i="2"/>
  <c r="AP308" i="2"/>
  <c r="AO310" i="2"/>
  <c r="AQ280" i="2"/>
  <c r="AQ281" i="2" s="1"/>
  <c r="AP281" i="2"/>
  <c r="AP270" i="2" s="1"/>
  <c r="AQ316" i="2"/>
  <c r="AQ317" i="2" s="1"/>
  <c r="AL76" i="4"/>
  <c r="AL165" i="4" s="1"/>
  <c r="AM619" i="2"/>
  <c r="AM617" i="2" s="1"/>
  <c r="AM92" i="2"/>
  <c r="AN88" i="2"/>
  <c r="AN324" i="2" s="1"/>
  <c r="AQ189" i="2"/>
  <c r="AQ190" i="2" s="1"/>
  <c r="AQ225" i="2"/>
  <c r="AQ226" i="2" s="1"/>
  <c r="AQ243" i="2"/>
  <c r="AQ244" i="2" s="1"/>
  <c r="AN209" i="2"/>
  <c r="AO199" i="2"/>
  <c r="AO245" i="2"/>
  <c r="AP235" i="2"/>
  <c r="AN227" i="2"/>
  <c r="AO217" i="2"/>
  <c r="AN219" i="2"/>
  <c r="AS260" i="2"/>
  <c r="AS224" i="2"/>
  <c r="AS242" i="2"/>
  <c r="AS247" i="2"/>
  <c r="AS229" i="2"/>
  <c r="AS193" i="2"/>
  <c r="AS211" i="2"/>
  <c r="AS206" i="2"/>
  <c r="AS188" i="2"/>
  <c r="AS175" i="2"/>
  <c r="AN263" i="2"/>
  <c r="AO253" i="2"/>
  <c r="AN255" i="2"/>
  <c r="AQ261" i="2"/>
  <c r="AQ262" i="2" s="1"/>
  <c r="AN191" i="2"/>
  <c r="AO181" i="2"/>
  <c r="AN183" i="2"/>
  <c r="AQ207" i="2"/>
  <c r="AQ208" i="2" s="1"/>
  <c r="AO237" i="2"/>
  <c r="AK101" i="4"/>
  <c r="AL961" i="2"/>
  <c r="AL101" i="4"/>
  <c r="AL623" i="2"/>
  <c r="AQ98" i="2"/>
  <c r="AQ152" i="2"/>
  <c r="AQ153" i="2" s="1"/>
  <c r="AQ134" i="2"/>
  <c r="AQ135" i="2" s="1"/>
  <c r="AN136" i="2"/>
  <c r="AO126" i="2"/>
  <c r="AN128" i="2"/>
  <c r="AP171" i="2"/>
  <c r="AP160" i="2" s="1"/>
  <c r="AN172" i="2"/>
  <c r="AO162" i="2"/>
  <c r="AN164" i="2"/>
  <c r="AQ170" i="2"/>
  <c r="AQ171" i="2" s="1"/>
  <c r="AS169" i="2"/>
  <c r="AS151" i="2"/>
  <c r="AS120" i="2"/>
  <c r="AS138" i="2"/>
  <c r="AS156" i="2"/>
  <c r="AS133" i="2"/>
  <c r="AS115" i="2"/>
  <c r="AS102" i="2"/>
  <c r="AN118" i="2"/>
  <c r="AO108" i="2"/>
  <c r="AN110" i="2"/>
  <c r="AO154" i="2"/>
  <c r="AP144" i="2"/>
  <c r="AQ116" i="2"/>
  <c r="AQ117" i="2" s="1"/>
  <c r="AO146" i="2"/>
  <c r="AP141" i="4"/>
  <c r="AP146" i="4"/>
  <c r="AP99" i="2"/>
  <c r="AS497" i="2"/>
  <c r="AS84" i="2"/>
  <c r="AS97" i="2"/>
  <c r="AO100" i="2"/>
  <c r="AP90" i="2"/>
  <c r="AS595" i="2"/>
  <c r="AS236" i="4"/>
  <c r="AS294" i="4"/>
  <c r="AS252" i="4"/>
  <c r="AS203" i="4"/>
  <c r="AS187" i="4"/>
  <c r="AS289" i="4"/>
  <c r="AV87" i="1"/>
  <c r="AV91" i="1" s="1"/>
  <c r="AU91" i="1"/>
  <c r="AS14" i="2"/>
  <c r="AS139" i="2" s="1"/>
  <c r="AS13" i="2"/>
  <c r="AS157" i="2" s="1"/>
  <c r="AS12" i="2"/>
  <c r="AS121" i="2" s="1"/>
  <c r="AS577" i="2"/>
  <c r="AS590" i="2"/>
  <c r="AF116" i="10"/>
  <c r="AF112" i="10"/>
  <c r="AF110" i="10" s="1"/>
  <c r="AS603" i="2"/>
  <c r="AE114" i="10"/>
  <c r="AE122" i="10"/>
  <c r="AS83" i="4"/>
  <c r="AT2" i="5"/>
  <c r="AT2" i="4"/>
  <c r="AT198" i="4" s="1"/>
  <c r="AT2" i="2"/>
  <c r="AT2" i="10"/>
  <c r="AT2" i="1"/>
  <c r="AT45" i="1" s="1"/>
  <c r="AU25" i="1"/>
  <c r="AT141" i="1"/>
  <c r="AS489" i="2"/>
  <c r="AT113" i="4"/>
  <c r="AS883" i="2"/>
  <c r="AU197" i="4"/>
  <c r="AU49" i="1"/>
  <c r="AV43" i="1"/>
  <c r="AU48" i="1"/>
  <c r="AU47" i="1"/>
  <c r="AU50" i="1"/>
  <c r="AU246" i="4"/>
  <c r="AU288" i="4"/>
  <c r="AP34" i="1"/>
  <c r="AP55" i="2" s="1"/>
  <c r="AS59" i="1"/>
  <c r="AS92" i="4"/>
  <c r="AT92" i="4" s="1"/>
  <c r="AO4" i="2"/>
  <c r="AO42" i="2"/>
  <c r="AS857" i="2"/>
  <c r="AS856" i="2" s="1"/>
  <c r="AR858" i="2"/>
  <c r="AS850" i="2"/>
  <c r="AT849" i="2"/>
  <c r="AT848" i="2" s="1"/>
  <c r="AT54" i="1"/>
  <c r="AS55" i="1"/>
  <c r="AS53" i="1" s="1"/>
  <c r="AP47" i="4"/>
  <c r="N95" i="4"/>
  <c r="N117" i="4" s="1"/>
  <c r="N163" i="4"/>
  <c r="R993" i="2"/>
  <c r="AU62" i="10"/>
  <c r="AU57" i="10"/>
  <c r="Z70" i="10"/>
  <c r="AS593" i="2"/>
  <c r="AS582" i="2"/>
  <c r="P30" i="4"/>
  <c r="F25" i="7" s="1"/>
  <c r="N266" i="4"/>
  <c r="N264" i="4"/>
  <c r="N248" i="4"/>
  <c r="N240" i="4"/>
  <c r="N259" i="4"/>
  <c r="AR644" i="2"/>
  <c r="AQ86" i="4"/>
  <c r="AR65" i="10"/>
  <c r="AO4" i="5"/>
  <c r="AO1" i="5"/>
  <c r="AO174" i="4"/>
  <c r="AO138" i="4"/>
  <c r="AO271" i="4"/>
  <c r="AO313" i="4"/>
  <c r="AO222" i="4"/>
  <c r="AO73" i="4"/>
  <c r="AO4" i="4"/>
  <c r="AO119" i="4"/>
  <c r="AO37" i="4"/>
  <c r="AO1" i="4"/>
  <c r="AO841" i="2"/>
  <c r="AO682" i="2"/>
  <c r="AO952" i="2"/>
  <c r="AO513" i="2"/>
  <c r="AO464" i="2"/>
  <c r="AO862" i="2"/>
  <c r="AO891" i="2"/>
  <c r="AO880" i="2"/>
  <c r="AO826" i="2"/>
  <c r="AO332" i="2"/>
  <c r="AO1" i="2"/>
  <c r="AO615" i="2"/>
  <c r="AO102" i="10"/>
  <c r="AO38" i="1"/>
  <c r="AO1" i="1"/>
  <c r="AO68" i="1"/>
  <c r="AO90" i="10"/>
  <c r="AO55" i="10"/>
  <c r="AO1" i="10"/>
  <c r="AO80" i="2"/>
  <c r="AO113" i="1"/>
  <c r="AO14" i="1"/>
  <c r="N233" i="4"/>
  <c r="O344" i="4"/>
  <c r="N309" i="4"/>
  <c r="AQ82" i="4"/>
  <c r="AR97" i="10"/>
  <c r="AR656" i="2"/>
  <c r="AR657" i="2" s="1"/>
  <c r="AR638" i="2"/>
  <c r="AR639" i="2" s="1"/>
  <c r="Q29" i="4"/>
  <c r="Q326" i="4"/>
  <c r="Q989" i="2"/>
  <c r="Q990" i="2" s="1"/>
  <c r="Q1011" i="2"/>
  <c r="N215" i="4"/>
  <c r="N199" i="4"/>
  <c r="N191" i="4"/>
  <c r="N217" i="4"/>
  <c r="N210" i="4"/>
  <c r="AR673" i="2"/>
  <c r="AS672" i="2"/>
  <c r="AQ668" i="2"/>
  <c r="AR667" i="2"/>
  <c r="AQ663" i="2"/>
  <c r="AR662" i="2"/>
  <c r="AR621" i="2"/>
  <c r="R121" i="4"/>
  <c r="R123" i="4" s="1"/>
  <c r="R152" i="4"/>
  <c r="R22" i="4"/>
  <c r="R238" i="4"/>
  <c r="R161" i="4"/>
  <c r="R189" i="4"/>
  <c r="N283" i="4"/>
  <c r="AQ90" i="4"/>
  <c r="AR93" i="10"/>
  <c r="AQ627" i="2"/>
  <c r="AR626" i="2"/>
  <c r="N184" i="4"/>
  <c r="AQ29" i="1"/>
  <c r="AQ27" i="1"/>
  <c r="AQ28" i="1"/>
  <c r="AR26" i="1"/>
  <c r="AN178" i="4"/>
  <c r="AO131" i="1"/>
  <c r="P328" i="4"/>
  <c r="P1013" i="2"/>
  <c r="P666" i="2" s="1"/>
  <c r="P665" i="2" s="1"/>
  <c r="AS111" i="4"/>
  <c r="AQ226" i="4"/>
  <c r="AR120" i="1"/>
  <c r="M206" i="4"/>
  <c r="AP317" i="4"/>
  <c r="AQ146" i="1"/>
  <c r="S88" i="4"/>
  <c r="S981" i="2"/>
  <c r="S976" i="2" s="1"/>
  <c r="T77" i="10"/>
  <c r="AR124" i="10"/>
  <c r="AP491" i="2"/>
  <c r="AP13" i="4" s="1"/>
  <c r="AQ487" i="2"/>
  <c r="AQ651" i="2"/>
  <c r="AR650" i="2"/>
  <c r="N302" i="4"/>
  <c r="P141" i="1"/>
  <c r="AR140" i="1"/>
  <c r="AR606" i="2"/>
  <c r="P325" i="4"/>
  <c r="P1012" i="2"/>
  <c r="AQ102" i="4"/>
  <c r="AR125" i="10"/>
  <c r="AR499" i="2"/>
  <c r="AS495" i="2"/>
  <c r="M255" i="4"/>
  <c r="N307" i="4"/>
  <c r="AR632" i="2"/>
  <c r="AR633" i="2" s="1"/>
  <c r="S85" i="10"/>
  <c r="S20" i="4"/>
  <c r="AP592" i="2"/>
  <c r="AP14" i="4" s="1"/>
  <c r="AQ588" i="2"/>
  <c r="O49" i="4"/>
  <c r="AQ275" i="4"/>
  <c r="AR123" i="1"/>
  <c r="AS601" i="2"/>
  <c r="AS569" i="2" l="1"/>
  <c r="AS565" i="2" s="1"/>
  <c r="AS599" i="2" s="1"/>
  <c r="AT103" i="4"/>
  <c r="V87" i="4"/>
  <c r="V979" i="2"/>
  <c r="AP709" i="2"/>
  <c r="AO822" i="2"/>
  <c r="AQ34" i="1"/>
  <c r="AQ55" i="2" s="1"/>
  <c r="AT108" i="4"/>
  <c r="AT289" i="4"/>
  <c r="W780" i="2"/>
  <c r="W701" i="2"/>
  <c r="W785" i="2"/>
  <c r="X704" i="2"/>
  <c r="W796" i="2"/>
  <c r="X731" i="2"/>
  <c r="W800" i="2"/>
  <c r="X735" i="2"/>
  <c r="AS523" i="2"/>
  <c r="AS519" i="2" s="1"/>
  <c r="AS524" i="2" s="1"/>
  <c r="AP455" i="2"/>
  <c r="AP631" i="2" s="1"/>
  <c r="AP629" i="2" s="1"/>
  <c r="AP80" i="4" s="1"/>
  <c r="AR341" i="2"/>
  <c r="AL458" i="2"/>
  <c r="AL649" i="2" s="1"/>
  <c r="AL647" i="2" s="1"/>
  <c r="AL97" i="4" s="1"/>
  <c r="AP58" i="4"/>
  <c r="AP182" i="4" s="1"/>
  <c r="AK452" i="2"/>
  <c r="AK450" i="2" s="1"/>
  <c r="AS406" i="2"/>
  <c r="AS413" i="2" s="1"/>
  <c r="AS550" i="2"/>
  <c r="AS546" i="2" s="1"/>
  <c r="AS551" i="2" s="1"/>
  <c r="AT422" i="2"/>
  <c r="AT405" i="2"/>
  <c r="AT409" i="2"/>
  <c r="AT416" i="2"/>
  <c r="AT414" i="2"/>
  <c r="AT411" i="2"/>
  <c r="AT407" i="2"/>
  <c r="AR423" i="2"/>
  <c r="AR424" i="2" s="1"/>
  <c r="AR418" i="2" s="1"/>
  <c r="AQ818" i="2"/>
  <c r="AQ968" i="2" s="1"/>
  <c r="AQ973" i="2" s="1"/>
  <c r="AS531" i="2"/>
  <c r="AS527" i="2" s="1"/>
  <c r="AS532" i="2" s="1"/>
  <c r="AQ572" i="2"/>
  <c r="AR573" i="2"/>
  <c r="AP611" i="2"/>
  <c r="AQ965" i="2"/>
  <c r="AR574" i="2"/>
  <c r="AQ56" i="4"/>
  <c r="AS540" i="2"/>
  <c r="AR797" i="2"/>
  <c r="AR790" i="2" s="1"/>
  <c r="AR53" i="4" s="1"/>
  <c r="AS427" i="2"/>
  <c r="AS428" i="2" s="1"/>
  <c r="AS435" i="2" s="1"/>
  <c r="AR776" i="2"/>
  <c r="AS739" i="2"/>
  <c r="AS733" i="2"/>
  <c r="AS708" i="2"/>
  <c r="AS789" i="2" s="1"/>
  <c r="AS702" i="2"/>
  <c r="AS782" i="2" s="1"/>
  <c r="AO279" i="4"/>
  <c r="AO182" i="4"/>
  <c r="AO229" i="4"/>
  <c r="AS767" i="2"/>
  <c r="AS761" i="2"/>
  <c r="AR804" i="2"/>
  <c r="AR56" i="4" s="1"/>
  <c r="M51" i="7" s="1"/>
  <c r="AT276" i="2"/>
  <c r="AT203" i="2"/>
  <c r="AT352" i="2"/>
  <c r="AT257" i="2"/>
  <c r="AT294" i="2"/>
  <c r="AT312" i="2"/>
  <c r="AT112" i="2"/>
  <c r="AT239" i="2"/>
  <c r="AT185" i="2"/>
  <c r="AT166" i="2"/>
  <c r="AT130" i="2"/>
  <c r="AT94" i="2"/>
  <c r="AT221" i="2"/>
  <c r="AT148" i="2"/>
  <c r="AT567" i="2"/>
  <c r="AT556" i="2"/>
  <c r="AT537" i="2"/>
  <c r="AT521" i="2"/>
  <c r="AT692" i="2"/>
  <c r="AT529" i="2"/>
  <c r="AT442" i="2"/>
  <c r="AT722" i="2"/>
  <c r="AT548" i="2"/>
  <c r="AT399" i="2"/>
  <c r="AT378" i="2"/>
  <c r="AT750" i="2"/>
  <c r="AU72" i="1"/>
  <c r="AQ52" i="4"/>
  <c r="AQ817" i="2"/>
  <c r="AQ597" i="2"/>
  <c r="AR587" i="2"/>
  <c r="AQ585" i="2"/>
  <c r="AL376" i="2"/>
  <c r="AS558" i="2"/>
  <c r="AS554" i="2" s="1"/>
  <c r="AS559" i="2" s="1"/>
  <c r="AR586" i="2"/>
  <c r="AS304" i="2"/>
  <c r="AS305" i="2" s="1"/>
  <c r="AM372" i="2"/>
  <c r="AS337" i="2"/>
  <c r="AS213" i="2"/>
  <c r="AS214" i="2" s="1"/>
  <c r="AK11" i="4"/>
  <c r="AN143" i="4"/>
  <c r="L9" i="7"/>
  <c r="S145" i="4"/>
  <c r="R28" i="4"/>
  <c r="Z81" i="4"/>
  <c r="AS86" i="2"/>
  <c r="AS87" i="2" s="1"/>
  <c r="AS268" i="2"/>
  <c r="AS269" i="2" s="1"/>
  <c r="AC934" i="2"/>
  <c r="Z1006" i="2"/>
  <c r="AA960" i="2"/>
  <c r="AA323" i="4" s="1"/>
  <c r="AB106" i="4"/>
  <c r="AB945" i="2"/>
  <c r="AB25" i="4" s="1"/>
  <c r="Z1005" i="2"/>
  <c r="Z1000" i="2"/>
  <c r="Z997" i="2" s="1"/>
  <c r="Z1009" i="2"/>
  <c r="AS231" i="2"/>
  <c r="AS232" i="2" s="1"/>
  <c r="AD923" i="2"/>
  <c r="AE922" i="2" s="1"/>
  <c r="AD937" i="2"/>
  <c r="AD21" i="4" s="1"/>
  <c r="AA1005" i="2"/>
  <c r="AA1000" i="2"/>
  <c r="AA997" i="2" s="1"/>
  <c r="AA1009" i="2"/>
  <c r="Y336" i="4"/>
  <c r="Y1003" i="2"/>
  <c r="Y1004" i="2" s="1"/>
  <c r="Y335" i="4" s="1"/>
  <c r="AA81" i="4"/>
  <c r="AC109" i="4"/>
  <c r="AC122" i="4"/>
  <c r="AC181" i="4"/>
  <c r="AC126" i="4"/>
  <c r="AC278" i="4"/>
  <c r="AC945" i="2"/>
  <c r="AC25" i="4" s="1"/>
  <c r="AS177" i="2"/>
  <c r="AS178" i="2" s="1"/>
  <c r="Y943" i="2"/>
  <c r="Z912" i="2"/>
  <c r="AG904" i="2"/>
  <c r="AT924" i="2"/>
  <c r="AT905" i="2"/>
  <c r="AT931" i="2"/>
  <c r="AT932" i="2" s="1"/>
  <c r="AS470" i="2"/>
  <c r="AS471" i="2" s="1"/>
  <c r="AR598" i="2"/>
  <c r="AS104" i="2"/>
  <c r="AS105" i="2" s="1"/>
  <c r="AN42" i="4"/>
  <c r="L37" i="7" s="1"/>
  <c r="AR605" i="2"/>
  <c r="AR15" i="4" s="1"/>
  <c r="M13" i="7" s="1"/>
  <c r="AS158" i="2"/>
  <c r="AS159" i="2" s="1"/>
  <c r="AS570" i="2"/>
  <c r="AS600" i="2" s="1"/>
  <c r="AS249" i="2"/>
  <c r="AS250" i="2" s="1"/>
  <c r="AP608" i="2"/>
  <c r="AO610" i="2"/>
  <c r="AT568" i="2"/>
  <c r="AS195" i="2"/>
  <c r="AS196" i="2" s="1"/>
  <c r="AT557" i="2"/>
  <c r="AT549" i="2"/>
  <c r="AP575" i="2"/>
  <c r="AO579" i="2"/>
  <c r="AO10" i="4" s="1"/>
  <c r="AP580" i="2"/>
  <c r="AO584" i="2"/>
  <c r="AT538" i="2"/>
  <c r="AT539" i="2" s="1"/>
  <c r="AT535" i="2" s="1"/>
  <c r="AT530" i="2"/>
  <c r="AT522" i="2"/>
  <c r="AL655" i="2"/>
  <c r="AP345" i="2"/>
  <c r="AP355" i="2" s="1"/>
  <c r="AO356" i="2"/>
  <c r="AT426" i="2"/>
  <c r="AT438" i="2"/>
  <c r="AT436" i="2"/>
  <c r="AT444" i="2"/>
  <c r="AT433" i="2"/>
  <c r="AT429" i="2"/>
  <c r="AT431" i="2"/>
  <c r="AS385" i="2"/>
  <c r="AS392" i="2" s="1"/>
  <c r="AR403" i="2"/>
  <c r="AR397" i="2" s="1"/>
  <c r="AQ339" i="2"/>
  <c r="AS28" i="2"/>
  <c r="AS36" i="2"/>
  <c r="AT390" i="2"/>
  <c r="AT388" i="2"/>
  <c r="AT386" i="2"/>
  <c r="AT17" i="2"/>
  <c r="AT401" i="2"/>
  <c r="AT395" i="2"/>
  <c r="AT18" i="2"/>
  <c r="AT393" i="2"/>
  <c r="AT20" i="2"/>
  <c r="AT19" i="2"/>
  <c r="AT21" i="2"/>
  <c r="AR30" i="2"/>
  <c r="AS27" i="2"/>
  <c r="AS35" i="2"/>
  <c r="AR38" i="2"/>
  <c r="AR336" i="2" s="1"/>
  <c r="AR338" i="2" s="1"/>
  <c r="AR451" i="2" s="1"/>
  <c r="AS25" i="2"/>
  <c r="AS33" i="2"/>
  <c r="AS22" i="2"/>
  <c r="AS29" i="2"/>
  <c r="AS37" i="2"/>
  <c r="AS26" i="2"/>
  <c r="AS34" i="2"/>
  <c r="AS286" i="2"/>
  <c r="AS287" i="2" s="1"/>
  <c r="AS140" i="2"/>
  <c r="AS141" i="2" s="1"/>
  <c r="AR759" i="2"/>
  <c r="AR760" i="2" s="1"/>
  <c r="AS759" i="2" s="1"/>
  <c r="AS760" i="2" s="1"/>
  <c r="AR763" i="2"/>
  <c r="AR764" i="2" s="1"/>
  <c r="AS763" i="2" s="1"/>
  <c r="AS764" i="2" s="1"/>
  <c r="AJ460" i="2"/>
  <c r="AR768" i="2"/>
  <c r="AR794" i="2"/>
  <c r="AR671" i="2" s="1"/>
  <c r="AR670" i="2" s="1"/>
  <c r="AR98" i="4" s="1"/>
  <c r="AP346" i="2"/>
  <c r="AN348" i="2"/>
  <c r="AM350" i="2"/>
  <c r="AT354" i="2"/>
  <c r="AT343" i="2"/>
  <c r="AN382" i="2"/>
  <c r="AN453" i="2" s="1"/>
  <c r="AL142" i="4"/>
  <c r="AL167" i="4"/>
  <c r="AL7" i="4"/>
  <c r="AL11" i="4" s="1"/>
  <c r="AN955" i="2"/>
  <c r="AN321" i="4" s="1"/>
  <c r="AN449" i="2"/>
  <c r="AS364" i="2"/>
  <c r="AM964" i="2"/>
  <c r="AQ369" i="2"/>
  <c r="AQ456" i="2" s="1"/>
  <c r="AM374" i="2"/>
  <c r="AM459" i="2" s="1"/>
  <c r="AO381" i="2"/>
  <c r="AO454" i="2" s="1"/>
  <c r="AQ367" i="2"/>
  <c r="AQ457" i="2" s="1"/>
  <c r="AK77" i="4"/>
  <c r="AK653" i="2"/>
  <c r="AK675" i="2" s="1"/>
  <c r="AM142" i="4"/>
  <c r="AM167" i="4"/>
  <c r="AQ365" i="2"/>
  <c r="AP371" i="2"/>
  <c r="AP381" i="2" s="1"/>
  <c r="AS758" i="2"/>
  <c r="AT380" i="2"/>
  <c r="AS122" i="2"/>
  <c r="AS123" i="2" s="1"/>
  <c r="AN144" i="4"/>
  <c r="AO483" i="2"/>
  <c r="AO9" i="4" s="1"/>
  <c r="AP509" i="2"/>
  <c r="AP986" i="2" s="1"/>
  <c r="AP331" i="4" s="1"/>
  <c r="AO508" i="2"/>
  <c r="AO41" i="4" s="1"/>
  <c r="AS757" i="2"/>
  <c r="AO637" i="2"/>
  <c r="AO635" i="2" s="1"/>
  <c r="AO79" i="4" s="1"/>
  <c r="AP481" i="2"/>
  <c r="AQ476" i="2"/>
  <c r="AQ502" i="2"/>
  <c r="AR472" i="2"/>
  <c r="AR478" i="2" s="1"/>
  <c r="AR503" i="2" s="1"/>
  <c r="AR477" i="2"/>
  <c r="AP500" i="2"/>
  <c r="AP479" i="2"/>
  <c r="AO643" i="2"/>
  <c r="AO641" i="2" s="1"/>
  <c r="AO78" i="4" s="1"/>
  <c r="AO166" i="4" s="1"/>
  <c r="AQ984" i="2"/>
  <c r="AQ332" i="4" s="1"/>
  <c r="AQ506" i="2"/>
  <c r="AQ985" i="2" s="1"/>
  <c r="AP504" i="2"/>
  <c r="AP661" i="2" s="1"/>
  <c r="AP659" i="2" s="1"/>
  <c r="AP100" i="4" s="1"/>
  <c r="AT744" i="2"/>
  <c r="AT757" i="2" s="1"/>
  <c r="AT474" i="2"/>
  <c r="AS762" i="2"/>
  <c r="AS697" i="2"/>
  <c r="AS703" i="2" s="1"/>
  <c r="AS783" i="2" s="1"/>
  <c r="AR91" i="4"/>
  <c r="AS699" i="2"/>
  <c r="AS779" i="2" s="1"/>
  <c r="AR740" i="2"/>
  <c r="AR734" i="2"/>
  <c r="AT689" i="2"/>
  <c r="AT697" i="2" s="1"/>
  <c r="AT716" i="2"/>
  <c r="AS727" i="2"/>
  <c r="AS730" i="2"/>
  <c r="AS729" i="2"/>
  <c r="AQ306" i="2"/>
  <c r="AP237" i="2"/>
  <c r="AQ142" i="2"/>
  <c r="AQ215" i="2"/>
  <c r="AQ288" i="2"/>
  <c r="AQ179" i="2"/>
  <c r="AQ197" i="2"/>
  <c r="AQ270" i="2"/>
  <c r="AQ233" i="2"/>
  <c r="AQ106" i="2"/>
  <c r="AQ251" i="2"/>
  <c r="AR116" i="2"/>
  <c r="AR117" i="2" s="1"/>
  <c r="AR106" i="2" s="1"/>
  <c r="AQ160" i="2"/>
  <c r="AQ124" i="2"/>
  <c r="AR134" i="2"/>
  <c r="AL328" i="2"/>
  <c r="AN326" i="2"/>
  <c r="AN625" i="2" s="1"/>
  <c r="AN101" i="4" s="1"/>
  <c r="AO325" i="2"/>
  <c r="AM323" i="2"/>
  <c r="AM328" i="2" s="1"/>
  <c r="AR321" i="2"/>
  <c r="AR6" i="4" s="1"/>
  <c r="M5" i="7" s="1"/>
  <c r="AP274" i="2"/>
  <c r="AP322" i="2"/>
  <c r="AQ327" i="2"/>
  <c r="AQ954" i="2" s="1"/>
  <c r="AQ320" i="4" s="1"/>
  <c r="AR316" i="2"/>
  <c r="AP300" i="2"/>
  <c r="AQ290" i="2"/>
  <c r="AP292" i="2"/>
  <c r="AT315" i="2"/>
  <c r="AT297" i="2"/>
  <c r="AT284" i="2"/>
  <c r="AT302" i="2"/>
  <c r="AT266" i="2"/>
  <c r="AT279" i="2"/>
  <c r="AP318" i="2"/>
  <c r="AQ308" i="2"/>
  <c r="AP310" i="2"/>
  <c r="AR280" i="2"/>
  <c r="AR281" i="2" s="1"/>
  <c r="AR298" i="2"/>
  <c r="AR299" i="2" s="1"/>
  <c r="AP282" i="2"/>
  <c r="AQ272" i="2"/>
  <c r="AR225" i="2"/>
  <c r="AR226" i="2" s="1"/>
  <c r="AM76" i="4"/>
  <c r="AM165" i="4" s="1"/>
  <c r="AN619" i="2"/>
  <c r="AN617" i="2" s="1"/>
  <c r="AN92" i="2"/>
  <c r="AN323" i="2" s="1"/>
  <c r="AN39" i="4" s="1"/>
  <c r="AO88" i="2"/>
  <c r="AO324" i="2" s="1"/>
  <c r="AO227" i="2"/>
  <c r="AP217" i="2"/>
  <c r="AO219" i="2"/>
  <c r="AR261" i="2"/>
  <c r="AR262" i="2" s="1"/>
  <c r="AO191" i="2"/>
  <c r="AP181" i="2"/>
  <c r="AO183" i="2"/>
  <c r="AO263" i="2"/>
  <c r="AP253" i="2"/>
  <c r="AO255" i="2"/>
  <c r="AO209" i="2"/>
  <c r="AP199" i="2"/>
  <c r="AO201" i="2"/>
  <c r="AT260" i="2"/>
  <c r="AT242" i="2"/>
  <c r="AT229" i="2"/>
  <c r="AT224" i="2"/>
  <c r="AT211" i="2"/>
  <c r="AT206" i="2"/>
  <c r="AT188" i="2"/>
  <c r="AT193" i="2"/>
  <c r="AT175" i="2"/>
  <c r="AT247" i="2"/>
  <c r="AR207" i="2"/>
  <c r="AR208" i="2" s="1"/>
  <c r="AP245" i="2"/>
  <c r="AQ235" i="2"/>
  <c r="AR189" i="2"/>
  <c r="AR190" i="2" s="1"/>
  <c r="AR243" i="2"/>
  <c r="AR244" i="2" s="1"/>
  <c r="AT489" i="2"/>
  <c r="Q30" i="4"/>
  <c r="Q147" i="4"/>
  <c r="AM625" i="2"/>
  <c r="AM623" i="2" s="1"/>
  <c r="AQ99" i="2"/>
  <c r="AQ322" i="2" s="1"/>
  <c r="AR170" i="2"/>
  <c r="AR171" i="2" s="1"/>
  <c r="AO172" i="2"/>
  <c r="AP162" i="2"/>
  <c r="AO164" i="2"/>
  <c r="AT169" i="2"/>
  <c r="AT151" i="2"/>
  <c r="AT138" i="2"/>
  <c r="AT115" i="2"/>
  <c r="AT102" i="2"/>
  <c r="AT133" i="2"/>
  <c r="AT156" i="2"/>
  <c r="AT120" i="2"/>
  <c r="AP154" i="2"/>
  <c r="AQ144" i="2"/>
  <c r="AR152" i="2"/>
  <c r="AR153" i="2" s="1"/>
  <c r="AO118" i="2"/>
  <c r="AP108" i="2"/>
  <c r="AO110" i="2"/>
  <c r="AO136" i="2"/>
  <c r="AP126" i="2"/>
  <c r="AO128" i="2"/>
  <c r="AP146" i="2"/>
  <c r="AQ146" i="4"/>
  <c r="AQ141" i="4"/>
  <c r="AP100" i="2"/>
  <c r="AQ90" i="2"/>
  <c r="AR98" i="2"/>
  <c r="AT84" i="2"/>
  <c r="AT97" i="2"/>
  <c r="AT883" i="2"/>
  <c r="AT595" i="2"/>
  <c r="AP513" i="2"/>
  <c r="AP615" i="2"/>
  <c r="AP37" i="4"/>
  <c r="AP55" i="10"/>
  <c r="AP90" i="10"/>
  <c r="AP826" i="2"/>
  <c r="AP880" i="2"/>
  <c r="AP119" i="4"/>
  <c r="AP113" i="1"/>
  <c r="AP271" i="4"/>
  <c r="AP952" i="2"/>
  <c r="AP1" i="1"/>
  <c r="AP1" i="10"/>
  <c r="AP1" i="2"/>
  <c r="AP4" i="4"/>
  <c r="AP4" i="5"/>
  <c r="AP891" i="2"/>
  <c r="AP102" i="10"/>
  <c r="AP174" i="4"/>
  <c r="AP222" i="4"/>
  <c r="AP862" i="2"/>
  <c r="AP313" i="4"/>
  <c r="AP14" i="1"/>
  <c r="AP73" i="4"/>
  <c r="AP38" i="1"/>
  <c r="AP332" i="2"/>
  <c r="AP1" i="5"/>
  <c r="AP4" i="2"/>
  <c r="AP682" i="2"/>
  <c r="AP80" i="2"/>
  <c r="AP138" i="4"/>
  <c r="AP68" i="1"/>
  <c r="AP841" i="2"/>
  <c r="AP464" i="2"/>
  <c r="AP1" i="4"/>
  <c r="AT44" i="1"/>
  <c r="AT247" i="4"/>
  <c r="AT83" i="4"/>
  <c r="AT590" i="2"/>
  <c r="AU2" i="5"/>
  <c r="AU2" i="4"/>
  <c r="AU289" i="4" s="1"/>
  <c r="AU2" i="2"/>
  <c r="AU2" i="1"/>
  <c r="AU45" i="1" s="1"/>
  <c r="AU2" i="10"/>
  <c r="AV25" i="1"/>
  <c r="AU141" i="1"/>
  <c r="AV288" i="4"/>
  <c r="AV197" i="4"/>
  <c r="AV246" i="4"/>
  <c r="AV49" i="1"/>
  <c r="AV48" i="1"/>
  <c r="AV47" i="1"/>
  <c r="AV50" i="1"/>
  <c r="B136" i="1"/>
  <c r="B137" i="1" s="1"/>
  <c r="AU113" i="4"/>
  <c r="AF120" i="10"/>
  <c r="AG107" i="10"/>
  <c r="AG118" i="10" s="1"/>
  <c r="AG111" i="10"/>
  <c r="AF117" i="10"/>
  <c r="AT577" i="2"/>
  <c r="AT12" i="2"/>
  <c r="AT121" i="2" s="1"/>
  <c r="AT14" i="2"/>
  <c r="AT139" i="2" s="1"/>
  <c r="AT13" i="2"/>
  <c r="AT157" i="2" s="1"/>
  <c r="AT603" i="2"/>
  <c r="AP42" i="2"/>
  <c r="AT59" i="1"/>
  <c r="AT187" i="4"/>
  <c r="AT252" i="4"/>
  <c r="AT236" i="4"/>
  <c r="AT203" i="4"/>
  <c r="AT294" i="4"/>
  <c r="AT497" i="2"/>
  <c r="AQ4" i="2"/>
  <c r="AU849" i="2"/>
  <c r="AU848" i="2" s="1"/>
  <c r="AT850" i="2"/>
  <c r="AT857" i="2"/>
  <c r="AT856" i="2" s="1"/>
  <c r="AS858" i="2"/>
  <c r="AU54" i="1"/>
  <c r="AT55" i="1"/>
  <c r="AT53" i="1" s="1"/>
  <c r="N170" i="4"/>
  <c r="N160" i="4"/>
  <c r="AQ47" i="4"/>
  <c r="AV62" i="10"/>
  <c r="AV57" i="10"/>
  <c r="AS499" i="2"/>
  <c r="AT495" i="2"/>
  <c r="AS673" i="2"/>
  <c r="AT672" i="2"/>
  <c r="O345" i="4"/>
  <c r="AR90" i="4"/>
  <c r="AS93" i="10"/>
  <c r="AR86" i="4"/>
  <c r="AS65" i="10"/>
  <c r="N260" i="4"/>
  <c r="AT582" i="2"/>
  <c r="P43" i="4"/>
  <c r="F38" i="7" s="1"/>
  <c r="AS124" i="10"/>
  <c r="AQ317" i="4"/>
  <c r="AR146" i="1"/>
  <c r="AT111" i="4"/>
  <c r="AO178" i="4"/>
  <c r="AP131" i="1"/>
  <c r="Q328" i="4"/>
  <c r="Q1013" i="2"/>
  <c r="Q666" i="2" s="1"/>
  <c r="Q665" i="2" s="1"/>
  <c r="N241" i="4"/>
  <c r="Z71" i="10"/>
  <c r="Z72" i="10" s="1"/>
  <c r="AQ4" i="5"/>
  <c r="AQ222" i="4"/>
  <c r="AQ313" i="4"/>
  <c r="AQ891" i="2"/>
  <c r="AQ464" i="2"/>
  <c r="AQ1" i="2"/>
  <c r="AQ862" i="2"/>
  <c r="AQ38" i="1"/>
  <c r="AQ68" i="1"/>
  <c r="AS644" i="2"/>
  <c r="AS645" i="2" s="1"/>
  <c r="AR226" i="4"/>
  <c r="AS120" i="1"/>
  <c r="N216" i="4"/>
  <c r="AR82" i="4"/>
  <c r="AS97" i="10"/>
  <c r="AR651" i="2"/>
  <c r="AS650" i="2"/>
  <c r="AT601" i="2"/>
  <c r="P337" i="4"/>
  <c r="AS606" i="2"/>
  <c r="AR663" i="2"/>
  <c r="AS662" i="2"/>
  <c r="Q325" i="4"/>
  <c r="Q337" i="4" s="1"/>
  <c r="Q344" i="4" s="1"/>
  <c r="Q345" i="4" s="1"/>
  <c r="Q1012" i="2"/>
  <c r="Q43" i="4" s="1"/>
  <c r="AS656" i="2"/>
  <c r="AT593" i="2"/>
  <c r="S86" i="10"/>
  <c r="AR102" i="4"/>
  <c r="AS125" i="10"/>
  <c r="T78" i="10"/>
  <c r="AR29" i="1"/>
  <c r="AR27" i="1"/>
  <c r="AS26" i="1"/>
  <c r="AR28" i="1"/>
  <c r="N297" i="4"/>
  <c r="N211" i="4"/>
  <c r="N265" i="4"/>
  <c r="P33" i="4"/>
  <c r="F28" i="7" s="1"/>
  <c r="P151" i="4"/>
  <c r="P112" i="4"/>
  <c r="P114" i="4" s="1"/>
  <c r="AQ491" i="2"/>
  <c r="AQ13" i="4" s="1"/>
  <c r="AR487" i="2"/>
  <c r="O141" i="1"/>
  <c r="AS140" i="1"/>
  <c r="S16" i="4"/>
  <c r="S330" i="4"/>
  <c r="S977" i="2"/>
  <c r="P99" i="4"/>
  <c r="P104" i="4" s="1"/>
  <c r="P676" i="2"/>
  <c r="P677" i="2" s="1"/>
  <c r="P678" i="2" s="1"/>
  <c r="AR627" i="2"/>
  <c r="AS626" i="2"/>
  <c r="AR668" i="2"/>
  <c r="AS667" i="2"/>
  <c r="N218" i="4"/>
  <c r="AS638" i="2"/>
  <c r="AR275" i="4"/>
  <c r="AS123" i="1"/>
  <c r="O180" i="4"/>
  <c r="O67" i="4"/>
  <c r="O228" i="4"/>
  <c r="O125" i="4"/>
  <c r="O128" i="4" s="1"/>
  <c r="O948" i="2" s="1"/>
  <c r="O277" i="4"/>
  <c r="AQ592" i="2"/>
  <c r="AQ14" i="4" s="1"/>
  <c r="AR588" i="2"/>
  <c r="AS632" i="2"/>
  <c r="AS633" i="2" s="1"/>
  <c r="N192" i="4"/>
  <c r="AR645" i="2"/>
  <c r="N267" i="4"/>
  <c r="AQ55" i="10" l="1"/>
  <c r="AQ14" i="1"/>
  <c r="AQ332" i="2"/>
  <c r="AQ952" i="2"/>
  <c r="AQ880" i="2"/>
  <c r="AQ1" i="4"/>
  <c r="AQ271" i="4"/>
  <c r="AQ138" i="4"/>
  <c r="AQ1" i="1"/>
  <c r="AQ90" i="10"/>
  <c r="AQ1" i="10"/>
  <c r="AQ113" i="1"/>
  <c r="AQ102" i="10"/>
  <c r="AQ682" i="2"/>
  <c r="AQ826" i="2"/>
  <c r="AQ80" i="2"/>
  <c r="AQ513" i="2"/>
  <c r="AQ841" i="2"/>
  <c r="AQ615" i="2"/>
  <c r="AQ4" i="4"/>
  <c r="AQ73" i="4"/>
  <c r="AQ37" i="4"/>
  <c r="AQ119" i="4"/>
  <c r="AQ174" i="4"/>
  <c r="AQ1" i="5"/>
  <c r="AQ42" i="2"/>
  <c r="AT569" i="2"/>
  <c r="AT565" i="2" s="1"/>
  <c r="AT570" i="2" s="1"/>
  <c r="AT600" i="2" s="1"/>
  <c r="AU59" i="1"/>
  <c r="AU103" i="4"/>
  <c r="AT523" i="2"/>
  <c r="AT519" i="2" s="1"/>
  <c r="AT524" i="2" s="1"/>
  <c r="AU108" i="4"/>
  <c r="AQ709" i="2"/>
  <c r="AP822" i="2"/>
  <c r="AU92" i="4"/>
  <c r="AU83" i="4"/>
  <c r="X799" i="2"/>
  <c r="X736" i="2"/>
  <c r="X795" i="2"/>
  <c r="X732" i="2"/>
  <c r="X784" i="2"/>
  <c r="X705" i="2"/>
  <c r="X700" i="2"/>
  <c r="W781" i="2"/>
  <c r="AQ58" i="4"/>
  <c r="AP279" i="4"/>
  <c r="AP229" i="4"/>
  <c r="AQ455" i="2"/>
  <c r="AQ631" i="2" s="1"/>
  <c r="AQ629" i="2" s="1"/>
  <c r="AQ80" i="4" s="1"/>
  <c r="AT550" i="2"/>
  <c r="AT546" i="2" s="1"/>
  <c r="AT551" i="2" s="1"/>
  <c r="AK40" i="4"/>
  <c r="AK460" i="2"/>
  <c r="AS341" i="2"/>
  <c r="AP454" i="2"/>
  <c r="AL452" i="2"/>
  <c r="AL450" i="2" s="1"/>
  <c r="AM458" i="2"/>
  <c r="AM649" i="2" s="1"/>
  <c r="AM647" i="2" s="1"/>
  <c r="AM97" i="4" s="1"/>
  <c r="AU422" i="2"/>
  <c r="AU416" i="2"/>
  <c r="AU414" i="2"/>
  <c r="AU411" i="2"/>
  <c r="AU407" i="2"/>
  <c r="AU409" i="2"/>
  <c r="AT406" i="2"/>
  <c r="AT413" i="2" s="1"/>
  <c r="AS423" i="2"/>
  <c r="AS424" i="2" s="1"/>
  <c r="AS418" i="2" s="1"/>
  <c r="AS573" i="2"/>
  <c r="AB122" i="4"/>
  <c r="AB867" i="2"/>
  <c r="AB872" i="2" s="1"/>
  <c r="AT531" i="2"/>
  <c r="AT527" i="2" s="1"/>
  <c r="AT532" i="2" s="1"/>
  <c r="AR572" i="2"/>
  <c r="AQ611" i="2"/>
  <c r="AR965" i="2"/>
  <c r="AT540" i="2"/>
  <c r="AR818" i="2"/>
  <c r="AR968" i="2" s="1"/>
  <c r="AS804" i="2"/>
  <c r="AS962" i="2" s="1"/>
  <c r="AT427" i="2"/>
  <c r="AT428" i="2" s="1"/>
  <c r="AT435" i="2" s="1"/>
  <c r="AR52" i="4"/>
  <c r="M47" i="7" s="1"/>
  <c r="AR817" i="2"/>
  <c r="AT739" i="2"/>
  <c r="AT733" i="2"/>
  <c r="M48" i="7"/>
  <c r="AS776" i="2"/>
  <c r="AU352" i="2"/>
  <c r="AU257" i="2"/>
  <c r="AU294" i="2"/>
  <c r="AU221" i="2"/>
  <c r="AU148" i="2"/>
  <c r="AU312" i="2"/>
  <c r="AU112" i="2"/>
  <c r="AU276" i="2"/>
  <c r="AU203" i="2"/>
  <c r="AU94" i="2"/>
  <c r="AU185" i="2"/>
  <c r="AU130" i="2"/>
  <c r="AU239" i="2"/>
  <c r="AU166" i="2"/>
  <c r="AU750" i="2"/>
  <c r="AU529" i="2"/>
  <c r="AU442" i="2"/>
  <c r="AU548" i="2"/>
  <c r="AU399" i="2"/>
  <c r="AU378" i="2"/>
  <c r="AU521" i="2"/>
  <c r="AU537" i="2"/>
  <c r="AU692" i="2"/>
  <c r="AU567" i="2"/>
  <c r="AU722" i="2"/>
  <c r="AU556" i="2"/>
  <c r="AV72" i="1"/>
  <c r="AR962" i="2"/>
  <c r="AQ279" i="4"/>
  <c r="AQ182" i="4"/>
  <c r="AQ229" i="4"/>
  <c r="AS797" i="2"/>
  <c r="AS790" i="2" s="1"/>
  <c r="AS53" i="4" s="1"/>
  <c r="AT708" i="2"/>
  <c r="AT789" i="2" s="1"/>
  <c r="AT702" i="2"/>
  <c r="AT782" i="2" s="1"/>
  <c r="AT767" i="2"/>
  <c r="AT761" i="2"/>
  <c r="AS574" i="2"/>
  <c r="AR597" i="2"/>
  <c r="AR585" i="2"/>
  <c r="AT558" i="2"/>
  <c r="AT554" i="2" s="1"/>
  <c r="AT559" i="2" s="1"/>
  <c r="AM376" i="2"/>
  <c r="AS587" i="2"/>
  <c r="AT337" i="2"/>
  <c r="AS586" i="2"/>
  <c r="AN372" i="2"/>
  <c r="AT304" i="2"/>
  <c r="AT305" i="2" s="1"/>
  <c r="AT213" i="2"/>
  <c r="AT214" i="2" s="1"/>
  <c r="AT86" i="2"/>
  <c r="AT87" i="2" s="1"/>
  <c r="Q33" i="4"/>
  <c r="AO143" i="4"/>
  <c r="AO144" i="4"/>
  <c r="Q49" i="4"/>
  <c r="Q277" i="4" s="1"/>
  <c r="Q276" i="4" s="1"/>
  <c r="R991" i="2"/>
  <c r="R327" i="4" s="1"/>
  <c r="S148" i="4"/>
  <c r="AT268" i="2"/>
  <c r="AT269" i="2" s="1"/>
  <c r="AB109" i="4"/>
  <c r="Z1007" i="2"/>
  <c r="Z1008" i="2" s="1"/>
  <c r="Z1002" i="2" s="1"/>
  <c r="Z1003" i="2" s="1"/>
  <c r="Z1004" i="2" s="1"/>
  <c r="Z335" i="4" s="1"/>
  <c r="AT231" i="2"/>
  <c r="AT232" i="2" s="1"/>
  <c r="Z998" i="2"/>
  <c r="Z999" i="2" s="1"/>
  <c r="Z333" i="4" s="1"/>
  <c r="Z334" i="4"/>
  <c r="AT104" i="2"/>
  <c r="AT105" i="2" s="1"/>
  <c r="AE923" i="2"/>
  <c r="AE921" i="2" s="1"/>
  <c r="AE937" i="2"/>
  <c r="AE21" i="4" s="1"/>
  <c r="AC869" i="2"/>
  <c r="AC873" i="2" s="1"/>
  <c r="AC963" i="2" s="1"/>
  <c r="AC972" i="2" s="1"/>
  <c r="AC958" i="2" s="1"/>
  <c r="AC872" i="2"/>
  <c r="AT177" i="2"/>
  <c r="AT178" i="2" s="1"/>
  <c r="AA998" i="2"/>
  <c r="AA334" i="4"/>
  <c r="AD921" i="2"/>
  <c r="AD938" i="2"/>
  <c r="AD44" i="4" s="1"/>
  <c r="AT470" i="2"/>
  <c r="AT471" i="2" s="1"/>
  <c r="AG902" i="2"/>
  <c r="Z913" i="2"/>
  <c r="Z944" i="2"/>
  <c r="AH903" i="2"/>
  <c r="AU924" i="2"/>
  <c r="AU905" i="2"/>
  <c r="AU931" i="2"/>
  <c r="AU932" i="2" s="1"/>
  <c r="AO42" i="4"/>
  <c r="AS598" i="2"/>
  <c r="AT158" i="2"/>
  <c r="AT159" i="2" s="1"/>
  <c r="AT249" i="2"/>
  <c r="AT250" i="2" s="1"/>
  <c r="AQ608" i="2"/>
  <c r="AP610" i="2"/>
  <c r="AT195" i="2"/>
  <c r="AT196" i="2" s="1"/>
  <c r="AS605" i="2"/>
  <c r="AS15" i="4" s="1"/>
  <c r="AU568" i="2"/>
  <c r="AU557" i="2"/>
  <c r="AU549" i="2"/>
  <c r="AP584" i="2"/>
  <c r="AQ580" i="2"/>
  <c r="AP579" i="2"/>
  <c r="AP10" i="4" s="1"/>
  <c r="AP143" i="4" s="1"/>
  <c r="AQ575" i="2"/>
  <c r="AU538" i="2"/>
  <c r="AU539" i="2" s="1"/>
  <c r="AU535" i="2" s="1"/>
  <c r="AU530" i="2"/>
  <c r="AU522" i="2"/>
  <c r="AP356" i="2"/>
  <c r="AM655" i="2"/>
  <c r="AU426" i="2"/>
  <c r="AU438" i="2"/>
  <c r="AU436" i="2"/>
  <c r="AU444" i="2"/>
  <c r="AU429" i="2"/>
  <c r="AU431" i="2"/>
  <c r="AU433" i="2"/>
  <c r="AS445" i="2"/>
  <c r="AS446" i="2" s="1"/>
  <c r="AS440" i="2" s="1"/>
  <c r="AT286" i="2"/>
  <c r="AT287" i="2" s="1"/>
  <c r="AR339" i="2"/>
  <c r="AQ345" i="2"/>
  <c r="AT140" i="2"/>
  <c r="AT141" i="2" s="1"/>
  <c r="AT385" i="2"/>
  <c r="AT392" i="2" s="1"/>
  <c r="AT402" i="2" s="1"/>
  <c r="AT403" i="2" s="1"/>
  <c r="AT397" i="2" s="1"/>
  <c r="AT29" i="2"/>
  <c r="AT37" i="2"/>
  <c r="AT25" i="2"/>
  <c r="AT33" i="2"/>
  <c r="AT22" i="2"/>
  <c r="AT27" i="2"/>
  <c r="AT35" i="2"/>
  <c r="AS38" i="2"/>
  <c r="AS336" i="2" s="1"/>
  <c r="AS338" i="2" s="1"/>
  <c r="AS451" i="2" s="1"/>
  <c r="AU390" i="2"/>
  <c r="AU388" i="2"/>
  <c r="AU386" i="2"/>
  <c r="AU401" i="2"/>
  <c r="AU393" i="2"/>
  <c r="AU18" i="2"/>
  <c r="AU21" i="2"/>
  <c r="AU19" i="2"/>
  <c r="AU395" i="2"/>
  <c r="AU17" i="2"/>
  <c r="AU20" i="2"/>
  <c r="AS30" i="2"/>
  <c r="AS402" i="2"/>
  <c r="AS403" i="2" s="1"/>
  <c r="AS397" i="2" s="1"/>
  <c r="AT26" i="2"/>
  <c r="AT34" i="2"/>
  <c r="AT28" i="2"/>
  <c r="AT36" i="2"/>
  <c r="AS768" i="2"/>
  <c r="AQ346" i="2"/>
  <c r="AO348" i="2"/>
  <c r="AN350" i="2"/>
  <c r="AN964" i="2"/>
  <c r="AU354" i="2"/>
  <c r="AU343" i="2"/>
  <c r="AT122" i="2"/>
  <c r="AT123" i="2" s="1"/>
  <c r="AT758" i="2"/>
  <c r="AT755" i="2"/>
  <c r="AT762" i="2" s="1"/>
  <c r="AS793" i="2"/>
  <c r="AS91" i="4" s="1"/>
  <c r="AR369" i="2"/>
  <c r="AR456" i="2" s="1"/>
  <c r="AO955" i="2"/>
  <c r="AO321" i="4" s="1"/>
  <c r="AO449" i="2"/>
  <c r="AO382" i="2"/>
  <c r="AO453" i="2" s="1"/>
  <c r="AN374" i="2"/>
  <c r="AN459" i="2" s="1"/>
  <c r="AL77" i="4"/>
  <c r="AL653" i="2"/>
  <c r="AL675" i="2" s="1"/>
  <c r="AP382" i="2"/>
  <c r="AR365" i="2"/>
  <c r="AQ371" i="2"/>
  <c r="AQ381" i="2" s="1"/>
  <c r="AR367" i="2"/>
  <c r="AR457" i="2" s="1"/>
  <c r="AN8" i="4"/>
  <c r="L7" i="7" s="1"/>
  <c r="AS794" i="2"/>
  <c r="AS671" i="2" s="1"/>
  <c r="AS670" i="2" s="1"/>
  <c r="AS98" i="4" s="1"/>
  <c r="AT364" i="2"/>
  <c r="AU380" i="2"/>
  <c r="AU364" i="2" s="1"/>
  <c r="AQ509" i="2"/>
  <c r="AQ986" i="2" s="1"/>
  <c r="AQ331" i="4" s="1"/>
  <c r="AR476" i="2"/>
  <c r="AR502" i="2"/>
  <c r="AR984" i="2"/>
  <c r="AR332" i="4" s="1"/>
  <c r="AR506" i="2"/>
  <c r="AR985" i="2" s="1"/>
  <c r="AQ504" i="2"/>
  <c r="AQ661" i="2" s="1"/>
  <c r="AQ659" i="2" s="1"/>
  <c r="AQ100" i="4" s="1"/>
  <c r="AQ500" i="2"/>
  <c r="AQ481" i="2"/>
  <c r="AP637" i="2"/>
  <c r="AP635" i="2" s="1"/>
  <c r="AP79" i="4" s="1"/>
  <c r="AS472" i="2"/>
  <c r="AS478" i="2" s="1"/>
  <c r="AS503" i="2" s="1"/>
  <c r="AS477" i="2"/>
  <c r="AQ479" i="2"/>
  <c r="AP643" i="2"/>
  <c r="AP641" i="2" s="1"/>
  <c r="AP78" i="4" s="1"/>
  <c r="AP166" i="4" s="1"/>
  <c r="AT501" i="2"/>
  <c r="AP508" i="2"/>
  <c r="AP41" i="4" s="1"/>
  <c r="AP483" i="2"/>
  <c r="AP9" i="4" s="1"/>
  <c r="AU744" i="2"/>
  <c r="AU757" i="2" s="1"/>
  <c r="AU474" i="2"/>
  <c r="AU501" i="2"/>
  <c r="AR798" i="2"/>
  <c r="AR970" i="2" s="1"/>
  <c r="AS740" i="2"/>
  <c r="AT727" i="2"/>
  <c r="AT730" i="2"/>
  <c r="AT729" i="2"/>
  <c r="AT793" i="2" s="1"/>
  <c r="AU689" i="2"/>
  <c r="AU698" i="2" s="1"/>
  <c r="AU778" i="2" s="1"/>
  <c r="AU716" i="2"/>
  <c r="AT698" i="2"/>
  <c r="AT778" i="2" s="1"/>
  <c r="AT699" i="2"/>
  <c r="AT779" i="2" s="1"/>
  <c r="AS734" i="2"/>
  <c r="AT703" i="2"/>
  <c r="AT783" i="2" s="1"/>
  <c r="AQ146" i="2"/>
  <c r="AR135" i="2"/>
  <c r="AR124" i="2" s="1"/>
  <c r="AR251" i="2"/>
  <c r="AR215" i="2"/>
  <c r="AQ237" i="2"/>
  <c r="AR233" i="2"/>
  <c r="AR142" i="2"/>
  <c r="AR197" i="2"/>
  <c r="AS261" i="2"/>
  <c r="AS262" i="2" s="1"/>
  <c r="AR160" i="2"/>
  <c r="AR288" i="2"/>
  <c r="AR270" i="2"/>
  <c r="AS134" i="2"/>
  <c r="AS135" i="2" s="1"/>
  <c r="AR179" i="2"/>
  <c r="AS321" i="2"/>
  <c r="AS6" i="4" s="1"/>
  <c r="AO326" i="2"/>
  <c r="AO961" i="2" s="1"/>
  <c r="AP325" i="2"/>
  <c r="AR327" i="2"/>
  <c r="AR954" i="2" s="1"/>
  <c r="AR320" i="4" s="1"/>
  <c r="AM39" i="4"/>
  <c r="L34" i="7" s="1"/>
  <c r="AQ282" i="2"/>
  <c r="AR272" i="2"/>
  <c r="AQ300" i="2"/>
  <c r="AR290" i="2"/>
  <c r="AS316" i="2"/>
  <c r="AS317" i="2" s="1"/>
  <c r="AR317" i="2"/>
  <c r="AR306" i="2" s="1"/>
  <c r="AS298" i="2"/>
  <c r="AS299" i="2" s="1"/>
  <c r="AQ274" i="2"/>
  <c r="AS280" i="2"/>
  <c r="AS281" i="2" s="1"/>
  <c r="AQ292" i="2"/>
  <c r="AU302" i="2"/>
  <c r="AU315" i="2"/>
  <c r="AU297" i="2"/>
  <c r="AU284" i="2"/>
  <c r="AU279" i="2"/>
  <c r="AU266" i="2"/>
  <c r="AQ318" i="2"/>
  <c r="AR308" i="2"/>
  <c r="AQ310" i="2"/>
  <c r="AN76" i="4"/>
  <c r="AN165" i="4" s="1"/>
  <c r="AO619" i="2"/>
  <c r="AO617" i="2" s="1"/>
  <c r="AP88" i="2"/>
  <c r="AP324" i="2" s="1"/>
  <c r="AO92" i="2"/>
  <c r="AO323" i="2" s="1"/>
  <c r="AS225" i="2"/>
  <c r="AS226" i="2" s="1"/>
  <c r="AP227" i="2"/>
  <c r="AQ217" i="2"/>
  <c r="AP219" i="2"/>
  <c r="AP263" i="2"/>
  <c r="AQ253" i="2"/>
  <c r="AP255" i="2"/>
  <c r="AS189" i="2"/>
  <c r="AS190" i="2" s="1"/>
  <c r="AS207" i="2"/>
  <c r="AS208" i="2" s="1"/>
  <c r="AU247" i="2"/>
  <c r="AU242" i="2"/>
  <c r="AU229" i="2"/>
  <c r="AU224" i="2"/>
  <c r="AU211" i="2"/>
  <c r="AU260" i="2"/>
  <c r="AU193" i="2"/>
  <c r="AU188" i="2"/>
  <c r="AU175" i="2"/>
  <c r="AU206" i="2"/>
  <c r="AS243" i="2"/>
  <c r="AS244" i="2" s="1"/>
  <c r="AP209" i="2"/>
  <c r="AQ199" i="2"/>
  <c r="AP201" i="2"/>
  <c r="AP191" i="2"/>
  <c r="AQ181" i="2"/>
  <c r="AP183" i="2"/>
  <c r="AQ245" i="2"/>
  <c r="AR235" i="2"/>
  <c r="Q151" i="4"/>
  <c r="AM101" i="4"/>
  <c r="AN623" i="2"/>
  <c r="AN961" i="2"/>
  <c r="AN328" i="2"/>
  <c r="AP118" i="2"/>
  <c r="AQ108" i="2"/>
  <c r="AP110" i="2"/>
  <c r="AU156" i="2"/>
  <c r="AU151" i="2"/>
  <c r="AU169" i="2"/>
  <c r="AU120" i="2"/>
  <c r="AU102" i="2"/>
  <c r="AU115" i="2"/>
  <c r="AU138" i="2"/>
  <c r="AU133" i="2"/>
  <c r="AQ154" i="2"/>
  <c r="AR144" i="2"/>
  <c r="AP172" i="2"/>
  <c r="AQ162" i="2"/>
  <c r="AP136" i="2"/>
  <c r="AP128" i="2"/>
  <c r="AQ126" i="2"/>
  <c r="AS116" i="2"/>
  <c r="AS117" i="2" s="1"/>
  <c r="AS170" i="2"/>
  <c r="AS171" i="2" s="1"/>
  <c r="AS152" i="2"/>
  <c r="AS153" i="2" s="1"/>
  <c r="AP164" i="2"/>
  <c r="AR141" i="4"/>
  <c r="AR146" i="4"/>
  <c r="AR99" i="2"/>
  <c r="AQ100" i="2"/>
  <c r="AR90" i="2"/>
  <c r="AU84" i="2"/>
  <c r="AU97" i="2"/>
  <c r="AS98" i="2"/>
  <c r="AU497" i="2"/>
  <c r="AU489" i="2"/>
  <c r="AU603" i="2"/>
  <c r="AU577" i="2"/>
  <c r="AU595" i="2"/>
  <c r="AU590" i="2"/>
  <c r="AU883" i="2"/>
  <c r="AV289" i="4"/>
  <c r="AG116" i="10"/>
  <c r="AG112" i="10"/>
  <c r="AH111" i="10" s="1"/>
  <c r="AF114" i="10"/>
  <c r="AF122" i="10"/>
  <c r="AV2" i="4"/>
  <c r="AV2" i="5"/>
  <c r="AV2" i="2"/>
  <c r="AV2" i="10"/>
  <c r="AV2" i="1"/>
  <c r="AV45" i="1" s="1"/>
  <c r="AV141" i="1"/>
  <c r="AV113" i="4"/>
  <c r="AV92" i="4"/>
  <c r="AJ237" i="4"/>
  <c r="R237" i="4"/>
  <c r="AK237" i="4"/>
  <c r="Q237" i="4"/>
  <c r="AH237" i="4"/>
  <c r="W237" i="4"/>
  <c r="AT237" i="4"/>
  <c r="AD237" i="4"/>
  <c r="Y237" i="4"/>
  <c r="AB237" i="4"/>
  <c r="J237" i="4"/>
  <c r="I237" i="4"/>
  <c r="AR237" i="4"/>
  <c r="L237" i="4"/>
  <c r="AI237" i="4"/>
  <c r="AL237" i="4"/>
  <c r="O237" i="4"/>
  <c r="Z237" i="4"/>
  <c r="AN237" i="4"/>
  <c r="S237" i="4"/>
  <c r="U237" i="4"/>
  <c r="T237" i="4"/>
  <c r="P237" i="4"/>
  <c r="AM237" i="4"/>
  <c r="AE237" i="4"/>
  <c r="V237" i="4"/>
  <c r="M237" i="4"/>
  <c r="X237" i="4"/>
  <c r="AU237" i="4"/>
  <c r="N237" i="4"/>
  <c r="AO237" i="4"/>
  <c r="H237" i="4"/>
  <c r="G237" i="4"/>
  <c r="AF237" i="4"/>
  <c r="AS237" i="4"/>
  <c r="AG237" i="4"/>
  <c r="AQ237" i="4"/>
  <c r="AC237" i="4"/>
  <c r="AP237" i="4"/>
  <c r="V188" i="4"/>
  <c r="X188" i="4"/>
  <c r="AP188" i="4"/>
  <c r="AR188" i="4"/>
  <c r="AF188" i="4"/>
  <c r="AM188" i="4"/>
  <c r="H188" i="4"/>
  <c r="AH188" i="4"/>
  <c r="U188" i="4"/>
  <c r="W188" i="4"/>
  <c r="Y188" i="4"/>
  <c r="L188" i="4"/>
  <c r="Q188" i="4"/>
  <c r="AQ188" i="4"/>
  <c r="J188" i="4"/>
  <c r="Z188" i="4"/>
  <c r="O188" i="4"/>
  <c r="S188" i="4"/>
  <c r="AE188" i="4"/>
  <c r="AL188" i="4"/>
  <c r="AJ188" i="4"/>
  <c r="T188" i="4"/>
  <c r="AD188" i="4"/>
  <c r="P188" i="4"/>
  <c r="AC188" i="4"/>
  <c r="I188" i="4"/>
  <c r="AK188" i="4"/>
  <c r="N188" i="4"/>
  <c r="R188" i="4"/>
  <c r="M188" i="4"/>
  <c r="AI188" i="4"/>
  <c r="AB188" i="4"/>
  <c r="AS188" i="4"/>
  <c r="AO188" i="4"/>
  <c r="AT188" i="4"/>
  <c r="AG188" i="4"/>
  <c r="AN188" i="4"/>
  <c r="AU188" i="4"/>
  <c r="G188" i="4"/>
  <c r="K237" i="4"/>
  <c r="K188" i="4"/>
  <c r="AU12" i="2"/>
  <c r="AU121" i="2" s="1"/>
  <c r="AU13" i="2"/>
  <c r="AU157" i="2" s="1"/>
  <c r="AU14" i="2"/>
  <c r="AU139" i="2" s="1"/>
  <c r="AV103" i="4"/>
  <c r="AU236" i="4"/>
  <c r="AU294" i="4"/>
  <c r="AU203" i="4"/>
  <c r="AU187" i="4"/>
  <c r="AU252" i="4"/>
  <c r="AU247" i="4"/>
  <c r="AV247" i="4" s="1"/>
  <c r="AU44" i="1"/>
  <c r="AV44" i="1" s="1"/>
  <c r="AU198" i="4"/>
  <c r="AV198" i="4" s="1"/>
  <c r="AT858" i="2"/>
  <c r="AU857" i="2"/>
  <c r="AU856" i="2" s="1"/>
  <c r="AU850" i="2"/>
  <c r="AV849" i="2"/>
  <c r="AV848" i="2" s="1"/>
  <c r="AV54" i="1"/>
  <c r="AU55" i="1"/>
  <c r="AU53" i="1" s="1"/>
  <c r="P130" i="4"/>
  <c r="AR47" i="4"/>
  <c r="M42" i="7" s="1"/>
  <c r="AR592" i="2"/>
  <c r="AR14" i="4" s="1"/>
  <c r="M12" i="7" s="1"/>
  <c r="AS588" i="2"/>
  <c r="AT638" i="2"/>
  <c r="AT639" i="2" s="1"/>
  <c r="Q99" i="4"/>
  <c r="Q104" i="4" s="1"/>
  <c r="Q676" i="2"/>
  <c r="Q677" i="2" s="1"/>
  <c r="Q678" i="2" s="1"/>
  <c r="AS82" i="4"/>
  <c r="AT97" i="10"/>
  <c r="AS226" i="4"/>
  <c r="AT120" i="1"/>
  <c r="O276" i="4"/>
  <c r="Q112" i="4"/>
  <c r="Q114" i="4" s="1"/>
  <c r="AS627" i="2"/>
  <c r="AT626" i="2"/>
  <c r="S978" i="2"/>
  <c r="AR34" i="1"/>
  <c r="AR55" i="2" s="1"/>
  <c r="AU601" i="2"/>
  <c r="AT644" i="2"/>
  <c r="AT645" i="2" s="1"/>
  <c r="AT124" i="10"/>
  <c r="AS90" i="4"/>
  <c r="AT93" i="10"/>
  <c r="O346" i="4"/>
  <c r="AS651" i="2"/>
  <c r="AT650" i="2"/>
  <c r="AA70" i="10"/>
  <c r="AS29" i="1"/>
  <c r="AS27" i="1"/>
  <c r="AT26" i="1"/>
  <c r="AS28" i="1"/>
  <c r="AS102" i="4"/>
  <c r="AT125" i="10"/>
  <c r="AR317" i="4"/>
  <c r="AS146" i="1"/>
  <c r="AR491" i="2"/>
  <c r="AR13" i="4" s="1"/>
  <c r="AS487" i="2"/>
  <c r="AT621" i="2"/>
  <c r="AU593" i="2"/>
  <c r="AS86" i="4"/>
  <c r="AT65" i="10"/>
  <c r="AT673" i="2"/>
  <c r="AU672" i="2"/>
  <c r="AT632" i="2"/>
  <c r="AT633" i="2" s="1"/>
  <c r="O227" i="4"/>
  <c r="AS621" i="2"/>
  <c r="S17" i="4"/>
  <c r="P158" i="4"/>
  <c r="T79" i="10"/>
  <c r="AT606" i="2"/>
  <c r="AP178" i="4"/>
  <c r="AQ131" i="1"/>
  <c r="AS663" i="2"/>
  <c r="AT662" i="2"/>
  <c r="AT656" i="2"/>
  <c r="AT657" i="2" s="1"/>
  <c r="AS657" i="2"/>
  <c r="O69" i="4"/>
  <c r="N141" i="1"/>
  <c r="AT140" i="1"/>
  <c r="P159" i="4"/>
  <c r="S89" i="4"/>
  <c r="S93" i="4" s="1"/>
  <c r="S169" i="4" s="1"/>
  <c r="T84" i="10"/>
  <c r="N255" i="4"/>
  <c r="AU582" i="2"/>
  <c r="N206" i="4"/>
  <c r="AS275" i="4"/>
  <c r="AT123" i="1"/>
  <c r="P116" i="4"/>
  <c r="P344" i="4"/>
  <c r="AS639" i="2"/>
  <c r="AS668" i="2"/>
  <c r="AT667" i="2"/>
  <c r="O179" i="4"/>
  <c r="AU111" i="4"/>
  <c r="P49" i="4"/>
  <c r="F44" i="7" s="1"/>
  <c r="AT499" i="2"/>
  <c r="AU495" i="2"/>
  <c r="AU523" i="2" l="1"/>
  <c r="AU519" i="2" s="1"/>
  <c r="AU524" i="2" s="1"/>
  <c r="AT599" i="2"/>
  <c r="AT598" i="2" s="1"/>
  <c r="AU569" i="2"/>
  <c r="AU565" i="2" s="1"/>
  <c r="AU599" i="2" s="1"/>
  <c r="AV83" i="4"/>
  <c r="AV108" i="4"/>
  <c r="W87" i="4"/>
  <c r="W979" i="2"/>
  <c r="AR709" i="2"/>
  <c r="AQ822" i="2"/>
  <c r="AV59" i="1"/>
  <c r="X780" i="2"/>
  <c r="X701" i="2"/>
  <c r="X785" i="2"/>
  <c r="Y704" i="2"/>
  <c r="X796" i="2"/>
  <c r="Y731" i="2"/>
  <c r="X800" i="2"/>
  <c r="Y735" i="2"/>
  <c r="AU550" i="2"/>
  <c r="AU546" i="2" s="1"/>
  <c r="AU551" i="2" s="1"/>
  <c r="AT573" i="2"/>
  <c r="AL40" i="4"/>
  <c r="AL460" i="2"/>
  <c r="AT341" i="2"/>
  <c r="AU540" i="2"/>
  <c r="AS572" i="2"/>
  <c r="AM452" i="2"/>
  <c r="AM450" i="2" s="1"/>
  <c r="AN458" i="2"/>
  <c r="AN649" i="2" s="1"/>
  <c r="AN647" i="2" s="1"/>
  <c r="AN97" i="4" s="1"/>
  <c r="AR455" i="2"/>
  <c r="AR631" i="2" s="1"/>
  <c r="AR629" i="2" s="1"/>
  <c r="AR80" i="4" s="1"/>
  <c r="AR973" i="2"/>
  <c r="AP453" i="2"/>
  <c r="AP964" i="2" s="1"/>
  <c r="AU427" i="2"/>
  <c r="AU428" i="2" s="1"/>
  <c r="AU435" i="2" s="1"/>
  <c r="AU445" i="2" s="1"/>
  <c r="AU446" i="2" s="1"/>
  <c r="AU440" i="2" s="1"/>
  <c r="AU406" i="2"/>
  <c r="AU413" i="2" s="1"/>
  <c r="AT423" i="2"/>
  <c r="AT424" i="2" s="1"/>
  <c r="AT418" i="2" s="1"/>
  <c r="AU531" i="2"/>
  <c r="AU527" i="2" s="1"/>
  <c r="AV416" i="2"/>
  <c r="AV414" i="2"/>
  <c r="AV422" i="2"/>
  <c r="AV405" i="2"/>
  <c r="AV407" i="2"/>
  <c r="AV411" i="2"/>
  <c r="AV409" i="2"/>
  <c r="AR611" i="2"/>
  <c r="AS56" i="4"/>
  <c r="AR58" i="4"/>
  <c r="M53" i="7" s="1"/>
  <c r="AS965" i="2"/>
  <c r="AT574" i="2"/>
  <c r="AT804" i="2"/>
  <c r="AT962" i="2" s="1"/>
  <c r="AV352" i="2"/>
  <c r="AV257" i="2"/>
  <c r="AV185" i="2"/>
  <c r="AV312" i="2"/>
  <c r="AV239" i="2"/>
  <c r="AV294" i="2"/>
  <c r="AV112" i="2"/>
  <c r="AV94" i="2"/>
  <c r="AV276" i="2"/>
  <c r="AV221" i="2"/>
  <c r="AV148" i="2"/>
  <c r="AV166" i="2"/>
  <c r="AV130" i="2"/>
  <c r="AV203" i="2"/>
  <c r="AV529" i="2"/>
  <c r="AV722" i="2"/>
  <c r="AV442" i="2"/>
  <c r="AV750" i="2"/>
  <c r="AV399" i="2"/>
  <c r="AV378" i="2"/>
  <c r="AV567" i="2"/>
  <c r="AV556" i="2"/>
  <c r="AV537" i="2"/>
  <c r="AV521" i="2"/>
  <c r="AV692" i="2"/>
  <c r="AV548" i="2"/>
  <c r="AR229" i="4"/>
  <c r="M73" i="7" s="1"/>
  <c r="AT797" i="2"/>
  <c r="AT790" i="2" s="1"/>
  <c r="AT53" i="4" s="1"/>
  <c r="AT776" i="2"/>
  <c r="AU739" i="2"/>
  <c r="AU733" i="2"/>
  <c r="AS817" i="2"/>
  <c r="AS52" i="4"/>
  <c r="AU708" i="2"/>
  <c r="AU789" i="2" s="1"/>
  <c r="AU702" i="2"/>
  <c r="AU782" i="2" s="1"/>
  <c r="AU767" i="2"/>
  <c r="AU761" i="2"/>
  <c r="AS818" i="2"/>
  <c r="AS968" i="2" s="1"/>
  <c r="AT587" i="2"/>
  <c r="AS597" i="2"/>
  <c r="AT586" i="2"/>
  <c r="AU337" i="2"/>
  <c r="AU558" i="2"/>
  <c r="AU554" i="2" s="1"/>
  <c r="AU559" i="2" s="1"/>
  <c r="AS585" i="2"/>
  <c r="AU213" i="2"/>
  <c r="AU214" i="2" s="1"/>
  <c r="AU470" i="2"/>
  <c r="AU471" i="2" s="1"/>
  <c r="AU304" i="2"/>
  <c r="AU305" i="2" s="1"/>
  <c r="AO372" i="2"/>
  <c r="AU86" i="2"/>
  <c r="AU87" i="2" s="1"/>
  <c r="R994" i="2"/>
  <c r="R995" i="2" s="1"/>
  <c r="R988" i="2" s="1"/>
  <c r="R326" i="4" s="1"/>
  <c r="Q125" i="4"/>
  <c r="Q128" i="4" s="1"/>
  <c r="Q948" i="2" s="1"/>
  <c r="AU268" i="2"/>
  <c r="AU269" i="2" s="1"/>
  <c r="Q67" i="4"/>
  <c r="Q228" i="4"/>
  <c r="Q227" i="4" s="1"/>
  <c r="Q232" i="4" s="1"/>
  <c r="Q180" i="4"/>
  <c r="Q179" i="4" s="1"/>
  <c r="Q190" i="4" s="1"/>
  <c r="H81" i="7"/>
  <c r="E81" i="7"/>
  <c r="K81" i="7"/>
  <c r="G81" i="7"/>
  <c r="F81" i="7"/>
  <c r="L81" i="7"/>
  <c r="D81" i="7"/>
  <c r="M81" i="7"/>
  <c r="J81" i="7"/>
  <c r="AU231" i="2"/>
  <c r="AU232" i="2" s="1"/>
  <c r="AB869" i="2"/>
  <c r="AB873" i="2" s="1"/>
  <c r="AB963" i="2" s="1"/>
  <c r="AB972" i="2" s="1"/>
  <c r="AB974" i="2" s="1"/>
  <c r="AA999" i="2"/>
  <c r="AA333" i="4" s="1"/>
  <c r="AU177" i="2"/>
  <c r="AU178" i="2" s="1"/>
  <c r="AA1006" i="2"/>
  <c r="AA1007" i="2" s="1"/>
  <c r="AA1008" i="2" s="1"/>
  <c r="AA1002" i="2" s="1"/>
  <c r="Z336" i="4"/>
  <c r="AU104" i="2"/>
  <c r="AU105" i="2" s="1"/>
  <c r="AE939" i="2"/>
  <c r="AE934" i="2" s="1"/>
  <c r="AD939" i="2"/>
  <c r="AD945" i="2" s="1"/>
  <c r="AD25" i="4" s="1"/>
  <c r="AD278" i="4"/>
  <c r="AD181" i="4"/>
  <c r="AD126" i="4"/>
  <c r="AC26" i="4"/>
  <c r="AC871" i="2"/>
  <c r="AC46" i="4" s="1"/>
  <c r="AB26" i="4"/>
  <c r="I21" i="7" s="1"/>
  <c r="AC959" i="2"/>
  <c r="AC324" i="4"/>
  <c r="AF922" i="2"/>
  <c r="AE938" i="2"/>
  <c r="AU249" i="2"/>
  <c r="AU250" i="2" s="1"/>
  <c r="AH904" i="2"/>
  <c r="AH902" i="2" s="1"/>
  <c r="Z943" i="2"/>
  <c r="AA912" i="2"/>
  <c r="AV924" i="2"/>
  <c r="AV931" i="2"/>
  <c r="AX931" i="2" s="1"/>
  <c r="AV905" i="2"/>
  <c r="AU158" i="2"/>
  <c r="AU159" i="2" s="1"/>
  <c r="AT605" i="2"/>
  <c r="AT15" i="4" s="1"/>
  <c r="AP42" i="4"/>
  <c r="AU195" i="2"/>
  <c r="AU196" i="2" s="1"/>
  <c r="AR608" i="2"/>
  <c r="AQ610" i="2"/>
  <c r="AV568" i="2"/>
  <c r="AV557" i="2"/>
  <c r="AV549" i="2"/>
  <c r="AR580" i="2"/>
  <c r="AQ584" i="2"/>
  <c r="AR575" i="2"/>
  <c r="AQ579" i="2"/>
  <c r="AQ10" i="4" s="1"/>
  <c r="AV538" i="2"/>
  <c r="AV539" i="2" s="1"/>
  <c r="AX539" i="2" s="1"/>
  <c r="AV530" i="2"/>
  <c r="AV522" i="2"/>
  <c r="AV523" i="2" s="1"/>
  <c r="AU286" i="2"/>
  <c r="AU287" i="2" s="1"/>
  <c r="AV426" i="2"/>
  <c r="AX426" i="2" s="1"/>
  <c r="AV438" i="2"/>
  <c r="AV436" i="2"/>
  <c r="AV444" i="2"/>
  <c r="AV433" i="2"/>
  <c r="AV429" i="2"/>
  <c r="AV431" i="2"/>
  <c r="AT445" i="2"/>
  <c r="AT446" i="2" s="1"/>
  <c r="AT440" i="2" s="1"/>
  <c r="AQ355" i="2"/>
  <c r="AQ454" i="2" s="1"/>
  <c r="AS339" i="2"/>
  <c r="AR345" i="2"/>
  <c r="AR355" i="2" s="1"/>
  <c r="AU140" i="2"/>
  <c r="AU141" i="2" s="1"/>
  <c r="AU28" i="2"/>
  <c r="AU36" i="2"/>
  <c r="AU25" i="2"/>
  <c r="AU33" i="2"/>
  <c r="AU22" i="2"/>
  <c r="AU385" i="2"/>
  <c r="AU392" i="2" s="1"/>
  <c r="AU27" i="2"/>
  <c r="AU35" i="2"/>
  <c r="AV390" i="2"/>
  <c r="AV388" i="2"/>
  <c r="AV386" i="2"/>
  <c r="AV395" i="2"/>
  <c r="AV393" i="2"/>
  <c r="AV17" i="2"/>
  <c r="AV20" i="2"/>
  <c r="AV401" i="2"/>
  <c r="AV19" i="2"/>
  <c r="AV21" i="2"/>
  <c r="AV18" i="2"/>
  <c r="AU29" i="2"/>
  <c r="AU37" i="2"/>
  <c r="AT38" i="2"/>
  <c r="AT336" i="2" s="1"/>
  <c r="AT338" i="2" s="1"/>
  <c r="AT451" i="2" s="1"/>
  <c r="AU26" i="2"/>
  <c r="AU34" i="2"/>
  <c r="AT30" i="2"/>
  <c r="AU122" i="2"/>
  <c r="AU123" i="2" s="1"/>
  <c r="AT763" i="2"/>
  <c r="AT764" i="2" s="1"/>
  <c r="AT768" i="2"/>
  <c r="AT759" i="2"/>
  <c r="AT760" i="2" s="1"/>
  <c r="AP348" i="2"/>
  <c r="AO350" i="2"/>
  <c r="AT794" i="2"/>
  <c r="AT671" i="2" s="1"/>
  <c r="AT670" i="2" s="1"/>
  <c r="AT98" i="4" s="1"/>
  <c r="AR346" i="2"/>
  <c r="AV354" i="2"/>
  <c r="AV343" i="2"/>
  <c r="AN142" i="4"/>
  <c r="AN167" i="4"/>
  <c r="AN7" i="4"/>
  <c r="AS367" i="2"/>
  <c r="AS457" i="2" s="1"/>
  <c r="AN655" i="2"/>
  <c r="AO374" i="2"/>
  <c r="AO459" i="2" s="1"/>
  <c r="AN376" i="2"/>
  <c r="AN452" i="2" s="1"/>
  <c r="AM653" i="2"/>
  <c r="AM675" i="2" s="1"/>
  <c r="AM77" i="4"/>
  <c r="AP955" i="2"/>
  <c r="AP321" i="4" s="1"/>
  <c r="AP449" i="2"/>
  <c r="AS365" i="2"/>
  <c r="AR371" i="2"/>
  <c r="AR381" i="2" s="1"/>
  <c r="AO964" i="2"/>
  <c r="AO8" i="4"/>
  <c r="AS369" i="2"/>
  <c r="AS456" i="2" s="1"/>
  <c r="AQ382" i="2"/>
  <c r="AV380" i="2"/>
  <c r="AQ508" i="2"/>
  <c r="AQ41" i="4" s="1"/>
  <c r="AR509" i="2"/>
  <c r="AR986" i="2" s="1"/>
  <c r="AR331" i="4" s="1"/>
  <c r="AU758" i="2"/>
  <c r="AR479" i="2"/>
  <c r="AQ643" i="2"/>
  <c r="AQ641" i="2" s="1"/>
  <c r="AQ78" i="4" s="1"/>
  <c r="AQ166" i="4" s="1"/>
  <c r="AP144" i="4"/>
  <c r="AS984" i="2"/>
  <c r="AS332" i="4" s="1"/>
  <c r="AS506" i="2"/>
  <c r="AS985" i="2" s="1"/>
  <c r="AU755" i="2"/>
  <c r="AU762" i="2" s="1"/>
  <c r="AS476" i="2"/>
  <c r="AS502" i="2"/>
  <c r="AQ637" i="2"/>
  <c r="AQ635" i="2" s="1"/>
  <c r="AQ79" i="4" s="1"/>
  <c r="AR481" i="2"/>
  <c r="AR504" i="2"/>
  <c r="AR661" i="2" s="1"/>
  <c r="AR659" i="2" s="1"/>
  <c r="AR100" i="4" s="1"/>
  <c r="AT472" i="2"/>
  <c r="AT478" i="2" s="1"/>
  <c r="AT503" i="2" s="1"/>
  <c r="AT477" i="2"/>
  <c r="AQ483" i="2"/>
  <c r="AQ9" i="4" s="1"/>
  <c r="AR500" i="2"/>
  <c r="AV744" i="2"/>
  <c r="AV755" i="2" s="1"/>
  <c r="AV474" i="2"/>
  <c r="AU697" i="2"/>
  <c r="AU703" i="2" s="1"/>
  <c r="AU783" i="2" s="1"/>
  <c r="AT91" i="4"/>
  <c r="AS798" i="2"/>
  <c r="AS970" i="2" s="1"/>
  <c r="AU699" i="2"/>
  <c r="AU779" i="2" s="1"/>
  <c r="AU727" i="2"/>
  <c r="AU730" i="2"/>
  <c r="AU729" i="2"/>
  <c r="AV689" i="2"/>
  <c r="AV699" i="2" s="1"/>
  <c r="AV779" i="2" s="1"/>
  <c r="AV716" i="2"/>
  <c r="AT740" i="2"/>
  <c r="AT734" i="2"/>
  <c r="AS270" i="2"/>
  <c r="AS233" i="2"/>
  <c r="AS124" i="2"/>
  <c r="AS306" i="2"/>
  <c r="AS197" i="2"/>
  <c r="AS142" i="2"/>
  <c r="AS179" i="2"/>
  <c r="AS215" i="2"/>
  <c r="AS288" i="2"/>
  <c r="AS160" i="2"/>
  <c r="AT280" i="2"/>
  <c r="AT281" i="2" s="1"/>
  <c r="AS106" i="2"/>
  <c r="AS251" i="2"/>
  <c r="AP326" i="2"/>
  <c r="AP961" i="2" s="1"/>
  <c r="AQ325" i="2"/>
  <c r="AT321" i="2"/>
  <c r="AT6" i="4" s="1"/>
  <c r="AR322" i="2"/>
  <c r="AS327" i="2"/>
  <c r="AS954" i="2" s="1"/>
  <c r="AS320" i="4" s="1"/>
  <c r="AT298" i="2"/>
  <c r="AT299" i="2" s="1"/>
  <c r="AR282" i="2"/>
  <c r="AS272" i="2"/>
  <c r="AV315" i="2"/>
  <c r="AV302" i="2"/>
  <c r="AV297" i="2"/>
  <c r="AV284" i="2"/>
  <c r="AV279" i="2"/>
  <c r="AV266" i="2"/>
  <c r="AT316" i="2"/>
  <c r="AT317" i="2" s="1"/>
  <c r="AR318" i="2"/>
  <c r="AS308" i="2"/>
  <c r="AR300" i="2"/>
  <c r="AS290" i="2"/>
  <c r="AR292" i="2"/>
  <c r="AR310" i="2"/>
  <c r="AR274" i="2"/>
  <c r="AO76" i="4"/>
  <c r="AO165" i="4" s="1"/>
  <c r="AP619" i="2"/>
  <c r="AP617" i="2" s="1"/>
  <c r="AP92" i="2"/>
  <c r="AP323" i="2" s="1"/>
  <c r="AQ88" i="2"/>
  <c r="AQ324" i="2" s="1"/>
  <c r="AO328" i="2"/>
  <c r="AV260" i="2"/>
  <c r="AV247" i="2"/>
  <c r="AV229" i="2"/>
  <c r="AV242" i="2"/>
  <c r="AV206" i="2"/>
  <c r="AV224" i="2"/>
  <c r="AV175" i="2"/>
  <c r="AV188" i="2"/>
  <c r="AV211" i="2"/>
  <c r="AV193" i="2"/>
  <c r="AQ191" i="2"/>
  <c r="AR181" i="2"/>
  <c r="AQ183" i="2"/>
  <c r="AT225" i="2"/>
  <c r="AT243" i="2"/>
  <c r="AT244" i="2" s="1"/>
  <c r="AQ263" i="2"/>
  <c r="AR253" i="2"/>
  <c r="AQ255" i="2"/>
  <c r="AT207" i="2"/>
  <c r="AT208" i="2" s="1"/>
  <c r="AT261" i="2"/>
  <c r="AT262" i="2" s="1"/>
  <c r="AR245" i="2"/>
  <c r="AS235" i="2"/>
  <c r="AT189" i="2"/>
  <c r="AT190" i="2" s="1"/>
  <c r="AR237" i="2"/>
  <c r="AQ209" i="2"/>
  <c r="AR199" i="2"/>
  <c r="AQ201" i="2"/>
  <c r="AQ227" i="2"/>
  <c r="AR217" i="2"/>
  <c r="AQ219" i="2"/>
  <c r="N293" i="4"/>
  <c r="N251" i="4"/>
  <c r="N202" i="4"/>
  <c r="AO39" i="4"/>
  <c r="AO625" i="2"/>
  <c r="AO623" i="2" s="1"/>
  <c r="AS141" i="4"/>
  <c r="AS146" i="4"/>
  <c r="AT116" i="2"/>
  <c r="AV169" i="2"/>
  <c r="AV138" i="2"/>
  <c r="AV156" i="2"/>
  <c r="AV133" i="2"/>
  <c r="AV120" i="2"/>
  <c r="AV151" i="2"/>
  <c r="AV115" i="2"/>
  <c r="AV102" i="2"/>
  <c r="AT170" i="2"/>
  <c r="AT171" i="2" s="1"/>
  <c r="AT152" i="2"/>
  <c r="AT153" i="2" s="1"/>
  <c r="AT134" i="2"/>
  <c r="AT135" i="2" s="1"/>
  <c r="AQ172" i="2"/>
  <c r="AR162" i="2"/>
  <c r="AQ164" i="2"/>
  <c r="AQ118" i="2"/>
  <c r="AR108" i="2"/>
  <c r="AQ110" i="2"/>
  <c r="AQ136" i="2"/>
  <c r="AR126" i="2"/>
  <c r="AQ128" i="2"/>
  <c r="AR154" i="2"/>
  <c r="AS144" i="2"/>
  <c r="AR146" i="2"/>
  <c r="AS99" i="2"/>
  <c r="AS322" i="2" s="1"/>
  <c r="AT98" i="2"/>
  <c r="AR100" i="2"/>
  <c r="AS90" i="2"/>
  <c r="AV97" i="2"/>
  <c r="AV84" i="2"/>
  <c r="AV13" i="2"/>
  <c r="AV14" i="2"/>
  <c r="AV12" i="2"/>
  <c r="AV595" i="2"/>
  <c r="AV590" i="2"/>
  <c r="AV236" i="4"/>
  <c r="AX236" i="4" s="1"/>
  <c r="O80" i="7" s="1"/>
  <c r="AV187" i="4"/>
  <c r="AX187" i="4" s="1"/>
  <c r="AV603" i="2"/>
  <c r="AV497" i="2"/>
  <c r="AV489" i="2"/>
  <c r="AH116" i="10"/>
  <c r="AH112" i="10"/>
  <c r="AH117" i="10" s="1"/>
  <c r="AV577" i="2"/>
  <c r="AG110" i="10"/>
  <c r="AG117" i="10"/>
  <c r="AS34" i="1"/>
  <c r="AS55" i="2" s="1"/>
  <c r="AV883" i="2"/>
  <c r="AR4" i="2"/>
  <c r="AR42" i="2"/>
  <c r="AV850" i="2"/>
  <c r="AU858" i="2"/>
  <c r="AV857" i="2"/>
  <c r="AV856" i="2" s="1"/>
  <c r="AV55" i="1"/>
  <c r="AV53" i="1" s="1"/>
  <c r="AT86" i="4"/>
  <c r="AU65" i="10"/>
  <c r="AT651" i="2"/>
  <c r="AU650" i="2"/>
  <c r="AT90" i="4"/>
  <c r="AU93" i="10"/>
  <c r="AR4" i="5"/>
  <c r="AR1" i="5"/>
  <c r="AR222" i="4"/>
  <c r="AR138" i="4"/>
  <c r="AR4" i="4"/>
  <c r="AR313" i="4"/>
  <c r="AR174" i="4"/>
  <c r="AR119" i="4"/>
  <c r="AR1" i="4"/>
  <c r="AR37" i="4"/>
  <c r="AR73" i="4"/>
  <c r="AR271" i="4"/>
  <c r="AR332" i="2"/>
  <c r="AR1" i="2"/>
  <c r="AR615" i="2"/>
  <c r="AR841" i="2"/>
  <c r="AR891" i="2"/>
  <c r="AR80" i="2"/>
  <c r="AR952" i="2"/>
  <c r="AR880" i="2"/>
  <c r="AR464" i="2"/>
  <c r="AR862" i="2"/>
  <c r="AR682" i="2"/>
  <c r="AR513" i="2"/>
  <c r="AR826" i="2"/>
  <c r="AR1" i="10"/>
  <c r="AR102" i="10"/>
  <c r="AR1" i="1"/>
  <c r="AR14" i="1"/>
  <c r="AR68" i="1"/>
  <c r="AR38" i="1"/>
  <c r="AR113" i="1"/>
  <c r="AR90" i="10"/>
  <c r="AR55" i="10"/>
  <c r="AT82" i="4"/>
  <c r="AU97" i="10"/>
  <c r="AS47" i="4"/>
  <c r="AV601" i="2"/>
  <c r="S329" i="4"/>
  <c r="AT668" i="2"/>
  <c r="AU667" i="2"/>
  <c r="P345" i="4"/>
  <c r="P346" i="4" s="1"/>
  <c r="Q346" i="4" s="1"/>
  <c r="AV582" i="2"/>
  <c r="AU656" i="2"/>
  <c r="AU606" i="2"/>
  <c r="AU621" i="2"/>
  <c r="AT29" i="1"/>
  <c r="AT27" i="1"/>
  <c r="AU26" i="1"/>
  <c r="AT28" i="1"/>
  <c r="AU124" i="10"/>
  <c r="AT627" i="2"/>
  <c r="AU626" i="2"/>
  <c r="AU638" i="2"/>
  <c r="T85" i="10"/>
  <c r="T20" i="4"/>
  <c r="AT275" i="4"/>
  <c r="AU123" i="1"/>
  <c r="AU673" i="2"/>
  <c r="AV672" i="2"/>
  <c r="AS491" i="2"/>
  <c r="AS13" i="4" s="1"/>
  <c r="AT487" i="2"/>
  <c r="AA71" i="10"/>
  <c r="AA72" i="10" s="1"/>
  <c r="AU499" i="2"/>
  <c r="AV495" i="2"/>
  <c r="P67" i="4"/>
  <c r="F62" i="7" s="1"/>
  <c r="P228" i="4"/>
  <c r="F72" i="7" s="1"/>
  <c r="P277" i="4"/>
  <c r="P125" i="4"/>
  <c r="P128" i="4" s="1"/>
  <c r="P948" i="2" s="1"/>
  <c r="P180" i="4"/>
  <c r="O75" i="4"/>
  <c r="O84" i="4" s="1"/>
  <c r="O947" i="2"/>
  <c r="O887" i="2"/>
  <c r="P68" i="4"/>
  <c r="T88" i="4"/>
  <c r="T981" i="2"/>
  <c r="T976" i="2" s="1"/>
  <c r="U77" i="10"/>
  <c r="AS317" i="4"/>
  <c r="AT146" i="1"/>
  <c r="Q306" i="4"/>
  <c r="Q307" i="4" s="1"/>
  <c r="Q290" i="4"/>
  <c r="Q293" i="4"/>
  <c r="Q308" i="4"/>
  <c r="Q309" i="4" s="1"/>
  <c r="Q282" i="4"/>
  <c r="AV111" i="4"/>
  <c r="O190" i="4"/>
  <c r="O183" i="4"/>
  <c r="M141" i="1"/>
  <c r="AU140" i="1"/>
  <c r="AT663" i="2"/>
  <c r="AU662" i="2"/>
  <c r="O232" i="4"/>
  <c r="O239" i="4"/>
  <c r="Q130" i="4"/>
  <c r="Q159" i="4"/>
  <c r="Q158" i="4"/>
  <c r="O301" i="4"/>
  <c r="O282" i="4"/>
  <c r="O308" i="4"/>
  <c r="O306" i="4"/>
  <c r="O293" i="4"/>
  <c r="O290" i="4"/>
  <c r="AT226" i="4"/>
  <c r="AU120" i="1"/>
  <c r="AS592" i="2"/>
  <c r="AS14" i="4" s="1"/>
  <c r="AT588" i="2"/>
  <c r="AQ178" i="4"/>
  <c r="AR131" i="1"/>
  <c r="S152" i="4"/>
  <c r="S22" i="4"/>
  <c r="S189" i="4"/>
  <c r="S238" i="4"/>
  <c r="S161" i="4"/>
  <c r="S121" i="4"/>
  <c r="S123" i="4" s="1"/>
  <c r="AU632" i="2"/>
  <c r="AU633" i="2" s="1"/>
  <c r="AV593" i="2"/>
  <c r="AT102" i="4"/>
  <c r="AU125" i="10"/>
  <c r="AU644" i="2"/>
  <c r="AU645" i="2" s="1"/>
  <c r="Q116" i="4"/>
  <c r="AV569" i="2" l="1"/>
  <c r="AU570" i="2"/>
  <c r="AU600" i="2" s="1"/>
  <c r="AU598" i="2" s="1"/>
  <c r="AU573" i="2"/>
  <c r="AV550" i="2"/>
  <c r="AX550" i="2" s="1"/>
  <c r="AR279" i="4"/>
  <c r="AT34" i="1"/>
  <c r="AT55" i="2" s="1"/>
  <c r="Y799" i="2"/>
  <c r="Y736" i="2"/>
  <c r="Y795" i="2"/>
  <c r="Y732" i="2"/>
  <c r="Y784" i="2"/>
  <c r="Y705" i="2"/>
  <c r="X781" i="2"/>
  <c r="Y700" i="2"/>
  <c r="AS709" i="2"/>
  <c r="AR822" i="2"/>
  <c r="AI111" i="10"/>
  <c r="AH110" i="10"/>
  <c r="AI107" i="10" s="1"/>
  <c r="AI118" i="10" s="1"/>
  <c r="AV427" i="2"/>
  <c r="AT572" i="2"/>
  <c r="AR454" i="2"/>
  <c r="AS455" i="2"/>
  <c r="AS631" i="2" s="1"/>
  <c r="AS629" i="2" s="1"/>
  <c r="AS80" i="4" s="1"/>
  <c r="AM40" i="4"/>
  <c r="AM460" i="2"/>
  <c r="AO458" i="2"/>
  <c r="AO649" i="2" s="1"/>
  <c r="AO647" i="2" s="1"/>
  <c r="AO97" i="4" s="1"/>
  <c r="AU341" i="2"/>
  <c r="AS611" i="2"/>
  <c r="AU532" i="2"/>
  <c r="AU574" i="2" s="1"/>
  <c r="AU572" i="2" s="1"/>
  <c r="AV406" i="2"/>
  <c r="AX405" i="2"/>
  <c r="AU423" i="2"/>
  <c r="AU424" i="2" s="1"/>
  <c r="AU418" i="2" s="1"/>
  <c r="AV531" i="2"/>
  <c r="AX531" i="2" s="1"/>
  <c r="AR182" i="4"/>
  <c r="AT56" i="4"/>
  <c r="AS973" i="2"/>
  <c r="AT818" i="2"/>
  <c r="AT968" i="2" s="1"/>
  <c r="AT597" i="2"/>
  <c r="AT965" i="2"/>
  <c r="AT52" i="4"/>
  <c r="AT817" i="2"/>
  <c r="AS58" i="4"/>
  <c r="AV767" i="2"/>
  <c r="AX767" i="2" s="1"/>
  <c r="AV761" i="2"/>
  <c r="AX761" i="2" s="1"/>
  <c r="AT585" i="2"/>
  <c r="AT611" i="2" s="1"/>
  <c r="AU776" i="2"/>
  <c r="AV708" i="2"/>
  <c r="AV702" i="2"/>
  <c r="AU797" i="2"/>
  <c r="AU790" i="2" s="1"/>
  <c r="AU53" i="4" s="1"/>
  <c r="AV739" i="2"/>
  <c r="AV733" i="2"/>
  <c r="AU804" i="2"/>
  <c r="AU962" i="2" s="1"/>
  <c r="N80" i="7"/>
  <c r="AV337" i="2"/>
  <c r="AV558" i="2"/>
  <c r="AX558" i="2" s="1"/>
  <c r="AV213" i="2"/>
  <c r="AV214" i="2" s="1"/>
  <c r="AU586" i="2"/>
  <c r="AV304" i="2"/>
  <c r="AV305" i="2" s="1"/>
  <c r="AU587" i="2"/>
  <c r="AV470" i="2"/>
  <c r="AV471" i="2" s="1"/>
  <c r="AV477" i="2" s="1"/>
  <c r="AO376" i="2"/>
  <c r="AO452" i="2" s="1"/>
  <c r="AP372" i="2"/>
  <c r="AV86" i="2"/>
  <c r="AV87" i="2" s="1"/>
  <c r="R1011" i="2"/>
  <c r="R989" i="2"/>
  <c r="R1013" i="2" s="1"/>
  <c r="R666" i="2" s="1"/>
  <c r="R665" i="2" s="1"/>
  <c r="R29" i="4"/>
  <c r="R30" i="4" s="1"/>
  <c r="AV177" i="2"/>
  <c r="AV178" i="2" s="1"/>
  <c r="S993" i="2"/>
  <c r="AV268" i="2"/>
  <c r="AV269" i="2" s="1"/>
  <c r="Q239" i="4"/>
  <c r="Q248" i="4" s="1"/>
  <c r="Q183" i="4"/>
  <c r="S28" i="4"/>
  <c r="S991" i="2" s="1"/>
  <c r="AQ143" i="4"/>
  <c r="AN11" i="4"/>
  <c r="L10" i="7" s="1"/>
  <c r="L6" i="7"/>
  <c r="T145" i="4"/>
  <c r="G17" i="7"/>
  <c r="AV231" i="2"/>
  <c r="AV232" i="2" s="1"/>
  <c r="AB958" i="2"/>
  <c r="AB324" i="4" s="1"/>
  <c r="AB871" i="2"/>
  <c r="AB46" i="4" s="1"/>
  <c r="AV104" i="2"/>
  <c r="AV105" i="2" s="1"/>
  <c r="AD934" i="2"/>
  <c r="AB1006" i="2"/>
  <c r="AE106" i="4"/>
  <c r="AD106" i="4"/>
  <c r="AD867" i="2" s="1"/>
  <c r="AF923" i="2"/>
  <c r="AG922" i="2" s="1"/>
  <c r="AF937" i="2"/>
  <c r="AF21" i="4" s="1"/>
  <c r="J18" i="7" s="1"/>
  <c r="AB81" i="4"/>
  <c r="AC974" i="2"/>
  <c r="AA336" i="4"/>
  <c r="AA1003" i="2"/>
  <c r="AA1004" i="2" s="1"/>
  <c r="AA335" i="4" s="1"/>
  <c r="AE945" i="2"/>
  <c r="AE25" i="4" s="1"/>
  <c r="AE44" i="4"/>
  <c r="AC1009" i="2"/>
  <c r="AC1000" i="2"/>
  <c r="AC997" i="2" s="1"/>
  <c r="AC1005" i="2"/>
  <c r="AV249" i="2"/>
  <c r="AV250" i="2" s="1"/>
  <c r="AV158" i="2"/>
  <c r="AV932" i="2"/>
  <c r="AA944" i="2"/>
  <c r="AA913" i="2"/>
  <c r="AI903" i="2"/>
  <c r="AV195" i="2"/>
  <c r="AV196" i="2" s="1"/>
  <c r="AU605" i="2"/>
  <c r="AU15" i="4" s="1"/>
  <c r="AQ42" i="4"/>
  <c r="AS608" i="2"/>
  <c r="AR610" i="2"/>
  <c r="AX569" i="2"/>
  <c r="AV565" i="2"/>
  <c r="AV599" i="2" s="1"/>
  <c r="AV605" i="2" s="1"/>
  <c r="AV15" i="4" s="1"/>
  <c r="AS575" i="2"/>
  <c r="AR579" i="2"/>
  <c r="AR10" i="4" s="1"/>
  <c r="AR143" i="4" s="1"/>
  <c r="AS580" i="2"/>
  <c r="AR584" i="2"/>
  <c r="AX523" i="2"/>
  <c r="AV519" i="2"/>
  <c r="AV286" i="2"/>
  <c r="AV287" i="2" s="1"/>
  <c r="AV535" i="2"/>
  <c r="AV428" i="2"/>
  <c r="AV435" i="2" s="1"/>
  <c r="AO655" i="2"/>
  <c r="AQ356" i="2"/>
  <c r="AQ453" i="2" s="1"/>
  <c r="AR356" i="2"/>
  <c r="AT339" i="2"/>
  <c r="AS345" i="2"/>
  <c r="AS355" i="2" s="1"/>
  <c r="AV140" i="2"/>
  <c r="AV122" i="2"/>
  <c r="AV28" i="2"/>
  <c r="AV36" i="2"/>
  <c r="AV25" i="2"/>
  <c r="AV33" i="2"/>
  <c r="AV22" i="2"/>
  <c r="AU402" i="2"/>
  <c r="AU403" i="2" s="1"/>
  <c r="AU397" i="2" s="1"/>
  <c r="AV26" i="2"/>
  <c r="AV34" i="2"/>
  <c r="AV29" i="2"/>
  <c r="AV37" i="2"/>
  <c r="AU30" i="2"/>
  <c r="AV385" i="2"/>
  <c r="AX384" i="2"/>
  <c r="AU38" i="2"/>
  <c r="AU336" i="2" s="1"/>
  <c r="AV27" i="2"/>
  <c r="AV35" i="2"/>
  <c r="AU768" i="2"/>
  <c r="AQ348" i="2"/>
  <c r="AP350" i="2"/>
  <c r="AN450" i="2"/>
  <c r="AN40" i="4" s="1"/>
  <c r="AS346" i="2"/>
  <c r="AU763" i="2"/>
  <c r="AU764" i="2" s="1"/>
  <c r="AV763" i="2" s="1"/>
  <c r="AX763" i="2" s="1"/>
  <c r="AV757" i="2"/>
  <c r="AX744" i="2"/>
  <c r="AV758" i="2"/>
  <c r="AT369" i="2"/>
  <c r="AT456" i="2" s="1"/>
  <c r="AT367" i="2"/>
  <c r="AT457" i="2" s="1"/>
  <c r="AT365" i="2"/>
  <c r="AS371" i="2"/>
  <c r="AU794" i="2"/>
  <c r="AU671" i="2" s="1"/>
  <c r="AU670" i="2" s="1"/>
  <c r="AU98" i="4" s="1"/>
  <c r="AR382" i="2"/>
  <c r="AU759" i="2"/>
  <c r="AU760" i="2" s="1"/>
  <c r="AV759" i="2" s="1"/>
  <c r="AX759" i="2" s="1"/>
  <c r="AP8" i="4"/>
  <c r="AP374" i="2"/>
  <c r="AP459" i="2" s="1"/>
  <c r="AQ955" i="2"/>
  <c r="AQ321" i="4" s="1"/>
  <c r="AQ449" i="2"/>
  <c r="AO142" i="4"/>
  <c r="AO167" i="4"/>
  <c r="AO7" i="4"/>
  <c r="AN653" i="2"/>
  <c r="AN675" i="2" s="1"/>
  <c r="AN77" i="4"/>
  <c r="AV364" i="2"/>
  <c r="AX358" i="2"/>
  <c r="AR508" i="2"/>
  <c r="AR41" i="4" s="1"/>
  <c r="M36" i="7" s="1"/>
  <c r="AR483" i="2"/>
  <c r="AR9" i="4" s="1"/>
  <c r="AR144" i="4" s="1"/>
  <c r="AS509" i="2"/>
  <c r="AS986" i="2" s="1"/>
  <c r="AS331" i="4" s="1"/>
  <c r="AT984" i="2"/>
  <c r="AT332" i="4" s="1"/>
  <c r="AT506" i="2"/>
  <c r="AT985" i="2" s="1"/>
  <c r="AV501" i="2"/>
  <c r="AU472" i="2"/>
  <c r="AU478" i="2" s="1"/>
  <c r="AU503" i="2" s="1"/>
  <c r="AU477" i="2"/>
  <c r="AS504" i="2"/>
  <c r="AS661" i="2" s="1"/>
  <c r="AS659" i="2" s="1"/>
  <c r="AS100" i="4" s="1"/>
  <c r="AR637" i="2"/>
  <c r="AR635" i="2" s="1"/>
  <c r="AR79" i="4" s="1"/>
  <c r="AS481" i="2"/>
  <c r="AQ144" i="4"/>
  <c r="AS500" i="2"/>
  <c r="AS479" i="2"/>
  <c r="AR643" i="2"/>
  <c r="AR641" i="2" s="1"/>
  <c r="AR78" i="4" s="1"/>
  <c r="AR166" i="4" s="1"/>
  <c r="AT476" i="2"/>
  <c r="AT502" i="2"/>
  <c r="AV698" i="2"/>
  <c r="AV778" i="2" s="1"/>
  <c r="AV697" i="2"/>
  <c r="AV703" i="2" s="1"/>
  <c r="AU793" i="2"/>
  <c r="AU91" i="4" s="1"/>
  <c r="AT798" i="2"/>
  <c r="AT970" i="2" s="1"/>
  <c r="AV762" i="2"/>
  <c r="AX762" i="2" s="1"/>
  <c r="AX755" i="2"/>
  <c r="AX689" i="2"/>
  <c r="AV727" i="2"/>
  <c r="AV730" i="2"/>
  <c r="AV729" i="2"/>
  <c r="AX716" i="2"/>
  <c r="AU740" i="2"/>
  <c r="AU734" i="2"/>
  <c r="AT288" i="2"/>
  <c r="AS292" i="2"/>
  <c r="AT233" i="2"/>
  <c r="AT270" i="2"/>
  <c r="AT142" i="2"/>
  <c r="AT160" i="2"/>
  <c r="AU225" i="2"/>
  <c r="AU226" i="2" s="1"/>
  <c r="AU215" i="2" s="1"/>
  <c r="AT124" i="2"/>
  <c r="AT179" i="2"/>
  <c r="AU316" i="2"/>
  <c r="AU317" i="2" s="1"/>
  <c r="AU280" i="2"/>
  <c r="AU281" i="2" s="1"/>
  <c r="AT306" i="2"/>
  <c r="AT197" i="2"/>
  <c r="AT251" i="2"/>
  <c r="AR325" i="2"/>
  <c r="AQ326" i="2"/>
  <c r="AQ625" i="2" s="1"/>
  <c r="AT327" i="2"/>
  <c r="AT954" i="2" s="1"/>
  <c r="AT320" i="4" s="1"/>
  <c r="AU321" i="2"/>
  <c r="AU6" i="4" s="1"/>
  <c r="AX303" i="2"/>
  <c r="AS318" i="2"/>
  <c r="AT308" i="2"/>
  <c r="AU298" i="2"/>
  <c r="AU299" i="2" s="1"/>
  <c r="AS282" i="2"/>
  <c r="AT272" i="2"/>
  <c r="AX267" i="2"/>
  <c r="AS300" i="2"/>
  <c r="AT290" i="2"/>
  <c r="AS310" i="2"/>
  <c r="AX285" i="2"/>
  <c r="AS274" i="2"/>
  <c r="AQ619" i="2"/>
  <c r="AQ617" i="2" s="1"/>
  <c r="AR88" i="2"/>
  <c r="AR324" i="2" s="1"/>
  <c r="AQ92" i="2"/>
  <c r="AP328" i="2"/>
  <c r="AP76" i="4"/>
  <c r="AP165" i="4" s="1"/>
  <c r="AX176" i="2"/>
  <c r="AX230" i="2"/>
  <c r="AU243" i="2"/>
  <c r="AR191" i="2"/>
  <c r="AS181" i="2"/>
  <c r="AR183" i="2"/>
  <c r="AT226" i="2"/>
  <c r="AT215" i="2" s="1"/>
  <c r="AR227" i="2"/>
  <c r="AS217" i="2"/>
  <c r="AR219" i="2"/>
  <c r="AU207" i="2"/>
  <c r="AU208" i="2" s="1"/>
  <c r="AU189" i="2"/>
  <c r="AU190" i="2" s="1"/>
  <c r="AX248" i="2"/>
  <c r="AR209" i="2"/>
  <c r="AS199" i="2"/>
  <c r="AR201" i="2"/>
  <c r="AU261" i="2"/>
  <c r="AU262" i="2" s="1"/>
  <c r="AX194" i="2"/>
  <c r="AR263" i="2"/>
  <c r="AS253" i="2"/>
  <c r="AR255" i="2"/>
  <c r="AS245" i="2"/>
  <c r="AT235" i="2"/>
  <c r="AS237" i="2"/>
  <c r="AX212" i="2"/>
  <c r="M293" i="4"/>
  <c r="M251" i="4"/>
  <c r="M202" i="4"/>
  <c r="AX13" i="2"/>
  <c r="AV157" i="2"/>
  <c r="AX157" i="2" s="1"/>
  <c r="AX14" i="2"/>
  <c r="AV139" i="2"/>
  <c r="AX139" i="2" s="1"/>
  <c r="AX12" i="2"/>
  <c r="AV121" i="2"/>
  <c r="AO101" i="4"/>
  <c r="AP39" i="4"/>
  <c r="AP625" i="2"/>
  <c r="AP623" i="2" s="1"/>
  <c r="AX103" i="2"/>
  <c r="AU152" i="2"/>
  <c r="AU153" i="2" s="1"/>
  <c r="AR172" i="2"/>
  <c r="AS162" i="2"/>
  <c r="AR164" i="2"/>
  <c r="AU170" i="2"/>
  <c r="AU171" i="2" s="1"/>
  <c r="AU134" i="2"/>
  <c r="AU135" i="2" s="1"/>
  <c r="AS154" i="2"/>
  <c r="AT144" i="2"/>
  <c r="AR136" i="2"/>
  <c r="AS126" i="2"/>
  <c r="AR128" i="2"/>
  <c r="AT117" i="2"/>
  <c r="AT106" i="2" s="1"/>
  <c r="AU116" i="2"/>
  <c r="AU117" i="2" s="1"/>
  <c r="AR118" i="2"/>
  <c r="AS108" i="2"/>
  <c r="AR110" i="2"/>
  <c r="AS146" i="2"/>
  <c r="AT141" i="4"/>
  <c r="AT146" i="4"/>
  <c r="AT99" i="2"/>
  <c r="AX85" i="2"/>
  <c r="AS100" i="2"/>
  <c r="AT90" i="2"/>
  <c r="AU98" i="2"/>
  <c r="AS37" i="4"/>
  <c r="AS138" i="4"/>
  <c r="AS55" i="10"/>
  <c r="AS1" i="5"/>
  <c r="AS332" i="2"/>
  <c r="AS862" i="2"/>
  <c r="AS90" i="10"/>
  <c r="AS615" i="2"/>
  <c r="AS880" i="2"/>
  <c r="AS891" i="2"/>
  <c r="AS102" i="10"/>
  <c r="AS174" i="4"/>
  <c r="AS42" i="2"/>
  <c r="AS68" i="1"/>
  <c r="AS464" i="2"/>
  <c r="AS4" i="4"/>
  <c r="AS14" i="1"/>
  <c r="AS826" i="2"/>
  <c r="AS119" i="4"/>
  <c r="AS113" i="1"/>
  <c r="AS1" i="2"/>
  <c r="AS73" i="4"/>
  <c r="AS271" i="4"/>
  <c r="AS38" i="1"/>
  <c r="AS841" i="2"/>
  <c r="AS1" i="4"/>
  <c r="AG120" i="10"/>
  <c r="AH107" i="10"/>
  <c r="AH118" i="10" s="1"/>
  <c r="AI116" i="10"/>
  <c r="AI112" i="10"/>
  <c r="AH120" i="10"/>
  <c r="AS682" i="2"/>
  <c r="AS1" i="1"/>
  <c r="AS80" i="2"/>
  <c r="AS222" i="4"/>
  <c r="AS4" i="5"/>
  <c r="AS4" i="2"/>
  <c r="AS1" i="10"/>
  <c r="AS952" i="2"/>
  <c r="AS513" i="2"/>
  <c r="AS313" i="4"/>
  <c r="AV858" i="2"/>
  <c r="AT47" i="4"/>
  <c r="O95" i="4"/>
  <c r="O170" i="4" s="1"/>
  <c r="O163" i="4"/>
  <c r="AU663" i="2"/>
  <c r="AV662" i="2"/>
  <c r="O283" i="4"/>
  <c r="O184" i="4"/>
  <c r="P179" i="4"/>
  <c r="AT880" i="2"/>
  <c r="AU90" i="4"/>
  <c r="AV93" i="10"/>
  <c r="AU102" i="4"/>
  <c r="AV125" i="10"/>
  <c r="AU226" i="4"/>
  <c r="AV120" i="1"/>
  <c r="O302" i="4"/>
  <c r="O210" i="4"/>
  <c r="O191" i="4"/>
  <c r="O202" i="4"/>
  <c r="O199" i="4"/>
  <c r="O217" i="4"/>
  <c r="O215" i="4"/>
  <c r="AB70" i="10"/>
  <c r="AU275" i="4"/>
  <c r="AV123" i="1"/>
  <c r="AV638" i="2"/>
  <c r="AV639" i="2" s="1"/>
  <c r="AT491" i="2"/>
  <c r="AT13" i="4" s="1"/>
  <c r="AU487" i="2"/>
  <c r="O259" i="4"/>
  <c r="O251" i="4"/>
  <c r="O240" i="4"/>
  <c r="O266" i="4"/>
  <c r="O248" i="4"/>
  <c r="O264" i="4"/>
  <c r="U78" i="10"/>
  <c r="P69" i="4"/>
  <c r="F64" i="7" s="1"/>
  <c r="AV621" i="2"/>
  <c r="AU82" i="4"/>
  <c r="AV97" i="10"/>
  <c r="AU86" i="4"/>
  <c r="AV65" i="10"/>
  <c r="AT592" i="2"/>
  <c r="AT14" i="4" s="1"/>
  <c r="AU588" i="2"/>
  <c r="O309" i="4"/>
  <c r="L141" i="1"/>
  <c r="AV140" i="1"/>
  <c r="AT317" i="4"/>
  <c r="AU146" i="1"/>
  <c r="P276" i="4"/>
  <c r="AV124" i="10"/>
  <c r="P227" i="4"/>
  <c r="F71" i="7" s="1"/>
  <c r="AV606" i="2"/>
  <c r="O233" i="4"/>
  <c r="T16" i="4"/>
  <c r="T330" i="4"/>
  <c r="T977" i="2"/>
  <c r="AV499" i="2"/>
  <c r="AV673" i="2"/>
  <c r="T86" i="10"/>
  <c r="AV656" i="2"/>
  <c r="AR178" i="4"/>
  <c r="AS131" i="1"/>
  <c r="AU651" i="2"/>
  <c r="AV650" i="2"/>
  <c r="AU668" i="2"/>
  <c r="AV667" i="2"/>
  <c r="AV644" i="2"/>
  <c r="AV632" i="2"/>
  <c r="AV633" i="2" s="1"/>
  <c r="O307" i="4"/>
  <c r="Q199" i="4"/>
  <c r="Q202" i="4"/>
  <c r="Q217" i="4"/>
  <c r="Q218" i="4" s="1"/>
  <c r="Q215" i="4"/>
  <c r="Q216" i="4" s="1"/>
  <c r="Q191" i="4"/>
  <c r="AU639" i="2"/>
  <c r="AU627" i="2"/>
  <c r="AV626" i="2"/>
  <c r="AU29" i="1"/>
  <c r="AU27" i="1"/>
  <c r="AV26" i="1"/>
  <c r="AU28" i="1"/>
  <c r="AU657" i="2"/>
  <c r="AT90" i="10" l="1"/>
  <c r="AT4" i="5"/>
  <c r="AT42" i="2"/>
  <c r="AV546" i="2"/>
  <c r="AT1" i="10"/>
  <c r="AT222" i="4"/>
  <c r="AT68" i="1"/>
  <c r="AT1" i="2"/>
  <c r="AT841" i="2"/>
  <c r="AT73" i="4"/>
  <c r="AT14" i="1"/>
  <c r="AT102" i="10"/>
  <c r="AT891" i="2"/>
  <c r="AT464" i="2"/>
  <c r="AT862" i="2"/>
  <c r="AT119" i="4"/>
  <c r="AT37" i="4"/>
  <c r="AT174" i="4"/>
  <c r="AT38" i="1"/>
  <c r="AT113" i="1"/>
  <c r="AT55" i="10"/>
  <c r="AT826" i="2"/>
  <c r="AT1" i="1"/>
  <c r="AT80" i="2"/>
  <c r="AT615" i="2"/>
  <c r="AT332" i="2"/>
  <c r="AT513" i="2"/>
  <c r="AT682" i="2"/>
  <c r="AT952" i="2"/>
  <c r="AT1" i="4"/>
  <c r="AT271" i="4"/>
  <c r="AT313" i="4"/>
  <c r="AT4" i="4"/>
  <c r="AT138" i="4"/>
  <c r="AT1" i="5"/>
  <c r="AT4" i="2"/>
  <c r="Y780" i="2"/>
  <c r="Y701" i="2"/>
  <c r="Z704" i="2"/>
  <c r="Y785" i="2"/>
  <c r="AS822" i="2"/>
  <c r="AT709" i="2"/>
  <c r="X87" i="4"/>
  <c r="X979" i="2"/>
  <c r="Y796" i="2"/>
  <c r="Z731" i="2"/>
  <c r="Y800" i="2"/>
  <c r="Z735" i="2"/>
  <c r="L35" i="7"/>
  <c r="AR453" i="2"/>
  <c r="AR964" i="2" s="1"/>
  <c r="AV527" i="2"/>
  <c r="AV532" i="2" s="1"/>
  <c r="AX532" i="2" s="1"/>
  <c r="AP458" i="2"/>
  <c r="AP649" i="2" s="1"/>
  <c r="AP647" i="2" s="1"/>
  <c r="AP97" i="4" s="1"/>
  <c r="AV341" i="2"/>
  <c r="AT455" i="2"/>
  <c r="AT631" i="2" s="1"/>
  <c r="AT629" i="2" s="1"/>
  <c r="AT80" i="4" s="1"/>
  <c r="AO450" i="2"/>
  <c r="AO40" i="4" s="1"/>
  <c r="AT973" i="2"/>
  <c r="AV413" i="2"/>
  <c r="AX406" i="2"/>
  <c r="AE109" i="4"/>
  <c r="AE867" i="2"/>
  <c r="AU56" i="4"/>
  <c r="AT58" i="4"/>
  <c r="AT182" i="4" s="1"/>
  <c r="AU818" i="2"/>
  <c r="AU968" i="2" s="1"/>
  <c r="AV554" i="2"/>
  <c r="AX554" i="2" s="1"/>
  <c r="AV804" i="2"/>
  <c r="AX739" i="2"/>
  <c r="AV782" i="2"/>
  <c r="AX702" i="2"/>
  <c r="AV789" i="2"/>
  <c r="AX708" i="2"/>
  <c r="AV797" i="2"/>
  <c r="AX733" i="2"/>
  <c r="AU52" i="4"/>
  <c r="AU817" i="2"/>
  <c r="AS182" i="4"/>
  <c r="AS279" i="4"/>
  <c r="AS229" i="4"/>
  <c r="AU585" i="2"/>
  <c r="AU611" i="2" s="1"/>
  <c r="AU965" i="2"/>
  <c r="AU597" i="2"/>
  <c r="R328" i="4"/>
  <c r="AQ372" i="2"/>
  <c r="R990" i="2"/>
  <c r="R325" i="4" s="1"/>
  <c r="R337" i="4" s="1"/>
  <c r="R344" i="4" s="1"/>
  <c r="R345" i="4" s="1"/>
  <c r="R346" i="4" s="1"/>
  <c r="R147" i="4"/>
  <c r="Q251" i="4"/>
  <c r="Q264" i="4"/>
  <c r="Q265" i="4" s="1"/>
  <c r="Q266" i="4"/>
  <c r="Q267" i="4" s="1"/>
  <c r="Q240" i="4"/>
  <c r="AB1009" i="2"/>
  <c r="I41" i="7"/>
  <c r="N13" i="7"/>
  <c r="M8" i="7"/>
  <c r="M9" i="7"/>
  <c r="T148" i="4"/>
  <c r="AO11" i="4"/>
  <c r="R112" i="4"/>
  <c r="R114" i="4" s="1"/>
  <c r="R159" i="4" s="1"/>
  <c r="AB959" i="2"/>
  <c r="AB960" i="2" s="1"/>
  <c r="AB323" i="4" s="1"/>
  <c r="AB1005" i="2"/>
  <c r="AB1007" i="2" s="1"/>
  <c r="AB1008" i="2" s="1"/>
  <c r="AB1000" i="2"/>
  <c r="AB997" i="2" s="1"/>
  <c r="AB998" i="2" s="1"/>
  <c r="AB999" i="2" s="1"/>
  <c r="AB333" i="4" s="1"/>
  <c r="AE869" i="2"/>
  <c r="AE873" i="2" s="1"/>
  <c r="AE963" i="2" s="1"/>
  <c r="AE972" i="2" s="1"/>
  <c r="AE958" i="2" s="1"/>
  <c r="AE122" i="4"/>
  <c r="AD109" i="4"/>
  <c r="AD122" i="4"/>
  <c r="AE181" i="4"/>
  <c r="AE278" i="4"/>
  <c r="AE126" i="4"/>
  <c r="AD872" i="2"/>
  <c r="AD869" i="2"/>
  <c r="AD873" i="2" s="1"/>
  <c r="AD963" i="2" s="1"/>
  <c r="AD972" i="2" s="1"/>
  <c r="AD958" i="2" s="1"/>
  <c r="AC998" i="2"/>
  <c r="AC334" i="4"/>
  <c r="AC81" i="4"/>
  <c r="AG923" i="2"/>
  <c r="AG921" i="2" s="1"/>
  <c r="AG937" i="2"/>
  <c r="AG21" i="4" s="1"/>
  <c r="AF921" i="2"/>
  <c r="AF938" i="2"/>
  <c r="AF44" i="4" s="1"/>
  <c r="J39" i="7" s="1"/>
  <c r="AA943" i="2"/>
  <c r="AB912" i="2"/>
  <c r="AI904" i="2"/>
  <c r="AR42" i="4"/>
  <c r="M37" i="7" s="1"/>
  <c r="AX599" i="2"/>
  <c r="AT608" i="2"/>
  <c r="AS610" i="2"/>
  <c r="AV570" i="2"/>
  <c r="AX565" i="2"/>
  <c r="AV551" i="2"/>
  <c r="AX546" i="2"/>
  <c r="AS584" i="2"/>
  <c r="AT580" i="2"/>
  <c r="AT575" i="2"/>
  <c r="AS579" i="2"/>
  <c r="AS10" i="4" s="1"/>
  <c r="AV524" i="2"/>
  <c r="AX519" i="2"/>
  <c r="AV540" i="2"/>
  <c r="AX540" i="2" s="1"/>
  <c r="AX535" i="2"/>
  <c r="AT345" i="2"/>
  <c r="AT355" i="2" s="1"/>
  <c r="AQ964" i="2"/>
  <c r="AX428" i="2"/>
  <c r="AV793" i="2"/>
  <c r="AV91" i="4" s="1"/>
  <c r="AV445" i="2"/>
  <c r="AX445" i="2" s="1"/>
  <c r="AX435" i="2"/>
  <c r="AV123" i="2"/>
  <c r="AX123" i="2" s="1"/>
  <c r="AU339" i="2"/>
  <c r="AV38" i="2"/>
  <c r="AV336" i="2" s="1"/>
  <c r="AV338" i="2" s="1"/>
  <c r="AV451" i="2" s="1"/>
  <c r="AS356" i="2"/>
  <c r="AV392" i="2"/>
  <c r="AX385" i="2"/>
  <c r="AV30" i="2"/>
  <c r="AU338" i="2"/>
  <c r="AU451" i="2" s="1"/>
  <c r="AV768" i="2"/>
  <c r="AX768" i="2" s="1"/>
  <c r="AN460" i="2"/>
  <c r="AT346" i="2"/>
  <c r="AR348" i="2"/>
  <c r="AQ350" i="2"/>
  <c r="AX697" i="2"/>
  <c r="AP655" i="2"/>
  <c r="AQ374" i="2"/>
  <c r="AQ459" i="2" s="1"/>
  <c r="AO653" i="2"/>
  <c r="AO675" i="2" s="1"/>
  <c r="AO77" i="4"/>
  <c r="AU367" i="2"/>
  <c r="AU457" i="2" s="1"/>
  <c r="AR955" i="2"/>
  <c r="AR321" i="4" s="1"/>
  <c r="AR449" i="2"/>
  <c r="AP142" i="4"/>
  <c r="AP167" i="4"/>
  <c r="AP7" i="4"/>
  <c r="AP11" i="4" s="1"/>
  <c r="AQ8" i="4"/>
  <c r="AU369" i="2"/>
  <c r="AU456" i="2" s="1"/>
  <c r="AP376" i="2"/>
  <c r="AP452" i="2" s="1"/>
  <c r="AS381" i="2"/>
  <c r="AS454" i="2" s="1"/>
  <c r="AU365" i="2"/>
  <c r="AT371" i="2"/>
  <c r="AT381" i="2" s="1"/>
  <c r="AX364" i="2"/>
  <c r="AX471" i="2"/>
  <c r="AV472" i="2"/>
  <c r="AX472" i="2" s="1"/>
  <c r="AT509" i="2"/>
  <c r="AT986" i="2" s="1"/>
  <c r="AT331" i="4" s="1"/>
  <c r="AV502" i="2"/>
  <c r="AX477" i="2"/>
  <c r="AT504" i="2"/>
  <c r="AT661" i="2" s="1"/>
  <c r="AT659" i="2" s="1"/>
  <c r="AT100" i="4" s="1"/>
  <c r="AS508" i="2"/>
  <c r="AS41" i="4" s="1"/>
  <c r="AT500" i="2"/>
  <c r="AT479" i="2"/>
  <c r="AS643" i="2"/>
  <c r="AS641" i="2" s="1"/>
  <c r="AS78" i="4" s="1"/>
  <c r="AS166" i="4" s="1"/>
  <c r="AU984" i="2"/>
  <c r="AU332" i="4" s="1"/>
  <c r="AU506" i="2"/>
  <c r="AU985" i="2" s="1"/>
  <c r="AS637" i="2"/>
  <c r="AS635" i="2" s="1"/>
  <c r="AS79" i="4" s="1"/>
  <c r="AT481" i="2"/>
  <c r="AS483" i="2"/>
  <c r="AS9" i="4" s="1"/>
  <c r="AU476" i="2"/>
  <c r="AU502" i="2"/>
  <c r="AU798" i="2"/>
  <c r="AU970" i="2" s="1"/>
  <c r="AV794" i="2"/>
  <c r="AV671" i="2" s="1"/>
  <c r="AV670" i="2" s="1"/>
  <c r="AV98" i="4" s="1"/>
  <c r="AV764" i="2"/>
  <c r="AV760" i="2"/>
  <c r="AV740" i="2"/>
  <c r="AX740" i="2" s="1"/>
  <c r="AV734" i="2"/>
  <c r="AV798" i="2" s="1"/>
  <c r="AX727" i="2"/>
  <c r="AX703" i="2"/>
  <c r="AV783" i="2"/>
  <c r="AU306" i="2"/>
  <c r="AU142" i="2"/>
  <c r="AU270" i="2"/>
  <c r="AU288" i="2"/>
  <c r="AU106" i="2"/>
  <c r="AU179" i="2"/>
  <c r="AU124" i="2"/>
  <c r="AU197" i="2"/>
  <c r="AU251" i="2"/>
  <c r="AU160" i="2"/>
  <c r="AS325" i="2"/>
  <c r="AR326" i="2"/>
  <c r="AR625" i="2" s="1"/>
  <c r="AU327" i="2"/>
  <c r="AU954" i="2" s="1"/>
  <c r="AU320" i="4" s="1"/>
  <c r="AQ323" i="2"/>
  <c r="AQ328" i="2" s="1"/>
  <c r="AT322" i="2"/>
  <c r="AT318" i="2"/>
  <c r="AU308" i="2"/>
  <c r="AT300" i="2"/>
  <c r="AU290" i="2"/>
  <c r="AT310" i="2"/>
  <c r="AV316" i="2"/>
  <c r="AX316" i="2" s="1"/>
  <c r="AX305" i="2"/>
  <c r="AV298" i="2"/>
  <c r="AX298" i="2" s="1"/>
  <c r="AX287" i="2"/>
  <c r="AT292" i="2"/>
  <c r="AV280" i="2"/>
  <c r="AX280" i="2" s="1"/>
  <c r="AX269" i="2"/>
  <c r="AT282" i="2"/>
  <c r="AU272" i="2"/>
  <c r="AT274" i="2"/>
  <c r="AV159" i="2"/>
  <c r="AR619" i="2"/>
  <c r="AR617" i="2" s="1"/>
  <c r="AS88" i="2"/>
  <c r="AS324" i="2" s="1"/>
  <c r="AR92" i="2"/>
  <c r="AQ76" i="4"/>
  <c r="AQ165" i="4" s="1"/>
  <c r="AV243" i="2"/>
  <c r="AX243" i="2" s="1"/>
  <c r="AX232" i="2"/>
  <c r="AS263" i="2"/>
  <c r="AT253" i="2"/>
  <c r="AS255" i="2"/>
  <c r="AV189" i="2"/>
  <c r="AX189" i="2" s="1"/>
  <c r="AX178" i="2"/>
  <c r="AU244" i="2"/>
  <c r="AU233" i="2" s="1"/>
  <c r="AS209" i="2"/>
  <c r="AT199" i="2"/>
  <c r="AS201" i="2"/>
  <c r="AV225" i="2"/>
  <c r="AX225" i="2" s="1"/>
  <c r="AX214" i="2"/>
  <c r="AV207" i="2"/>
  <c r="AX207" i="2" s="1"/>
  <c r="AX196" i="2"/>
  <c r="AV261" i="2"/>
  <c r="AX261" i="2" s="1"/>
  <c r="AX250" i="2"/>
  <c r="AS227" i="2"/>
  <c r="AT217" i="2"/>
  <c r="AT219" i="2" s="1"/>
  <c r="AS219" i="2"/>
  <c r="AS191" i="2"/>
  <c r="AT181" i="2"/>
  <c r="AS183" i="2"/>
  <c r="AT245" i="2"/>
  <c r="AU235" i="2"/>
  <c r="AT237" i="2"/>
  <c r="R151" i="4"/>
  <c r="R33" i="4"/>
  <c r="L293" i="4"/>
  <c r="L202" i="4"/>
  <c r="L251" i="4"/>
  <c r="AV141" i="2"/>
  <c r="AX121" i="2"/>
  <c r="AP101" i="4"/>
  <c r="AQ961" i="2"/>
  <c r="AQ623" i="2"/>
  <c r="AQ101" i="4"/>
  <c r="AS136" i="2"/>
  <c r="AS128" i="2"/>
  <c r="AT126" i="2"/>
  <c r="AT154" i="2"/>
  <c r="AU144" i="2"/>
  <c r="AV116" i="2"/>
  <c r="AX116" i="2" s="1"/>
  <c r="AX105" i="2"/>
  <c r="AS172" i="2"/>
  <c r="AT162" i="2"/>
  <c r="AS164" i="2"/>
  <c r="AT146" i="2"/>
  <c r="AS118" i="2"/>
  <c r="AT108" i="2"/>
  <c r="AS110" i="2"/>
  <c r="AU146" i="4"/>
  <c r="AU141" i="4"/>
  <c r="AU99" i="2"/>
  <c r="AT100" i="2"/>
  <c r="AU90" i="2"/>
  <c r="AV98" i="2"/>
  <c r="AX87" i="2"/>
  <c r="AH114" i="10"/>
  <c r="AG114" i="10"/>
  <c r="AG122" i="10"/>
  <c r="AH122" i="10" s="1"/>
  <c r="AI110" i="10"/>
  <c r="AI117" i="10"/>
  <c r="AU34" i="1"/>
  <c r="AU55" i="2" s="1"/>
  <c r="AJ111" i="10"/>
  <c r="O160" i="4"/>
  <c r="O117" i="4"/>
  <c r="AU47" i="4"/>
  <c r="K141" i="1"/>
  <c r="AV275" i="4"/>
  <c r="AV102" i="4"/>
  <c r="AV627" i="2"/>
  <c r="AV668" i="2"/>
  <c r="AS178" i="4"/>
  <c r="AT131" i="1"/>
  <c r="S327" i="4"/>
  <c r="S994" i="2"/>
  <c r="S995" i="2" s="1"/>
  <c r="S988" i="2" s="1"/>
  <c r="AV82" i="4"/>
  <c r="O265" i="4"/>
  <c r="P183" i="4"/>
  <c r="P184" i="4" s="1"/>
  <c r="Q184" i="4" s="1"/>
  <c r="P190" i="4"/>
  <c r="P239" i="4"/>
  <c r="F82" i="7" s="1"/>
  <c r="P232" i="4"/>
  <c r="AB71" i="10"/>
  <c r="AB72" i="10" s="1"/>
  <c r="O192" i="4"/>
  <c r="AV90" i="4"/>
  <c r="T17" i="4"/>
  <c r="G14" i="7" s="1"/>
  <c r="T89" i="4"/>
  <c r="T93" i="4" s="1"/>
  <c r="T169" i="4" s="1"/>
  <c r="U84" i="10"/>
  <c r="AV651" i="2"/>
  <c r="P308" i="4"/>
  <c r="P293" i="4"/>
  <c r="P290" i="4"/>
  <c r="P306" i="4"/>
  <c r="P301" i="4"/>
  <c r="P282" i="4"/>
  <c r="AU592" i="2"/>
  <c r="AU14" i="4" s="1"/>
  <c r="AV588" i="2"/>
  <c r="P75" i="4"/>
  <c r="P84" i="4" s="1"/>
  <c r="P947" i="2"/>
  <c r="P887" i="2"/>
  <c r="Q68" i="4"/>
  <c r="G63" i="7" s="1"/>
  <c r="Q69" i="4"/>
  <c r="O297" i="4"/>
  <c r="R99" i="4"/>
  <c r="R104" i="4" s="1"/>
  <c r="R676" i="2"/>
  <c r="R677" i="2" s="1"/>
  <c r="R678" i="2" s="1"/>
  <c r="O241" i="4"/>
  <c r="AV29" i="1"/>
  <c r="AV27" i="1"/>
  <c r="AV28" i="1"/>
  <c r="T978" i="2"/>
  <c r="AU317" i="4"/>
  <c r="AV146" i="1"/>
  <c r="U79" i="10"/>
  <c r="O260" i="4"/>
  <c r="O216" i="4"/>
  <c r="AV226" i="4"/>
  <c r="O267" i="4"/>
  <c r="O211" i="4"/>
  <c r="AV645" i="2"/>
  <c r="AV657" i="2"/>
  <c r="AV86" i="4"/>
  <c r="AU491" i="2"/>
  <c r="AU13" i="4" s="1"/>
  <c r="AV487" i="2"/>
  <c r="O218" i="4"/>
  <c r="AV663" i="2"/>
  <c r="AV34" i="1" l="1"/>
  <c r="AV55" i="2" s="1"/>
  <c r="Z784" i="2"/>
  <c r="Z705" i="2"/>
  <c r="Y781" i="2"/>
  <c r="Z700" i="2"/>
  <c r="Z799" i="2"/>
  <c r="Z736" i="2"/>
  <c r="Z795" i="2"/>
  <c r="Z732" i="2"/>
  <c r="AT822" i="2"/>
  <c r="AU709" i="2"/>
  <c r="AU58" i="4"/>
  <c r="AU229" i="4" s="1"/>
  <c r="AU455" i="2"/>
  <c r="AU631" i="2" s="1"/>
  <c r="AU629" i="2" s="1"/>
  <c r="AU80" i="4" s="1"/>
  <c r="AV573" i="2"/>
  <c r="AX573" i="2" s="1"/>
  <c r="AO460" i="2"/>
  <c r="AT454" i="2"/>
  <c r="AX527" i="2"/>
  <c r="AQ458" i="2"/>
  <c r="AQ649" i="2" s="1"/>
  <c r="AQ647" i="2" s="1"/>
  <c r="AQ97" i="4" s="1"/>
  <c r="AV423" i="2"/>
  <c r="AX423" i="2" s="1"/>
  <c r="AX413" i="2"/>
  <c r="AT229" i="4"/>
  <c r="AU973" i="2"/>
  <c r="AT279" i="4"/>
  <c r="AV586" i="2"/>
  <c r="AX586" i="2" s="1"/>
  <c r="AV559" i="2"/>
  <c r="AX559" i="2" s="1"/>
  <c r="AV56" i="4"/>
  <c r="AX804" i="2"/>
  <c r="AV790" i="2"/>
  <c r="AX797" i="2"/>
  <c r="AV962" i="2"/>
  <c r="AX962" i="2" s="1"/>
  <c r="AX789" i="2"/>
  <c r="AV818" i="2"/>
  <c r="AV776" i="2"/>
  <c r="AX782" i="2"/>
  <c r="R1012" i="2"/>
  <c r="R43" i="4" s="1"/>
  <c r="R49" i="4" s="1"/>
  <c r="R180" i="4" s="1"/>
  <c r="R179" i="4" s="1"/>
  <c r="AR372" i="2"/>
  <c r="AB1002" i="2"/>
  <c r="AB1003" i="2" s="1"/>
  <c r="AB1004" i="2" s="1"/>
  <c r="AB335" i="4" s="1"/>
  <c r="R158" i="4"/>
  <c r="R130" i="4"/>
  <c r="AS143" i="4"/>
  <c r="P233" i="4"/>
  <c r="F76" i="7"/>
  <c r="AC960" i="2"/>
  <c r="AC323" i="4" s="1"/>
  <c r="AB334" i="4"/>
  <c r="AE872" i="2"/>
  <c r="AE871" i="2" s="1"/>
  <c r="AE46" i="4" s="1"/>
  <c r="AC999" i="2"/>
  <c r="AC333" i="4" s="1"/>
  <c r="AC1006" i="2"/>
  <c r="AC1007" i="2" s="1"/>
  <c r="AC1008" i="2" s="1"/>
  <c r="AC1002" i="2" s="1"/>
  <c r="AG939" i="2"/>
  <c r="AG934" i="2" s="1"/>
  <c r="AF939" i="2"/>
  <c r="AF934" i="2" s="1"/>
  <c r="AD974" i="2"/>
  <c r="AH922" i="2"/>
  <c r="AG938" i="2"/>
  <c r="AG44" i="4" s="1"/>
  <c r="AD871" i="2"/>
  <c r="AD46" i="4" s="1"/>
  <c r="AD26" i="4"/>
  <c r="AD959" i="2"/>
  <c r="AD960" i="2" s="1"/>
  <c r="AD323" i="4" s="1"/>
  <c r="AD324" i="4"/>
  <c r="AF278" i="4"/>
  <c r="AF126" i="4"/>
  <c r="AF181" i="4"/>
  <c r="AE959" i="2"/>
  <c r="AE324" i="4"/>
  <c r="AB944" i="2"/>
  <c r="AB913" i="2"/>
  <c r="AI902" i="2"/>
  <c r="AJ903" i="2"/>
  <c r="AS42" i="4"/>
  <c r="AX570" i="2"/>
  <c r="AV600" i="2"/>
  <c r="AU608" i="2"/>
  <c r="AT610" i="2"/>
  <c r="AX551" i="2"/>
  <c r="AT356" i="2"/>
  <c r="AV134" i="2"/>
  <c r="AX134" i="2" s="1"/>
  <c r="AT579" i="2"/>
  <c r="AT10" i="4" s="1"/>
  <c r="AT143" i="4" s="1"/>
  <c r="AU575" i="2"/>
  <c r="AX524" i="2"/>
  <c r="AV574" i="2"/>
  <c r="AT584" i="2"/>
  <c r="AU580" i="2"/>
  <c r="AV446" i="2"/>
  <c r="AX338" i="2"/>
  <c r="AX451" i="2"/>
  <c r="AV339" i="2"/>
  <c r="AX336" i="2"/>
  <c r="AU345" i="2"/>
  <c r="AU355" i="2" s="1"/>
  <c r="AV402" i="2"/>
  <c r="AX402" i="2" s="1"/>
  <c r="AX392" i="2"/>
  <c r="AP450" i="2"/>
  <c r="AP40" i="4" s="1"/>
  <c r="AS348" i="2"/>
  <c r="AR350" i="2"/>
  <c r="AU346" i="2"/>
  <c r="AS382" i="2"/>
  <c r="AS453" i="2" s="1"/>
  <c r="AU371" i="2"/>
  <c r="AU381" i="2" s="1"/>
  <c r="AV365" i="2"/>
  <c r="AQ142" i="4"/>
  <c r="AQ167" i="4"/>
  <c r="AQ7" i="4"/>
  <c r="AQ11" i="4" s="1"/>
  <c r="AV369" i="2"/>
  <c r="AV456" i="2" s="1"/>
  <c r="AR8" i="4"/>
  <c r="M7" i="7" s="1"/>
  <c r="AQ655" i="2"/>
  <c r="AR374" i="2"/>
  <c r="AR459" i="2" s="1"/>
  <c r="AQ376" i="2"/>
  <c r="AQ452" i="2" s="1"/>
  <c r="AS955" i="2"/>
  <c r="AS321" i="4" s="1"/>
  <c r="AS449" i="2"/>
  <c r="AP77" i="4"/>
  <c r="AP653" i="2"/>
  <c r="AP675" i="2" s="1"/>
  <c r="AT382" i="2"/>
  <c r="AV367" i="2"/>
  <c r="AV457" i="2" s="1"/>
  <c r="AU509" i="2"/>
  <c r="AU986" i="2" s="1"/>
  <c r="AU331" i="4" s="1"/>
  <c r="AV478" i="2"/>
  <c r="AV476" i="2" s="1"/>
  <c r="AX476" i="2" s="1"/>
  <c r="AT508" i="2"/>
  <c r="AT41" i="4" s="1"/>
  <c r="AX502" i="2"/>
  <c r="AV504" i="2"/>
  <c r="AV661" i="2" s="1"/>
  <c r="AV659" i="2" s="1"/>
  <c r="AV100" i="4" s="1"/>
  <c r="AS144" i="4"/>
  <c r="AU504" i="2"/>
  <c r="AU661" i="2" s="1"/>
  <c r="AU659" i="2" s="1"/>
  <c r="AU100" i="4" s="1"/>
  <c r="AU479" i="2"/>
  <c r="AT643" i="2"/>
  <c r="AT641" i="2" s="1"/>
  <c r="AT78" i="4" s="1"/>
  <c r="AT166" i="4" s="1"/>
  <c r="AT637" i="2"/>
  <c r="AT635" i="2" s="1"/>
  <c r="AT79" i="4" s="1"/>
  <c r="AU481" i="2"/>
  <c r="AT483" i="2"/>
  <c r="AT9" i="4" s="1"/>
  <c r="AU500" i="2"/>
  <c r="AX734" i="2"/>
  <c r="AX798" i="2"/>
  <c r="AV970" i="2"/>
  <c r="AX783" i="2"/>
  <c r="AU146" i="2"/>
  <c r="AV152" i="2"/>
  <c r="AX152" i="2" s="1"/>
  <c r="AV170" i="2"/>
  <c r="AX170" i="2" s="1"/>
  <c r="AX159" i="2"/>
  <c r="AT325" i="2"/>
  <c r="AS326" i="2"/>
  <c r="AS961" i="2" s="1"/>
  <c r="AV321" i="2"/>
  <c r="AV6" i="4" s="1"/>
  <c r="AU322" i="2"/>
  <c r="AQ39" i="4"/>
  <c r="AV299" i="2"/>
  <c r="AV208" i="2"/>
  <c r="AV226" i="2"/>
  <c r="AX226" i="2" s="1"/>
  <c r="AV281" i="2"/>
  <c r="AR323" i="2"/>
  <c r="AR328" i="2" s="1"/>
  <c r="AU282" i="2"/>
  <c r="AV272" i="2"/>
  <c r="AV282" i="2" s="1"/>
  <c r="AU274" i="2"/>
  <c r="AU300" i="2"/>
  <c r="AV290" i="2"/>
  <c r="AU318" i="2"/>
  <c r="AV308" i="2"/>
  <c r="AV318" i="2" s="1"/>
  <c r="AU310" i="2"/>
  <c r="AV317" i="2"/>
  <c r="AU292" i="2"/>
  <c r="AV262" i="2"/>
  <c r="AX262" i="2" s="1"/>
  <c r="AR76" i="4"/>
  <c r="AR165" i="4" s="1"/>
  <c r="AS619" i="2"/>
  <c r="AS617" i="2" s="1"/>
  <c r="AS92" i="2"/>
  <c r="AS323" i="2" s="1"/>
  <c r="AS39" i="4" s="1"/>
  <c r="AT88" i="2"/>
  <c r="AT324" i="2" s="1"/>
  <c r="AT191" i="2"/>
  <c r="AU181" i="2"/>
  <c r="AT183" i="2"/>
  <c r="AT209" i="2"/>
  <c r="AU199" i="2"/>
  <c r="AT201" i="2"/>
  <c r="AT263" i="2"/>
  <c r="AU253" i="2"/>
  <c r="AT255" i="2"/>
  <c r="AU245" i="2"/>
  <c r="AV235" i="2"/>
  <c r="AV245" i="2" s="1"/>
  <c r="AV244" i="2"/>
  <c r="AV233" i="2" s="1"/>
  <c r="AT227" i="2"/>
  <c r="AU217" i="2"/>
  <c r="AU237" i="2"/>
  <c r="AV190" i="2"/>
  <c r="AX141" i="2"/>
  <c r="K293" i="4"/>
  <c r="K202" i="4"/>
  <c r="K203" i="4" s="1"/>
  <c r="K251" i="4"/>
  <c r="K252" i="4" s="1"/>
  <c r="AR961" i="2"/>
  <c r="AV99" i="2"/>
  <c r="AR623" i="2"/>
  <c r="AR101" i="4"/>
  <c r="AT118" i="2"/>
  <c r="AU108" i="2"/>
  <c r="AT136" i="2"/>
  <c r="AU126" i="2"/>
  <c r="AT128" i="2"/>
  <c r="AT172" i="2"/>
  <c r="AU162" i="2"/>
  <c r="AT164" i="2"/>
  <c r="AV117" i="2"/>
  <c r="AU154" i="2"/>
  <c r="AV144" i="2"/>
  <c r="AT110" i="2"/>
  <c r="AX98" i="2"/>
  <c r="AU100" i="2"/>
  <c r="AV90" i="2"/>
  <c r="AU841" i="2"/>
  <c r="AU1" i="2"/>
  <c r="AU826" i="2"/>
  <c r="AU271" i="4"/>
  <c r="AU4" i="4"/>
  <c r="AU38" i="1"/>
  <c r="AU313" i="4"/>
  <c r="AU42" i="2"/>
  <c r="AU4" i="5"/>
  <c r="AU14" i="1"/>
  <c r="AU1" i="1"/>
  <c r="AU862" i="2"/>
  <c r="AU138" i="4"/>
  <c r="AU222" i="4"/>
  <c r="AU4" i="2"/>
  <c r="AU1" i="10"/>
  <c r="AU102" i="10"/>
  <c r="AU80" i="2"/>
  <c r="AU73" i="4"/>
  <c r="AU1" i="5"/>
  <c r="AJ116" i="10"/>
  <c r="AJ112" i="10"/>
  <c r="AU90" i="10"/>
  <c r="AU682" i="2"/>
  <c r="AU464" i="2"/>
  <c r="AU1" i="4"/>
  <c r="AU68" i="1"/>
  <c r="AU332" i="2"/>
  <c r="AU174" i="4"/>
  <c r="AU113" i="1"/>
  <c r="AU880" i="2"/>
  <c r="AU513" i="2"/>
  <c r="AU37" i="4"/>
  <c r="AI120" i="10"/>
  <c r="AJ107" i="10"/>
  <c r="AJ118" i="10" s="1"/>
  <c r="AU952" i="2"/>
  <c r="AU55" i="10"/>
  <c r="AU891" i="2"/>
  <c r="AU615" i="2"/>
  <c r="AU119" i="4"/>
  <c r="P95" i="4"/>
  <c r="P117" i="4" s="1"/>
  <c r="P163" i="4"/>
  <c r="T993" i="2"/>
  <c r="AV47" i="4"/>
  <c r="N42" i="7" s="1"/>
  <c r="U20" i="4"/>
  <c r="U85" i="10"/>
  <c r="P217" i="4"/>
  <c r="P202" i="4"/>
  <c r="P215" i="4"/>
  <c r="P216" i="4" s="1"/>
  <c r="P199" i="4"/>
  <c r="P210" i="4"/>
  <c r="P191" i="4"/>
  <c r="AV491" i="2"/>
  <c r="AV13" i="4" s="1"/>
  <c r="O255" i="4"/>
  <c r="P283" i="4"/>
  <c r="P240" i="4"/>
  <c r="F83" i="7" s="1"/>
  <c r="P266" i="4"/>
  <c r="P264" i="4"/>
  <c r="P248" i="4"/>
  <c r="P251" i="4"/>
  <c r="P259" i="4"/>
  <c r="Q301" i="4"/>
  <c r="P302" i="4"/>
  <c r="T329" i="4"/>
  <c r="S326" i="4"/>
  <c r="S29" i="4"/>
  <c r="S989" i="2"/>
  <c r="S1011" i="2"/>
  <c r="O206" i="4"/>
  <c r="AV222" i="4"/>
  <c r="T189" i="4"/>
  <c r="T152" i="4"/>
  <c r="T22" i="4"/>
  <c r="T238" i="4"/>
  <c r="T161" i="4"/>
  <c r="T121" i="4"/>
  <c r="T123" i="4" s="1"/>
  <c r="AC70" i="10"/>
  <c r="AV317" i="4"/>
  <c r="J141" i="1"/>
  <c r="P309" i="4"/>
  <c r="AT178" i="4"/>
  <c r="AU131" i="1"/>
  <c r="P307" i="4"/>
  <c r="R116" i="4"/>
  <c r="U88" i="4"/>
  <c r="U981" i="2"/>
  <c r="U976" i="2" s="1"/>
  <c r="V77" i="10"/>
  <c r="Q75" i="4"/>
  <c r="Q84" i="4" s="1"/>
  <c r="Q887" i="2"/>
  <c r="Q947" i="2"/>
  <c r="R68" i="4"/>
  <c r="AV891" i="2" l="1"/>
  <c r="AV102" i="10"/>
  <c r="AV73" i="4"/>
  <c r="AV55" i="10"/>
  <c r="AV615" i="2"/>
  <c r="AV880" i="2"/>
  <c r="AV4" i="4"/>
  <c r="AV38" i="1"/>
  <c r="AV68" i="1"/>
  <c r="AV1" i="10"/>
  <c r="AV80" i="2"/>
  <c r="AV464" i="2"/>
  <c r="AV952" i="2"/>
  <c r="AV138" i="4"/>
  <c r="AV174" i="4"/>
  <c r="AV1" i="5"/>
  <c r="AV4" i="2"/>
  <c r="AV113" i="1"/>
  <c r="AV90" i="10"/>
  <c r="AV14" i="1"/>
  <c r="AV1" i="1"/>
  <c r="AV682" i="2"/>
  <c r="AV1" i="2"/>
  <c r="AV332" i="2"/>
  <c r="AV826" i="2"/>
  <c r="AV513" i="2"/>
  <c r="AV862" i="2"/>
  <c r="AV841" i="2"/>
  <c r="AV37" i="4"/>
  <c r="AV1" i="4"/>
  <c r="AV119" i="4"/>
  <c r="AV271" i="4"/>
  <c r="AV313" i="4"/>
  <c r="AV4" i="5"/>
  <c r="AV42" i="2"/>
  <c r="AU279" i="4"/>
  <c r="Y87" i="4"/>
  <c r="Y979" i="2"/>
  <c r="AA704" i="2"/>
  <c r="Z785" i="2"/>
  <c r="AV709" i="2"/>
  <c r="AU822" i="2"/>
  <c r="Z796" i="2"/>
  <c r="AA731" i="2"/>
  <c r="Z800" i="2"/>
  <c r="AA735" i="2"/>
  <c r="Z780" i="2"/>
  <c r="Z701" i="2"/>
  <c r="AU182" i="4"/>
  <c r="AV455" i="2"/>
  <c r="AV631" i="2" s="1"/>
  <c r="AV629" i="2" s="1"/>
  <c r="AV80" i="4" s="1"/>
  <c r="AU454" i="2"/>
  <c r="AT453" i="2"/>
  <c r="AV592" i="2"/>
  <c r="AV14" i="4" s="1"/>
  <c r="N12" i="7" s="1"/>
  <c r="AR458" i="2"/>
  <c r="AR649" i="2" s="1"/>
  <c r="AR647" i="2" s="1"/>
  <c r="AR97" i="4" s="1"/>
  <c r="AV424" i="2"/>
  <c r="AV587" i="2"/>
  <c r="AX587" i="2" s="1"/>
  <c r="AV968" i="2"/>
  <c r="AX968" i="2" s="1"/>
  <c r="AX818" i="2"/>
  <c r="AX790" i="2"/>
  <c r="AV53" i="4"/>
  <c r="AX56" i="4"/>
  <c r="O51" i="7" s="1"/>
  <c r="N51" i="7"/>
  <c r="AV817" i="2"/>
  <c r="AX817" i="2" s="1"/>
  <c r="AV52" i="4"/>
  <c r="AX776" i="2"/>
  <c r="AS372" i="2"/>
  <c r="AB336" i="4"/>
  <c r="R125" i="4"/>
  <c r="R128" i="4" s="1"/>
  <c r="R948" i="2" s="1"/>
  <c r="R67" i="4"/>
  <c r="R69" i="4" s="1"/>
  <c r="R887" i="2" s="1"/>
  <c r="R228" i="4"/>
  <c r="R227" i="4" s="1"/>
  <c r="R232" i="4" s="1"/>
  <c r="R277" i="4"/>
  <c r="R276" i="4" s="1"/>
  <c r="R301" i="4" s="1"/>
  <c r="Q233" i="4"/>
  <c r="F77" i="7"/>
  <c r="AV146" i="4"/>
  <c r="N5" i="7"/>
  <c r="U145" i="4"/>
  <c r="T28" i="4"/>
  <c r="G23" i="7" s="1"/>
  <c r="G19" i="7"/>
  <c r="AE26" i="4"/>
  <c r="AG106" i="4"/>
  <c r="AE960" i="2"/>
  <c r="AE323" i="4" s="1"/>
  <c r="AG945" i="2"/>
  <c r="AG25" i="4" s="1"/>
  <c r="AF945" i="2"/>
  <c r="AF25" i="4" s="1"/>
  <c r="AF106" i="4"/>
  <c r="AD81" i="4"/>
  <c r="AE974" i="2"/>
  <c r="AE1000" i="2"/>
  <c r="AE997" i="2" s="1"/>
  <c r="AE1005" i="2"/>
  <c r="AE1009" i="2"/>
  <c r="AG126" i="4"/>
  <c r="AG278" i="4"/>
  <c r="AG181" i="4"/>
  <c r="AD1006" i="2"/>
  <c r="AD1009" i="2"/>
  <c r="AD1005" i="2"/>
  <c r="AD1000" i="2"/>
  <c r="AD997" i="2" s="1"/>
  <c r="AH923" i="2"/>
  <c r="AI922" i="2" s="1"/>
  <c r="AH937" i="2"/>
  <c r="AH21" i="4" s="1"/>
  <c r="AC1003" i="2"/>
  <c r="AC1004" i="2" s="1"/>
  <c r="AC335" i="4" s="1"/>
  <c r="AC336" i="4"/>
  <c r="AJ904" i="2"/>
  <c r="AK903" i="2" s="1"/>
  <c r="AB943" i="2"/>
  <c r="AC912" i="2"/>
  <c r="AT964" i="2"/>
  <c r="AT42" i="4"/>
  <c r="AV608" i="2"/>
  <c r="AV610" i="2" s="1"/>
  <c r="AU610" i="2"/>
  <c r="AX600" i="2"/>
  <c r="AV598" i="2"/>
  <c r="AX598" i="2" s="1"/>
  <c r="AV135" i="2"/>
  <c r="AV124" i="2" s="1"/>
  <c r="AU584" i="2"/>
  <c r="AV580" i="2"/>
  <c r="AV584" i="2" s="1"/>
  <c r="AU579" i="2"/>
  <c r="AU10" i="4" s="1"/>
  <c r="AU143" i="4" s="1"/>
  <c r="AV575" i="2"/>
  <c r="AV579" i="2" s="1"/>
  <c r="AV10" i="4" s="1"/>
  <c r="AX574" i="2"/>
  <c r="AV572" i="2"/>
  <c r="AX446" i="2"/>
  <c r="AV440" i="2"/>
  <c r="AX440" i="2" s="1"/>
  <c r="AU356" i="2"/>
  <c r="AV345" i="2"/>
  <c r="AV355" i="2" s="1"/>
  <c r="AV403" i="2"/>
  <c r="AP460" i="2"/>
  <c r="AS964" i="2"/>
  <c r="AQ450" i="2"/>
  <c r="AT348" i="2"/>
  <c r="AS350" i="2"/>
  <c r="AV346" i="2"/>
  <c r="AX478" i="2"/>
  <c r="AV171" i="2"/>
  <c r="AX171" i="2" s="1"/>
  <c r="AR655" i="2"/>
  <c r="AS374" i="2"/>
  <c r="AS459" i="2" s="1"/>
  <c r="AQ653" i="2"/>
  <c r="AQ675" i="2" s="1"/>
  <c r="AQ77" i="4"/>
  <c r="AR142" i="4"/>
  <c r="AR167" i="4"/>
  <c r="AR7" i="4"/>
  <c r="AR376" i="2"/>
  <c r="AR452" i="2" s="1"/>
  <c r="AV371" i="2"/>
  <c r="AS8" i="4"/>
  <c r="AT955" i="2"/>
  <c r="AT321" i="4" s="1"/>
  <c r="AT449" i="2"/>
  <c r="AU382" i="2"/>
  <c r="AV503" i="2"/>
  <c r="AX503" i="2" s="1"/>
  <c r="AV500" i="2"/>
  <c r="AX500" i="2" s="1"/>
  <c r="AU483" i="2"/>
  <c r="AU9" i="4" s="1"/>
  <c r="AT144" i="4"/>
  <c r="AU637" i="2"/>
  <c r="AU635" i="2" s="1"/>
  <c r="AU79" i="4" s="1"/>
  <c r="AV481" i="2"/>
  <c r="AV637" i="2" s="1"/>
  <c r="AV635" i="2" s="1"/>
  <c r="AV79" i="4" s="1"/>
  <c r="AV508" i="2"/>
  <c r="AV479" i="2"/>
  <c r="AU643" i="2"/>
  <c r="AU641" i="2" s="1"/>
  <c r="AU78" i="4" s="1"/>
  <c r="AU166" i="4" s="1"/>
  <c r="AU508" i="2"/>
  <c r="AU41" i="4" s="1"/>
  <c r="AV153" i="2"/>
  <c r="AX153" i="2" s="1"/>
  <c r="AX970" i="2"/>
  <c r="AV327" i="2"/>
  <c r="AV954" i="2" s="1"/>
  <c r="AV215" i="2"/>
  <c r="AX190" i="2"/>
  <c r="AV179" i="2"/>
  <c r="AX317" i="2"/>
  <c r="AV306" i="2"/>
  <c r="AV310" i="2" s="1"/>
  <c r="AX310" i="2" s="1"/>
  <c r="AX281" i="2"/>
  <c r="AV270" i="2"/>
  <c r="AV274" i="2" s="1"/>
  <c r="AX274" i="2" s="1"/>
  <c r="AX208" i="2"/>
  <c r="AV197" i="2"/>
  <c r="AX117" i="2"/>
  <c r="AV106" i="2"/>
  <c r="AX299" i="2"/>
  <c r="AV288" i="2"/>
  <c r="AV292" i="2" s="1"/>
  <c r="AX292" i="2" s="1"/>
  <c r="AV251" i="2"/>
  <c r="AX318" i="2"/>
  <c r="AX282" i="2"/>
  <c r="AU325" i="2"/>
  <c r="AT326" i="2"/>
  <c r="AT625" i="2" s="1"/>
  <c r="AR39" i="4"/>
  <c r="M34" i="7" s="1"/>
  <c r="AV300" i="2"/>
  <c r="AX300" i="2" s="1"/>
  <c r="AX245" i="2"/>
  <c r="AS76" i="4"/>
  <c r="AS165" i="4" s="1"/>
  <c r="AT619" i="2"/>
  <c r="AT617" i="2" s="1"/>
  <c r="AU88" i="2"/>
  <c r="AU324" i="2" s="1"/>
  <c r="AT92" i="2"/>
  <c r="AX99" i="2"/>
  <c r="AU209" i="2"/>
  <c r="AV199" i="2"/>
  <c r="AU201" i="2"/>
  <c r="AX244" i="2"/>
  <c r="AV237" i="2"/>
  <c r="AX237" i="2" s="1"/>
  <c r="AU263" i="2"/>
  <c r="AV253" i="2"/>
  <c r="AU255" i="2"/>
  <c r="AU191" i="2"/>
  <c r="AV181" i="2"/>
  <c r="AU183" i="2"/>
  <c r="AU227" i="2"/>
  <c r="AV217" i="2"/>
  <c r="AU219" i="2"/>
  <c r="AX321" i="2"/>
  <c r="AX6" i="4"/>
  <c r="O5" i="7" s="1"/>
  <c r="AV141" i="4"/>
  <c r="J202" i="4"/>
  <c r="J293" i="4"/>
  <c r="J251" i="4"/>
  <c r="S30" i="4"/>
  <c r="S147" i="4"/>
  <c r="AS625" i="2"/>
  <c r="AS623" i="2" s="1"/>
  <c r="AS328" i="2"/>
  <c r="AU172" i="2"/>
  <c r="AV162" i="2"/>
  <c r="AU164" i="2"/>
  <c r="AV154" i="2"/>
  <c r="AX154" i="2" s="1"/>
  <c r="AU118" i="2"/>
  <c r="AV108" i="2"/>
  <c r="AU110" i="2"/>
  <c r="AU136" i="2"/>
  <c r="AV126" i="2"/>
  <c r="AU128" i="2"/>
  <c r="AV100" i="2"/>
  <c r="AI114" i="10"/>
  <c r="AI122" i="10"/>
  <c r="AJ110" i="10"/>
  <c r="AJ117" i="10"/>
  <c r="AK111" i="10"/>
  <c r="AX850" i="2"/>
  <c r="P160" i="4"/>
  <c r="P170" i="4"/>
  <c r="Q95" i="4"/>
  <c r="Q117" i="4" s="1"/>
  <c r="Q163" i="4"/>
  <c r="P265" i="4"/>
  <c r="AU178" i="4"/>
  <c r="AV131" i="1"/>
  <c r="AC71" i="10"/>
  <c r="AC72" i="10" s="1"/>
  <c r="S328" i="4"/>
  <c r="S1013" i="2"/>
  <c r="S666" i="2" s="1"/>
  <c r="S665" i="2" s="1"/>
  <c r="P267" i="4"/>
  <c r="P218" i="4"/>
  <c r="I141" i="1"/>
  <c r="S990" i="2"/>
  <c r="Q302" i="4"/>
  <c r="P241" i="4"/>
  <c r="F84" i="7" s="1"/>
  <c r="V78" i="10"/>
  <c r="U330" i="4"/>
  <c r="U16" i="4"/>
  <c r="U977" i="2"/>
  <c r="U978" i="2" s="1"/>
  <c r="Q259" i="4"/>
  <c r="P260" i="4"/>
  <c r="Q210" i="4"/>
  <c r="P211" i="4"/>
  <c r="P192" i="4"/>
  <c r="U86" i="10"/>
  <c r="Q283" i="4"/>
  <c r="Q297" i="4" s="1"/>
  <c r="P297" i="4"/>
  <c r="R183" i="4"/>
  <c r="R184" i="4" s="1"/>
  <c r="R190" i="4"/>
  <c r="Z781" i="2" l="1"/>
  <c r="AA700" i="2"/>
  <c r="AA799" i="2"/>
  <c r="AA736" i="2"/>
  <c r="AA795" i="2"/>
  <c r="AA732" i="2"/>
  <c r="AX709" i="2"/>
  <c r="AV822" i="2"/>
  <c r="AX822" i="2" s="1"/>
  <c r="AA784" i="2"/>
  <c r="AA705" i="2"/>
  <c r="AV585" i="2"/>
  <c r="AX585" i="2" s="1"/>
  <c r="AV143" i="4"/>
  <c r="AV597" i="2"/>
  <c r="AV42" i="4" s="1"/>
  <c r="AV965" i="2"/>
  <c r="AX965" i="2" s="1"/>
  <c r="AU453" i="2"/>
  <c r="AU964" i="2" s="1"/>
  <c r="AS458" i="2"/>
  <c r="AS649" i="2" s="1"/>
  <c r="AS647" i="2" s="1"/>
  <c r="AS97" i="4" s="1"/>
  <c r="AX424" i="2"/>
  <c r="AV418" i="2"/>
  <c r="AX418" i="2" s="1"/>
  <c r="AF109" i="4"/>
  <c r="AF867" i="2"/>
  <c r="AF869" i="2" s="1"/>
  <c r="AF873" i="2" s="1"/>
  <c r="AF963" i="2" s="1"/>
  <c r="AF972" i="2" s="1"/>
  <c r="AF958" i="2" s="1"/>
  <c r="AG867" i="2"/>
  <c r="AG869" i="2" s="1"/>
  <c r="AG873" i="2" s="1"/>
  <c r="AG963" i="2" s="1"/>
  <c r="AG972" i="2" s="1"/>
  <c r="AG958" i="2" s="1"/>
  <c r="AT372" i="2"/>
  <c r="AV973" i="2"/>
  <c r="AS376" i="2"/>
  <c r="AS452" i="2" s="1"/>
  <c r="AX52" i="4"/>
  <c r="O47" i="7" s="1"/>
  <c r="N47" i="7"/>
  <c r="AV58" i="4"/>
  <c r="N48" i="7"/>
  <c r="R293" i="4"/>
  <c r="R282" i="4"/>
  <c r="R283" i="4" s="1"/>
  <c r="R290" i="4"/>
  <c r="R306" i="4"/>
  <c r="R307" i="4" s="1"/>
  <c r="R308" i="4"/>
  <c r="R309" i="4" s="1"/>
  <c r="R75" i="4"/>
  <c r="R84" i="4" s="1"/>
  <c r="R163" i="4" s="1"/>
  <c r="S68" i="4"/>
  <c r="R947" i="2"/>
  <c r="R239" i="4"/>
  <c r="R248" i="4" s="1"/>
  <c r="T991" i="2"/>
  <c r="T327" i="4" s="1"/>
  <c r="AR11" i="4"/>
  <c r="M10" i="7" s="1"/>
  <c r="M6" i="7"/>
  <c r="N9" i="7"/>
  <c r="U148" i="4"/>
  <c r="R233" i="4"/>
  <c r="S33" i="4"/>
  <c r="AG122" i="4"/>
  <c r="AG109" i="4"/>
  <c r="AF122" i="4"/>
  <c r="AD1007" i="2"/>
  <c r="AD1008" i="2" s="1"/>
  <c r="AD1002" i="2" s="1"/>
  <c r="AI923" i="2"/>
  <c r="AJ922" i="2" s="1"/>
  <c r="AI937" i="2"/>
  <c r="AI21" i="4" s="1"/>
  <c r="AE81" i="4"/>
  <c r="AH921" i="2"/>
  <c r="AH938" i="2"/>
  <c r="AH44" i="4" s="1"/>
  <c r="AD998" i="2"/>
  <c r="AD999" i="2" s="1"/>
  <c r="AD333" i="4" s="1"/>
  <c r="AD334" i="4"/>
  <c r="AE998" i="2"/>
  <c r="AE334" i="4"/>
  <c r="AC913" i="2"/>
  <c r="AC944" i="2"/>
  <c r="AJ902" i="2"/>
  <c r="AK904" i="2"/>
  <c r="AU42" i="4"/>
  <c r="AX135" i="2"/>
  <c r="AX572" i="2"/>
  <c r="AX355" i="2"/>
  <c r="AS655" i="2"/>
  <c r="AV356" i="2"/>
  <c r="AX345" i="2"/>
  <c r="AX403" i="2"/>
  <c r="AV397" i="2"/>
  <c r="AX397" i="2" s="1"/>
  <c r="AQ40" i="4"/>
  <c r="AQ460" i="2"/>
  <c r="AU348" i="2"/>
  <c r="AT350" i="2"/>
  <c r="AR450" i="2"/>
  <c r="AV160" i="2"/>
  <c r="AV164" i="2" s="1"/>
  <c r="AX164" i="2" s="1"/>
  <c r="AV506" i="2"/>
  <c r="AV985" i="2" s="1"/>
  <c r="AX985" i="2" s="1"/>
  <c r="AV984" i="2"/>
  <c r="AV332" i="4" s="1"/>
  <c r="AX332" i="4" s="1"/>
  <c r="AU955" i="2"/>
  <c r="AU321" i="4" s="1"/>
  <c r="AU449" i="2"/>
  <c r="AX371" i="2"/>
  <c r="AV381" i="2"/>
  <c r="AV454" i="2" s="1"/>
  <c r="AT374" i="2"/>
  <c r="AT459" i="2" s="1"/>
  <c r="AS142" i="4"/>
  <c r="AS167" i="4"/>
  <c r="AS7" i="4"/>
  <c r="AR77" i="4"/>
  <c r="AR653" i="2"/>
  <c r="AR675" i="2" s="1"/>
  <c r="AT8" i="4"/>
  <c r="AU144" i="4"/>
  <c r="AV643" i="2"/>
  <c r="AV641" i="2" s="1"/>
  <c r="AV78" i="4" s="1"/>
  <c r="AV166" i="4" s="1"/>
  <c r="AV483" i="2"/>
  <c r="AV9" i="4" s="1"/>
  <c r="N8" i="7" s="1"/>
  <c r="AX508" i="2"/>
  <c r="AV41" i="4"/>
  <c r="AX41" i="4" s="1"/>
  <c r="O36" i="7" s="1"/>
  <c r="AX327" i="2"/>
  <c r="AV322" i="2"/>
  <c r="AX322" i="2" s="1"/>
  <c r="AV142" i="2"/>
  <c r="AV146" i="2" s="1"/>
  <c r="AX146" i="2" s="1"/>
  <c r="AV325" i="2"/>
  <c r="AU326" i="2"/>
  <c r="AU961" i="2" s="1"/>
  <c r="AT323" i="2"/>
  <c r="AT328" i="2" s="1"/>
  <c r="AU619" i="2"/>
  <c r="AU617" i="2" s="1"/>
  <c r="AV88" i="2"/>
  <c r="AU92" i="2"/>
  <c r="AT76" i="4"/>
  <c r="AT165" i="4" s="1"/>
  <c r="AV227" i="2"/>
  <c r="AX227" i="2" s="1"/>
  <c r="AV219" i="2"/>
  <c r="AX219" i="2" s="1"/>
  <c r="AV263" i="2"/>
  <c r="AX263" i="2" s="1"/>
  <c r="AV255" i="2"/>
  <c r="AX255" i="2" s="1"/>
  <c r="AV191" i="2"/>
  <c r="AX191" i="2" s="1"/>
  <c r="AV183" i="2"/>
  <c r="AX183" i="2" s="1"/>
  <c r="AV209" i="2"/>
  <c r="AX209" i="2" s="1"/>
  <c r="AV201" i="2"/>
  <c r="AX201" i="2" s="1"/>
  <c r="S112" i="4"/>
  <c r="S114" i="4" s="1"/>
  <c r="S159" i="4" s="1"/>
  <c r="S151" i="4"/>
  <c r="I293" i="4"/>
  <c r="I251" i="4"/>
  <c r="I202" i="4"/>
  <c r="AT961" i="2"/>
  <c r="AS101" i="4"/>
  <c r="AT623" i="2"/>
  <c r="AT101" i="4"/>
  <c r="AV118" i="2"/>
  <c r="AX118" i="2" s="1"/>
  <c r="AV110" i="2"/>
  <c r="AX110" i="2" s="1"/>
  <c r="AV136" i="2"/>
  <c r="AX136" i="2" s="1"/>
  <c r="AV128" i="2"/>
  <c r="AX128" i="2" s="1"/>
  <c r="AX100" i="2"/>
  <c r="AV172" i="2"/>
  <c r="AX172" i="2" s="1"/>
  <c r="AV320" i="4"/>
  <c r="AX320" i="4" s="1"/>
  <c r="AX954" i="2"/>
  <c r="AK112" i="10"/>
  <c r="AK117" i="10" s="1"/>
  <c r="AK116" i="10"/>
  <c r="AJ120" i="10"/>
  <c r="AK107" i="10"/>
  <c r="AK118" i="10" s="1"/>
  <c r="AX858" i="2"/>
  <c r="Q160" i="4"/>
  <c r="Q170" i="4"/>
  <c r="V79" i="10"/>
  <c r="Q241" i="4"/>
  <c r="P255" i="4"/>
  <c r="AX10" i="4"/>
  <c r="O9" i="7" s="1"/>
  <c r="AX579" i="2"/>
  <c r="U89" i="4"/>
  <c r="U93" i="4" s="1"/>
  <c r="U169" i="4" s="1"/>
  <c r="V84" i="10"/>
  <c r="AX499" i="2"/>
  <c r="AX597" i="2"/>
  <c r="U17" i="4"/>
  <c r="S325" i="4"/>
  <c r="S337" i="4" s="1"/>
  <c r="S344" i="4" s="1"/>
  <c r="S345" i="4" s="1"/>
  <c r="S346" i="4" s="1"/>
  <c r="S1012" i="2"/>
  <c r="S43" i="4" s="1"/>
  <c r="AX15" i="4"/>
  <c r="O13" i="7" s="1"/>
  <c r="AX605" i="2"/>
  <c r="R191" i="4"/>
  <c r="R202" i="4"/>
  <c r="R217" i="4"/>
  <c r="R218" i="4" s="1"/>
  <c r="R199" i="4"/>
  <c r="R215" i="4"/>
  <c r="R216" i="4" s="1"/>
  <c r="R210" i="4"/>
  <c r="R211" i="4" s="1"/>
  <c r="G141" i="1"/>
  <c r="H141" i="1"/>
  <c r="R302" i="4"/>
  <c r="AD70" i="10"/>
  <c r="Q211" i="4"/>
  <c r="S99" i="4"/>
  <c r="S104" i="4" s="1"/>
  <c r="S676" i="2"/>
  <c r="S677" i="2" s="1"/>
  <c r="S678" i="2" s="1"/>
  <c r="Q192" i="4"/>
  <c r="Q206" i="4" s="1"/>
  <c r="P206" i="4"/>
  <c r="Q260" i="4"/>
  <c r="U329" i="4"/>
  <c r="AV178" i="4"/>
  <c r="AA785" i="2" l="1"/>
  <c r="AB704" i="2"/>
  <c r="AA796" i="2"/>
  <c r="AB731" i="2"/>
  <c r="AA800" i="2"/>
  <c r="AB735" i="2"/>
  <c r="AA780" i="2"/>
  <c r="AA701" i="2"/>
  <c r="Z87" i="4"/>
  <c r="Z979" i="2"/>
  <c r="AL111" i="10"/>
  <c r="AK110" i="10"/>
  <c r="AL107" i="10" s="1"/>
  <c r="AL118" i="10" s="1"/>
  <c r="AV611" i="2"/>
  <c r="AX611" i="2" s="1"/>
  <c r="AT458" i="2"/>
  <c r="AT649" i="2" s="1"/>
  <c r="AT647" i="2" s="1"/>
  <c r="AT97" i="4" s="1"/>
  <c r="AS450" i="2"/>
  <c r="AS40" i="4" s="1"/>
  <c r="AG872" i="2"/>
  <c r="AG26" i="4" s="1"/>
  <c r="AG324" i="4"/>
  <c r="AG959" i="2"/>
  <c r="AU372" i="2"/>
  <c r="N53" i="7"/>
  <c r="AV182" i="4"/>
  <c r="AV279" i="4"/>
  <c r="AV229" i="4"/>
  <c r="N73" i="7" s="1"/>
  <c r="R264" i="4"/>
  <c r="R265" i="4" s="1"/>
  <c r="R251" i="4"/>
  <c r="R240" i="4"/>
  <c r="R241" i="4" s="1"/>
  <c r="R255" i="4" s="1"/>
  <c r="R266" i="4"/>
  <c r="R267" i="4" s="1"/>
  <c r="R95" i="4"/>
  <c r="R117" i="4" s="1"/>
  <c r="R259" i="4"/>
  <c r="R260" i="4" s="1"/>
  <c r="T994" i="2"/>
  <c r="U993" i="2" s="1"/>
  <c r="N37" i="7"/>
  <c r="AS11" i="4"/>
  <c r="S49" i="4"/>
  <c r="S67" i="4" s="1"/>
  <c r="N36" i="7"/>
  <c r="AF872" i="2"/>
  <c r="AF871" i="2" s="1"/>
  <c r="AF46" i="4" s="1"/>
  <c r="J41" i="7" s="1"/>
  <c r="AE1006" i="2"/>
  <c r="AE1007" i="2" s="1"/>
  <c r="AE1008" i="2" s="1"/>
  <c r="AE1002" i="2" s="1"/>
  <c r="AE336" i="4" s="1"/>
  <c r="AH939" i="2"/>
  <c r="AH945" i="2" s="1"/>
  <c r="AH25" i="4" s="1"/>
  <c r="AE999" i="2"/>
  <c r="AE333" i="4" s="1"/>
  <c r="AF974" i="2"/>
  <c r="AH126" i="4"/>
  <c r="AH278" i="4"/>
  <c r="AH181" i="4"/>
  <c r="AF324" i="4"/>
  <c r="AF959" i="2"/>
  <c r="AF960" i="2" s="1"/>
  <c r="AF323" i="4" s="1"/>
  <c r="AD336" i="4"/>
  <c r="AD1003" i="2"/>
  <c r="AD1004" i="2" s="1"/>
  <c r="AD335" i="4" s="1"/>
  <c r="AJ923" i="2"/>
  <c r="AJ921" i="2" s="1"/>
  <c r="AJ937" i="2"/>
  <c r="AJ21" i="4" s="1"/>
  <c r="K18" i="7" s="1"/>
  <c r="AI921" i="2"/>
  <c r="AI938" i="2"/>
  <c r="AI44" i="4" s="1"/>
  <c r="AL903" i="2"/>
  <c r="AK902" i="2"/>
  <c r="AC943" i="2"/>
  <c r="AD912" i="2"/>
  <c r="AX356" i="2"/>
  <c r="AX984" i="2"/>
  <c r="AR460" i="2"/>
  <c r="AR40" i="4"/>
  <c r="M35" i="7" s="1"/>
  <c r="AV348" i="2"/>
  <c r="AU350" i="2"/>
  <c r="AV509" i="2"/>
  <c r="AV986" i="2" s="1"/>
  <c r="AV331" i="4" s="1"/>
  <c r="AX331" i="4" s="1"/>
  <c r="AX381" i="2"/>
  <c r="AV382" i="2"/>
  <c r="AV453" i="2" s="1"/>
  <c r="AT142" i="4"/>
  <c r="AT167" i="4"/>
  <c r="AT7" i="4"/>
  <c r="AT11" i="4" s="1"/>
  <c r="AU8" i="4"/>
  <c r="AT655" i="2"/>
  <c r="AU374" i="2"/>
  <c r="AU459" i="2" s="1"/>
  <c r="AT376" i="2"/>
  <c r="AT452" i="2" s="1"/>
  <c r="AS77" i="4"/>
  <c r="AS653" i="2"/>
  <c r="AS675" i="2" s="1"/>
  <c r="AV144" i="4"/>
  <c r="AV324" i="2"/>
  <c r="AV619" i="2" s="1"/>
  <c r="AV617" i="2" s="1"/>
  <c r="G293" i="4"/>
  <c r="G202" i="4"/>
  <c r="G251" i="4"/>
  <c r="AT39" i="4"/>
  <c r="AV326" i="2"/>
  <c r="AU323" i="2"/>
  <c r="AU39" i="4" s="1"/>
  <c r="AV92" i="2"/>
  <c r="AV323" i="2" s="1"/>
  <c r="AU76" i="4"/>
  <c r="AU165" i="4" s="1"/>
  <c r="S130" i="4"/>
  <c r="S158" i="4"/>
  <c r="H202" i="4"/>
  <c r="H293" i="4"/>
  <c r="AU625" i="2"/>
  <c r="AU101" i="4" s="1"/>
  <c r="AJ114" i="10"/>
  <c r="AJ122" i="10"/>
  <c r="AK120" i="10"/>
  <c r="AL116" i="10"/>
  <c r="AL112" i="10"/>
  <c r="AL117" i="10" s="1"/>
  <c r="AX610" i="2"/>
  <c r="AD71" i="10"/>
  <c r="AD72" i="10" s="1"/>
  <c r="V88" i="4"/>
  <c r="V981" i="2"/>
  <c r="V976" i="2" s="1"/>
  <c r="W77" i="10"/>
  <c r="R192" i="4"/>
  <c r="R206" i="4" s="1"/>
  <c r="Q255" i="4"/>
  <c r="S116" i="4"/>
  <c r="AX53" i="4"/>
  <c r="O48" i="7" s="1"/>
  <c r="R297" i="4"/>
  <c r="U238" i="4"/>
  <c r="U161" i="4"/>
  <c r="U22" i="4"/>
  <c r="U189" i="4"/>
  <c r="U121" i="4"/>
  <c r="U123" i="4" s="1"/>
  <c r="U152" i="4"/>
  <c r="V20" i="4"/>
  <c r="V85" i="10"/>
  <c r="AA781" i="2" l="1"/>
  <c r="AB700" i="2"/>
  <c r="AB799" i="2"/>
  <c r="AB736" i="2"/>
  <c r="AB795" i="2"/>
  <c r="AB732" i="2"/>
  <c r="AB784" i="2"/>
  <c r="AB705" i="2"/>
  <c r="AM111" i="10"/>
  <c r="AS460" i="2"/>
  <c r="AU458" i="2"/>
  <c r="AU649" i="2" s="1"/>
  <c r="AU647" i="2" s="1"/>
  <c r="AU97" i="4" s="1"/>
  <c r="AG871" i="2"/>
  <c r="AG46" i="4" s="1"/>
  <c r="AG1009" i="2" s="1"/>
  <c r="AV372" i="2"/>
  <c r="AV458" i="2" s="1"/>
  <c r="AV649" i="2" s="1"/>
  <c r="AV647" i="2" s="1"/>
  <c r="AV97" i="4" s="1"/>
  <c r="R160" i="4"/>
  <c r="R170" i="4"/>
  <c r="T995" i="2"/>
  <c r="T988" i="2" s="1"/>
  <c r="T989" i="2" s="1"/>
  <c r="T328" i="4" s="1"/>
  <c r="AF26" i="4"/>
  <c r="J21" i="7" s="1"/>
  <c r="U28" i="4"/>
  <c r="U991" i="2" s="1"/>
  <c r="S180" i="4"/>
  <c r="S179" i="4" s="1"/>
  <c r="S190" i="4" s="1"/>
  <c r="V145" i="4"/>
  <c r="S69" i="4"/>
  <c r="S75" i="4" s="1"/>
  <c r="S84" i="4" s="1"/>
  <c r="S125" i="4"/>
  <c r="S128" i="4" s="1"/>
  <c r="S948" i="2" s="1"/>
  <c r="S277" i="4"/>
  <c r="S276" i="4" s="1"/>
  <c r="S301" i="4" s="1"/>
  <c r="S228" i="4"/>
  <c r="AH934" i="2"/>
  <c r="AE1003" i="2"/>
  <c r="AE1004" i="2" s="1"/>
  <c r="AE335" i="4" s="1"/>
  <c r="AH106" i="4"/>
  <c r="AH867" i="2" s="1"/>
  <c r="AF1006" i="2"/>
  <c r="AI939" i="2"/>
  <c r="AI934" i="2" s="1"/>
  <c r="AJ939" i="2"/>
  <c r="AJ934" i="2" s="1"/>
  <c r="AG960" i="2"/>
  <c r="AG323" i="4" s="1"/>
  <c r="AK922" i="2"/>
  <c r="AJ938" i="2"/>
  <c r="AJ44" i="4" s="1"/>
  <c r="K39" i="7" s="1"/>
  <c r="AF1005" i="2"/>
  <c r="AF1009" i="2"/>
  <c r="AF1000" i="2"/>
  <c r="AF997" i="2" s="1"/>
  <c r="AF81" i="4"/>
  <c r="AG974" i="2"/>
  <c r="AI278" i="4"/>
  <c r="AI181" i="4"/>
  <c r="AI126" i="4"/>
  <c r="AD944" i="2"/>
  <c r="AD913" i="2"/>
  <c r="AL904" i="2"/>
  <c r="AM903" i="2" s="1"/>
  <c r="AX509" i="2"/>
  <c r="AV350" i="2"/>
  <c r="AT450" i="2"/>
  <c r="AT40" i="4" s="1"/>
  <c r="AX986" i="2"/>
  <c r="AU655" i="2"/>
  <c r="AV374" i="2"/>
  <c r="AV459" i="2" s="1"/>
  <c r="AT77" i="4"/>
  <c r="AT653" i="2"/>
  <c r="AT675" i="2" s="1"/>
  <c r="AU376" i="2"/>
  <c r="AU452" i="2" s="1"/>
  <c r="AX382" i="2"/>
  <c r="AV955" i="2"/>
  <c r="AX454" i="2"/>
  <c r="AV449" i="2"/>
  <c r="AU142" i="4"/>
  <c r="AU167" i="4"/>
  <c r="AU7" i="4"/>
  <c r="AU11" i="4" s="1"/>
  <c r="AU328" i="2"/>
  <c r="AV328" i="2"/>
  <c r="AX92" i="2"/>
  <c r="AV76" i="4"/>
  <c r="AV165" i="4" s="1"/>
  <c r="AU623" i="2"/>
  <c r="AV625" i="2"/>
  <c r="AV961" i="2"/>
  <c r="AX326" i="2"/>
  <c r="AV39" i="4"/>
  <c r="N34" i="7" s="1"/>
  <c r="AX323" i="2"/>
  <c r="AM112" i="10"/>
  <c r="AM116" i="10"/>
  <c r="AN111" i="10"/>
  <c r="AK114" i="10"/>
  <c r="AK122" i="10"/>
  <c r="AL110" i="10"/>
  <c r="AX47" i="4"/>
  <c r="O42" i="7" s="1"/>
  <c r="AX182" i="4"/>
  <c r="AX279" i="4"/>
  <c r="AX229" i="4"/>
  <c r="O73" i="7" s="1"/>
  <c r="AX58" i="4"/>
  <c r="O53" i="7" s="1"/>
  <c r="AX14" i="4"/>
  <c r="O12" i="7" s="1"/>
  <c r="AX592" i="2"/>
  <c r="AX13" i="4"/>
  <c r="AX491" i="2"/>
  <c r="AX483" i="2"/>
  <c r="AE70" i="10"/>
  <c r="W78" i="10"/>
  <c r="V16" i="4"/>
  <c r="V330" i="4"/>
  <c r="V977" i="2"/>
  <c r="V86" i="10"/>
  <c r="AC704" i="2" l="1"/>
  <c r="AB785" i="2"/>
  <c r="AB796" i="2"/>
  <c r="AC731" i="2"/>
  <c r="AB800" i="2"/>
  <c r="AC735" i="2"/>
  <c r="AB780" i="2"/>
  <c r="AB701" i="2"/>
  <c r="AA87" i="4"/>
  <c r="AA979" i="2"/>
  <c r="AG1005" i="2"/>
  <c r="AG1000" i="2"/>
  <c r="AG997" i="2" s="1"/>
  <c r="AG998" i="2" s="1"/>
  <c r="T1011" i="2"/>
  <c r="T1013" i="2"/>
  <c r="T666" i="2" s="1"/>
  <c r="T665" i="2" s="1"/>
  <c r="T99" i="4" s="1"/>
  <c r="T104" i="4" s="1"/>
  <c r="S290" i="4"/>
  <c r="T326" i="4"/>
  <c r="T29" i="4"/>
  <c r="G24" i="7" s="1"/>
  <c r="T990" i="2"/>
  <c r="T1012" i="2" s="1"/>
  <c r="T43" i="4" s="1"/>
  <c r="S183" i="4"/>
  <c r="S184" i="4" s="1"/>
  <c r="S306" i="4"/>
  <c r="S307" i="4" s="1"/>
  <c r="S887" i="2"/>
  <c r="S947" i="2"/>
  <c r="T68" i="4"/>
  <c r="S282" i="4"/>
  <c r="S283" i="4" s="1"/>
  <c r="S297" i="4" s="1"/>
  <c r="S293" i="4"/>
  <c r="S227" i="4"/>
  <c r="S308" i="4"/>
  <c r="S309" i="4" s="1"/>
  <c r="V148" i="4"/>
  <c r="AH122" i="4"/>
  <c r="AH109" i="4"/>
  <c r="AJ106" i="4"/>
  <c r="AI106" i="4"/>
  <c r="AI945" i="2"/>
  <c r="AI25" i="4" s="1"/>
  <c r="AH872" i="2"/>
  <c r="AH869" i="2"/>
  <c r="AH873" i="2" s="1"/>
  <c r="AH963" i="2" s="1"/>
  <c r="AH972" i="2" s="1"/>
  <c r="AH958" i="2" s="1"/>
  <c r="AG81" i="4"/>
  <c r="AJ126" i="4"/>
  <c r="AJ278" i="4"/>
  <c r="AJ181" i="4"/>
  <c r="AK923" i="2"/>
  <c r="AL922" i="2" s="1"/>
  <c r="AK937" i="2"/>
  <c r="AK21" i="4" s="1"/>
  <c r="AJ945" i="2"/>
  <c r="AJ25" i="4" s="1"/>
  <c r="AF334" i="4"/>
  <c r="AF998" i="2"/>
  <c r="AF1007" i="2"/>
  <c r="AF1008" i="2" s="1"/>
  <c r="AF1002" i="2" s="1"/>
  <c r="AL902" i="2"/>
  <c r="AM904" i="2"/>
  <c r="AM902" i="2" s="1"/>
  <c r="AD943" i="2"/>
  <c r="AE912" i="2"/>
  <c r="AT460" i="2"/>
  <c r="AX350" i="2"/>
  <c r="AV655" i="2"/>
  <c r="AU450" i="2"/>
  <c r="AV8" i="4"/>
  <c r="N7" i="7" s="1"/>
  <c r="AX449" i="2"/>
  <c r="AV376" i="2"/>
  <c r="AV452" i="2" s="1"/>
  <c r="AU77" i="4"/>
  <c r="AU653" i="2"/>
  <c r="AU675" i="2" s="1"/>
  <c r="AV321" i="4"/>
  <c r="AX321" i="4" s="1"/>
  <c r="AX955" i="2"/>
  <c r="AV964" i="2"/>
  <c r="AX964" i="2" s="1"/>
  <c r="AX453" i="2"/>
  <c r="AX328" i="2"/>
  <c r="AX39" i="4"/>
  <c r="O34" i="7" s="1"/>
  <c r="AX961" i="2"/>
  <c r="AV101" i="4"/>
  <c r="AV623" i="2"/>
  <c r="AN116" i="10"/>
  <c r="AN112" i="10"/>
  <c r="AN117" i="10" s="1"/>
  <c r="AO111" i="10"/>
  <c r="AM110" i="10"/>
  <c r="AM117" i="10"/>
  <c r="AL120" i="10"/>
  <c r="AM107" i="10"/>
  <c r="AM118" i="10" s="1"/>
  <c r="S95" i="4"/>
  <c r="S117" i="4" s="1"/>
  <c r="S163" i="4"/>
  <c r="S302" i="4"/>
  <c r="AX584" i="2"/>
  <c r="V978" i="2"/>
  <c r="AE71" i="10"/>
  <c r="AE72" i="10" s="1"/>
  <c r="U327" i="4"/>
  <c r="U994" i="2"/>
  <c r="U995" i="2" s="1"/>
  <c r="U988" i="2" s="1"/>
  <c r="V17" i="4"/>
  <c r="S210" i="4"/>
  <c r="S191" i="4"/>
  <c r="S192" i="4" s="1"/>
  <c r="S202" i="4"/>
  <c r="S217" i="4"/>
  <c r="S218" i="4" s="1"/>
  <c r="S215" i="4"/>
  <c r="S216" i="4" s="1"/>
  <c r="S199" i="4"/>
  <c r="W79" i="10"/>
  <c r="AX9" i="4"/>
  <c r="O8" i="7" s="1"/>
  <c r="V89" i="4"/>
  <c r="V93" i="4" s="1"/>
  <c r="V169" i="4" s="1"/>
  <c r="W84" i="10"/>
  <c r="AN110" i="10" l="1"/>
  <c r="AC700" i="2"/>
  <c r="AB781" i="2"/>
  <c r="AC799" i="2"/>
  <c r="AC736" i="2"/>
  <c r="AC795" i="2"/>
  <c r="AC732" i="2"/>
  <c r="AC784" i="2"/>
  <c r="AC705" i="2"/>
  <c r="AG334" i="4"/>
  <c r="T30" i="4"/>
  <c r="G25" i="7" s="1"/>
  <c r="AI109" i="4"/>
  <c r="AI867" i="2"/>
  <c r="AI869" i="2" s="1"/>
  <c r="AI873" i="2" s="1"/>
  <c r="AI963" i="2" s="1"/>
  <c r="AI972" i="2" s="1"/>
  <c r="AI958" i="2" s="1"/>
  <c r="AJ109" i="4"/>
  <c r="AJ867" i="2"/>
  <c r="T676" i="2"/>
  <c r="T677" i="2" s="1"/>
  <c r="T678" i="2" s="1"/>
  <c r="T147" i="4"/>
  <c r="T325" i="4"/>
  <c r="T337" i="4" s="1"/>
  <c r="T344" i="4" s="1"/>
  <c r="T345" i="4" s="1"/>
  <c r="T346" i="4" s="1"/>
  <c r="S232" i="4"/>
  <c r="S239" i="4"/>
  <c r="T49" i="4"/>
  <c r="G44" i="7" s="1"/>
  <c r="G38" i="7"/>
  <c r="AI122" i="4"/>
  <c r="AJ122" i="4"/>
  <c r="AH974" i="2"/>
  <c r="AH81" i="4" s="1"/>
  <c r="AL923" i="2"/>
  <c r="AM922" i="2" s="1"/>
  <c r="AL937" i="2"/>
  <c r="AL21" i="4" s="1"/>
  <c r="AG1006" i="2"/>
  <c r="AK921" i="2"/>
  <c r="AK938" i="2"/>
  <c r="AK44" i="4" s="1"/>
  <c r="AF336" i="4"/>
  <c r="AF1003" i="2"/>
  <c r="AF1004" i="2" s="1"/>
  <c r="AF335" i="4" s="1"/>
  <c r="AH324" i="4"/>
  <c r="AH959" i="2"/>
  <c r="AH960" i="2" s="1"/>
  <c r="AH323" i="4" s="1"/>
  <c r="AF999" i="2"/>
  <c r="AF333" i="4" s="1"/>
  <c r="AG999" i="2"/>
  <c r="AG333" i="4" s="1"/>
  <c r="AH26" i="4"/>
  <c r="AH871" i="2"/>
  <c r="AH46" i="4" s="1"/>
  <c r="AE944" i="2"/>
  <c r="AE913" i="2"/>
  <c r="AN903" i="2"/>
  <c r="AV77" i="4"/>
  <c r="AV653" i="2"/>
  <c r="AV675" i="2" s="1"/>
  <c r="AU40" i="4"/>
  <c r="AU460" i="2"/>
  <c r="AX376" i="2"/>
  <c r="AX8" i="4"/>
  <c r="O7" i="7" s="1"/>
  <c r="AV142" i="4"/>
  <c r="AV167" i="4"/>
  <c r="AV7" i="4"/>
  <c r="AN120" i="10"/>
  <c r="AO107" i="10"/>
  <c r="AO118" i="10" s="1"/>
  <c r="AL114" i="10"/>
  <c r="AL122" i="10"/>
  <c r="AM120" i="10"/>
  <c r="AN107" i="10"/>
  <c r="AN118" i="10" s="1"/>
  <c r="AO112" i="10"/>
  <c r="AO117" i="10" s="1"/>
  <c r="AO116" i="10"/>
  <c r="AP111" i="10"/>
  <c r="S160" i="4"/>
  <c r="S170" i="4"/>
  <c r="U29" i="4"/>
  <c r="U326" i="4"/>
  <c r="U989" i="2"/>
  <c r="U990" i="2" s="1"/>
  <c r="U1011" i="2"/>
  <c r="S211" i="4"/>
  <c r="S206" i="4"/>
  <c r="V121" i="4"/>
  <c r="V123" i="4" s="1"/>
  <c r="V238" i="4"/>
  <c r="V161" i="4"/>
  <c r="V22" i="4"/>
  <c r="V152" i="4"/>
  <c r="V189" i="4"/>
  <c r="W20" i="4"/>
  <c r="W85" i="10"/>
  <c r="AX42" i="4"/>
  <c r="O37" i="7" s="1"/>
  <c r="W88" i="4"/>
  <c r="W981" i="2"/>
  <c r="W976" i="2" s="1"/>
  <c r="X77" i="10"/>
  <c r="V993" i="2"/>
  <c r="AF70" i="10"/>
  <c r="V329" i="4"/>
  <c r="AO110" i="10" l="1"/>
  <c r="AD704" i="2"/>
  <c r="AC785" i="2"/>
  <c r="AC796" i="2"/>
  <c r="AD731" i="2"/>
  <c r="AC800" i="2"/>
  <c r="AD735" i="2"/>
  <c r="AB87" i="4"/>
  <c r="AB979" i="2"/>
  <c r="AC780" i="2"/>
  <c r="AC701" i="2"/>
  <c r="T151" i="4"/>
  <c r="T112" i="4"/>
  <c r="T114" i="4" s="1"/>
  <c r="T159" i="4" s="1"/>
  <c r="T33" i="4"/>
  <c r="G28" i="7" s="1"/>
  <c r="T180" i="4"/>
  <c r="T179" i="4" s="1"/>
  <c r="T183" i="4" s="1"/>
  <c r="T184" i="4" s="1"/>
  <c r="T125" i="4"/>
  <c r="T128" i="4" s="1"/>
  <c r="T948" i="2" s="1"/>
  <c r="T228" i="4"/>
  <c r="G72" i="7" s="1"/>
  <c r="T277" i="4"/>
  <c r="T276" i="4" s="1"/>
  <c r="T290" i="4" s="1"/>
  <c r="T67" i="4"/>
  <c r="G62" i="7" s="1"/>
  <c r="V28" i="4"/>
  <c r="V991" i="2" s="1"/>
  <c r="AV11" i="4"/>
  <c r="N10" i="7" s="1"/>
  <c r="N6" i="7"/>
  <c r="W145" i="4"/>
  <c r="S248" i="4"/>
  <c r="S264" i="4"/>
  <c r="S265" i="4" s="1"/>
  <c r="S259" i="4"/>
  <c r="S260" i="4" s="1"/>
  <c r="S251" i="4"/>
  <c r="S266" i="4"/>
  <c r="S267" i="4" s="1"/>
  <c r="S240" i="4"/>
  <c r="S233" i="4"/>
  <c r="AI872" i="2"/>
  <c r="AI26" i="4" s="1"/>
  <c r="AJ872" i="2"/>
  <c r="AJ869" i="2"/>
  <c r="AJ873" i="2" s="1"/>
  <c r="AJ963" i="2" s="1"/>
  <c r="AJ972" i="2" s="1"/>
  <c r="AJ958" i="2" s="1"/>
  <c r="AK939" i="2"/>
  <c r="AK106" i="4" s="1"/>
  <c r="AK867" i="2" s="1"/>
  <c r="AI974" i="2"/>
  <c r="AI81" i="4" s="1"/>
  <c r="AM923" i="2"/>
  <c r="AM921" i="2" s="1"/>
  <c r="AM937" i="2"/>
  <c r="AM21" i="4" s="1"/>
  <c r="AI959" i="2"/>
  <c r="AI324" i="4"/>
  <c r="AK278" i="4"/>
  <c r="AK181" i="4"/>
  <c r="AK126" i="4"/>
  <c r="AH1009" i="2"/>
  <c r="AH1000" i="2"/>
  <c r="AH997" i="2" s="1"/>
  <c r="AH1005" i="2"/>
  <c r="AL921" i="2"/>
  <c r="AL938" i="2"/>
  <c r="AL44" i="4" s="1"/>
  <c r="AG1007" i="2"/>
  <c r="AG1008" i="2" s="1"/>
  <c r="AG1002" i="2" s="1"/>
  <c r="AN904" i="2"/>
  <c r="AO903" i="2" s="1"/>
  <c r="AE943" i="2"/>
  <c r="AF912" i="2"/>
  <c r="AX7" i="4"/>
  <c r="O6" i="7" s="1"/>
  <c r="AV450" i="2"/>
  <c r="AX452" i="2"/>
  <c r="U30" i="4"/>
  <c r="U147" i="4"/>
  <c r="AM114" i="10"/>
  <c r="AM122" i="10"/>
  <c r="AO120" i="10"/>
  <c r="AP107" i="10"/>
  <c r="AP118" i="10" s="1"/>
  <c r="AP116" i="10"/>
  <c r="AP112" i="10"/>
  <c r="AP117" i="10" s="1"/>
  <c r="AN114" i="10"/>
  <c r="AN122" i="10"/>
  <c r="U325" i="4"/>
  <c r="U337" i="4" s="1"/>
  <c r="U344" i="4" s="1"/>
  <c r="U345" i="4" s="1"/>
  <c r="U346" i="4" s="1"/>
  <c r="U1012" i="2"/>
  <c r="U43" i="4" s="1"/>
  <c r="X78" i="10"/>
  <c r="W330" i="4"/>
  <c r="W16" i="4"/>
  <c r="W977" i="2"/>
  <c r="U328" i="4"/>
  <c r="U1013" i="2"/>
  <c r="U666" i="2" s="1"/>
  <c r="U665" i="2" s="1"/>
  <c r="T190" i="4"/>
  <c r="W86" i="10"/>
  <c r="AF71" i="10"/>
  <c r="AF72" i="10" s="1"/>
  <c r="AD700" i="2" l="1"/>
  <c r="AC781" i="2"/>
  <c r="AD799" i="2"/>
  <c r="AD736" i="2"/>
  <c r="AD795" i="2"/>
  <c r="AD732" i="2"/>
  <c r="AD784" i="2"/>
  <c r="AD705" i="2"/>
  <c r="T227" i="4"/>
  <c r="G71" i="7" s="1"/>
  <c r="T130" i="4"/>
  <c r="T158" i="4"/>
  <c r="T116" i="4"/>
  <c r="T306" i="4"/>
  <c r="T307" i="4" s="1"/>
  <c r="T293" i="4"/>
  <c r="T308" i="4"/>
  <c r="T309" i="4" s="1"/>
  <c r="T301" i="4"/>
  <c r="T302" i="4" s="1"/>
  <c r="T282" i="4"/>
  <c r="T283" i="4" s="1"/>
  <c r="T297" i="4" s="1"/>
  <c r="T69" i="4"/>
  <c r="T75" i="4" s="1"/>
  <c r="T84" i="4" s="1"/>
  <c r="AX11" i="4"/>
  <c r="O10" i="7" s="1"/>
  <c r="S241" i="4"/>
  <c r="S255" i="4" s="1"/>
  <c r="U49" i="4"/>
  <c r="U67" i="4" s="1"/>
  <c r="U33" i="4"/>
  <c r="W148" i="4"/>
  <c r="AI871" i="2"/>
  <c r="AI46" i="4" s="1"/>
  <c r="AI1000" i="2" s="1"/>
  <c r="AI997" i="2" s="1"/>
  <c r="AH1006" i="2"/>
  <c r="AH1007" i="2" s="1"/>
  <c r="AH1008" i="2" s="1"/>
  <c r="AH1002" i="2" s="1"/>
  <c r="AK945" i="2"/>
  <c r="AK25" i="4" s="1"/>
  <c r="AK934" i="2"/>
  <c r="AJ974" i="2"/>
  <c r="AJ81" i="4" s="1"/>
  <c r="AJ324" i="4"/>
  <c r="AJ959" i="2"/>
  <c r="AJ960" i="2" s="1"/>
  <c r="AJ323" i="4" s="1"/>
  <c r="AJ26" i="4"/>
  <c r="K21" i="7" s="1"/>
  <c r="AJ871" i="2"/>
  <c r="AJ46" i="4" s="1"/>
  <c r="AL939" i="2"/>
  <c r="AL106" i="4" s="1"/>
  <c r="AL867" i="2" s="1"/>
  <c r="AM939" i="2"/>
  <c r="AM934" i="2" s="1"/>
  <c r="AI960" i="2"/>
  <c r="AI323" i="4" s="1"/>
  <c r="AK122" i="4"/>
  <c r="AK109" i="4"/>
  <c r="AH998" i="2"/>
  <c r="AH999" i="2" s="1"/>
  <c r="AH333" i="4" s="1"/>
  <c r="AH334" i="4"/>
  <c r="AG1003" i="2"/>
  <c r="AG1004" i="2" s="1"/>
  <c r="AG335" i="4" s="1"/>
  <c r="AG336" i="4"/>
  <c r="AL181" i="4"/>
  <c r="AL126" i="4"/>
  <c r="AL278" i="4"/>
  <c r="AN922" i="2"/>
  <c r="AM938" i="2"/>
  <c r="AN902" i="2"/>
  <c r="AF944" i="2"/>
  <c r="AF913" i="2"/>
  <c r="AO904" i="2"/>
  <c r="AV40" i="4"/>
  <c r="AX450" i="2"/>
  <c r="AV460" i="2"/>
  <c r="AX460" i="2" s="1"/>
  <c r="U151" i="4"/>
  <c r="U112" i="4"/>
  <c r="U114" i="4" s="1"/>
  <c r="U159" i="4" s="1"/>
  <c r="AQ111" i="10"/>
  <c r="AP110" i="10"/>
  <c r="AO114" i="10"/>
  <c r="AO122" i="10"/>
  <c r="AG70" i="10"/>
  <c r="U99" i="4"/>
  <c r="U104" i="4" s="1"/>
  <c r="U676" i="2"/>
  <c r="U677" i="2" s="1"/>
  <c r="U678" i="2" s="1"/>
  <c r="X79" i="10"/>
  <c r="W89" i="4"/>
  <c r="W93" i="4" s="1"/>
  <c r="W169" i="4" s="1"/>
  <c r="X84" i="10"/>
  <c r="W17" i="4"/>
  <c r="V327" i="4"/>
  <c r="V994" i="2"/>
  <c r="W993" i="2" s="1"/>
  <c r="W978" i="2"/>
  <c r="T217" i="4"/>
  <c r="T218" i="4" s="1"/>
  <c r="T202" i="4"/>
  <c r="T215" i="4"/>
  <c r="T216" i="4" s="1"/>
  <c r="T210" i="4"/>
  <c r="T199" i="4"/>
  <c r="T191" i="4"/>
  <c r="T192" i="4" s="1"/>
  <c r="AE704" i="2" l="1"/>
  <c r="AD785" i="2"/>
  <c r="AD796" i="2"/>
  <c r="AE731" i="2"/>
  <c r="AD800" i="2"/>
  <c r="AE735" i="2"/>
  <c r="AC87" i="4"/>
  <c r="AC979" i="2"/>
  <c r="AD780" i="2"/>
  <c r="AD701" i="2"/>
  <c r="T239" i="4"/>
  <c r="G82" i="7" s="1"/>
  <c r="T232" i="4"/>
  <c r="G76" i="7" s="1"/>
  <c r="T248" i="4"/>
  <c r="U68" i="4"/>
  <c r="H63" i="7" s="1"/>
  <c r="AI1005" i="2"/>
  <c r="K41" i="7"/>
  <c r="AI1009" i="2"/>
  <c r="T95" i="4"/>
  <c r="T170" i="4" s="1"/>
  <c r="T163" i="4"/>
  <c r="T947" i="2"/>
  <c r="U180" i="4"/>
  <c r="U179" i="4" s="1"/>
  <c r="U183" i="4" s="1"/>
  <c r="U184" i="4" s="1"/>
  <c r="U277" i="4"/>
  <c r="U276" i="4" s="1"/>
  <c r="U290" i="4" s="1"/>
  <c r="U125" i="4"/>
  <c r="U128" i="4" s="1"/>
  <c r="U948" i="2" s="1"/>
  <c r="U228" i="4"/>
  <c r="U227" i="4" s="1"/>
  <c r="G64" i="7"/>
  <c r="T887" i="2"/>
  <c r="U69" i="4"/>
  <c r="V68" i="4" s="1"/>
  <c r="AX40" i="4"/>
  <c r="O35" i="7" s="1"/>
  <c r="N35" i="7"/>
  <c r="AL945" i="2"/>
  <c r="AL25" i="4" s="1"/>
  <c r="AJ1009" i="2"/>
  <c r="AJ1000" i="2"/>
  <c r="AJ997" i="2" s="1"/>
  <c r="AJ1005" i="2"/>
  <c r="AM106" i="4"/>
  <c r="AL934" i="2"/>
  <c r="AI1006" i="2"/>
  <c r="AI998" i="2"/>
  <c r="AI334" i="4"/>
  <c r="AK869" i="2"/>
  <c r="AK873" i="2" s="1"/>
  <c r="AK963" i="2" s="1"/>
  <c r="AK972" i="2" s="1"/>
  <c r="AK872" i="2"/>
  <c r="AH336" i="4"/>
  <c r="AH1003" i="2"/>
  <c r="AH1004" i="2" s="1"/>
  <c r="AH335" i="4" s="1"/>
  <c r="AM44" i="4"/>
  <c r="AM945" i="2"/>
  <c r="AM25" i="4" s="1"/>
  <c r="AL122" i="4"/>
  <c r="AL109" i="4"/>
  <c r="AN923" i="2"/>
  <c r="AN938" i="2" s="1"/>
  <c r="AN44" i="4" s="1"/>
  <c r="AN181" i="4" s="1"/>
  <c r="AN937" i="2"/>
  <c r="AN21" i="4" s="1"/>
  <c r="L18" i="7" s="1"/>
  <c r="AO902" i="2"/>
  <c r="AP903" i="2"/>
  <c r="AF943" i="2"/>
  <c r="AG912" i="2"/>
  <c r="U158" i="4"/>
  <c r="U130" i="4"/>
  <c r="AQ107" i="10"/>
  <c r="AQ118" i="10" s="1"/>
  <c r="AP120" i="10"/>
  <c r="AQ112" i="10"/>
  <c r="AQ117" i="10" s="1"/>
  <c r="AQ116" i="10"/>
  <c r="V995" i="2"/>
  <c r="V988" i="2" s="1"/>
  <c r="V326" i="4" s="1"/>
  <c r="X85" i="10"/>
  <c r="X20" i="4"/>
  <c r="U116" i="4"/>
  <c r="W329" i="4"/>
  <c r="T211" i="4"/>
  <c r="W189" i="4"/>
  <c r="W152" i="4"/>
  <c r="W22" i="4"/>
  <c r="W238" i="4"/>
  <c r="W161" i="4"/>
  <c r="W121" i="4"/>
  <c r="W123" i="4" s="1"/>
  <c r="X88" i="4"/>
  <c r="X981" i="2"/>
  <c r="X976" i="2" s="1"/>
  <c r="Y77" i="10"/>
  <c r="AG71" i="10"/>
  <c r="AG72" i="10" s="1"/>
  <c r="T206" i="4"/>
  <c r="T259" i="4" l="1"/>
  <c r="T260" i="4" s="1"/>
  <c r="T251" i="4"/>
  <c r="T233" i="4"/>
  <c r="G77" i="7" s="1"/>
  <c r="AD781" i="2"/>
  <c r="AE700" i="2"/>
  <c r="AE799" i="2"/>
  <c r="AE736" i="2"/>
  <c r="AE795" i="2"/>
  <c r="AE732" i="2"/>
  <c r="T240" i="4"/>
  <c r="T241" i="4" s="1"/>
  <c r="G84" i="7" s="1"/>
  <c r="AE784" i="2"/>
  <c r="AE705" i="2"/>
  <c r="T266" i="4"/>
  <c r="T267" i="4" s="1"/>
  <c r="T264" i="4"/>
  <c r="T265" i="4" s="1"/>
  <c r="AM867" i="2"/>
  <c r="AM872" i="2" s="1"/>
  <c r="AM26" i="4" s="1"/>
  <c r="L39" i="7"/>
  <c r="U887" i="2"/>
  <c r="U301" i="4"/>
  <c r="U302" i="4" s="1"/>
  <c r="U293" i="4"/>
  <c r="U282" i="4"/>
  <c r="U283" i="4" s="1"/>
  <c r="U297" i="4" s="1"/>
  <c r="U306" i="4"/>
  <c r="U307" i="4" s="1"/>
  <c r="U308" i="4"/>
  <c r="U309" i="4" s="1"/>
  <c r="T117" i="4"/>
  <c r="T160" i="4"/>
  <c r="U190" i="4"/>
  <c r="U191" i="4" s="1"/>
  <c r="U192" i="4" s="1"/>
  <c r="AI1007" i="2"/>
  <c r="AI1008" i="2" s="1"/>
  <c r="AI1002" i="2" s="1"/>
  <c r="AI336" i="4" s="1"/>
  <c r="U232" i="4"/>
  <c r="U233" i="4" s="1"/>
  <c r="U239" i="4"/>
  <c r="U248" i="4" s="1"/>
  <c r="U947" i="2"/>
  <c r="U75" i="4"/>
  <c r="U84" i="4" s="1"/>
  <c r="U95" i="4" s="1"/>
  <c r="U160" i="4" s="1"/>
  <c r="X145" i="4"/>
  <c r="H17" i="7"/>
  <c r="W28" i="4"/>
  <c r="AM109" i="4"/>
  <c r="AJ998" i="2"/>
  <c r="AJ999" i="2" s="1"/>
  <c r="AJ333" i="4" s="1"/>
  <c r="AJ334" i="4"/>
  <c r="AM869" i="2"/>
  <c r="AM873" i="2" s="1"/>
  <c r="AM122" i="4"/>
  <c r="AN126" i="4"/>
  <c r="AN278" i="4"/>
  <c r="AL872" i="2"/>
  <c r="AL869" i="2"/>
  <c r="AL873" i="2" s="1"/>
  <c r="AL963" i="2" s="1"/>
  <c r="AL972" i="2" s="1"/>
  <c r="AL958" i="2" s="1"/>
  <c r="AO922" i="2"/>
  <c r="AM126" i="4"/>
  <c r="AM181" i="4"/>
  <c r="AM278" i="4"/>
  <c r="AK958" i="2"/>
  <c r="AK974" i="2"/>
  <c r="AK871" i="2"/>
  <c r="AK46" i="4" s="1"/>
  <c r="AK26" i="4"/>
  <c r="AN921" i="2"/>
  <c r="AI999" i="2"/>
  <c r="AI333" i="4" s="1"/>
  <c r="AP904" i="2"/>
  <c r="AQ903" i="2" s="1"/>
  <c r="AG913" i="2"/>
  <c r="AG944" i="2"/>
  <c r="AP114" i="10"/>
  <c r="AP122" i="10"/>
  <c r="AQ110" i="10"/>
  <c r="AR111" i="10"/>
  <c r="V1011" i="2"/>
  <c r="V989" i="2"/>
  <c r="V328" i="4" s="1"/>
  <c r="V29" i="4"/>
  <c r="AH70" i="10"/>
  <c r="X330" i="4"/>
  <c r="X16" i="4"/>
  <c r="X977" i="2"/>
  <c r="X978" i="2" s="1"/>
  <c r="Y78" i="10"/>
  <c r="X86" i="10"/>
  <c r="T255" i="4" l="1"/>
  <c r="G83" i="7"/>
  <c r="AE796" i="2"/>
  <c r="AF731" i="2"/>
  <c r="AE800" i="2"/>
  <c r="AF735" i="2"/>
  <c r="AE780" i="2"/>
  <c r="AE701" i="2"/>
  <c r="AE785" i="2"/>
  <c r="AF704" i="2"/>
  <c r="AD87" i="4"/>
  <c r="AD979" i="2"/>
  <c r="AM871" i="2"/>
  <c r="AM46" i="4" s="1"/>
  <c r="AM1000" i="2" s="1"/>
  <c r="AM997" i="2" s="1"/>
  <c r="AM998" i="2" s="1"/>
  <c r="U163" i="4"/>
  <c r="U264" i="4"/>
  <c r="U265" i="4" s="1"/>
  <c r="U210" i="4"/>
  <c r="U211" i="4" s="1"/>
  <c r="U199" i="4"/>
  <c r="U215" i="4"/>
  <c r="U216" i="4" s="1"/>
  <c r="U170" i="4"/>
  <c r="U240" i="4"/>
  <c r="U241" i="4" s="1"/>
  <c r="U255" i="4" s="1"/>
  <c r="U217" i="4"/>
  <c r="U218" i="4" s="1"/>
  <c r="U202" i="4"/>
  <c r="AI1003" i="2"/>
  <c r="AI1004" i="2" s="1"/>
  <c r="AI335" i="4" s="1"/>
  <c r="U251" i="4"/>
  <c r="U266" i="4"/>
  <c r="U267" i="4" s="1"/>
  <c r="AJ1006" i="2"/>
  <c r="AJ1007" i="2" s="1"/>
  <c r="AJ1008" i="2" s="1"/>
  <c r="AJ1002" i="2" s="1"/>
  <c r="U259" i="4"/>
  <c r="U260" i="4" s="1"/>
  <c r="U117" i="4"/>
  <c r="W991" i="2"/>
  <c r="W327" i="4" s="1"/>
  <c r="X148" i="4"/>
  <c r="AM963" i="2"/>
  <c r="AM972" i="2" s="1"/>
  <c r="AM958" i="2" s="1"/>
  <c r="AM324" i="4" s="1"/>
  <c r="AN939" i="2"/>
  <c r="AN945" i="2" s="1"/>
  <c r="AN25" i="4" s="1"/>
  <c r="AL974" i="2"/>
  <c r="AK81" i="4"/>
  <c r="AK959" i="2"/>
  <c r="AK960" i="2" s="1"/>
  <c r="AK323" i="4" s="1"/>
  <c r="AK324" i="4"/>
  <c r="AK1005" i="2"/>
  <c r="AK1000" i="2"/>
  <c r="AK997" i="2" s="1"/>
  <c r="AK1009" i="2"/>
  <c r="AO923" i="2"/>
  <c r="AO921" i="2" s="1"/>
  <c r="AO937" i="2"/>
  <c r="AO21" i="4" s="1"/>
  <c r="AL959" i="2"/>
  <c r="AL324" i="4"/>
  <c r="AL26" i="4"/>
  <c r="AL871" i="2"/>
  <c r="AL46" i="4" s="1"/>
  <c r="AP902" i="2"/>
  <c r="AG943" i="2"/>
  <c r="AH912" i="2"/>
  <c r="AQ904" i="2"/>
  <c r="V30" i="4"/>
  <c r="V147" i="4"/>
  <c r="AR112" i="10"/>
  <c r="AR116" i="10"/>
  <c r="AR107" i="10"/>
  <c r="AR118" i="10" s="1"/>
  <c r="AQ120" i="10"/>
  <c r="V990" i="2"/>
  <c r="V1012" i="2" s="1"/>
  <c r="V43" i="4" s="1"/>
  <c r="V1013" i="2"/>
  <c r="V666" i="2" s="1"/>
  <c r="V665" i="2" s="1"/>
  <c r="V99" i="4" s="1"/>
  <c r="V104" i="4" s="1"/>
  <c r="Y79" i="10"/>
  <c r="X329" i="4"/>
  <c r="X17" i="4"/>
  <c r="H14" i="7" s="1"/>
  <c r="AH71" i="10"/>
  <c r="AH72" i="10" s="1"/>
  <c r="U206" i="4"/>
  <c r="X89" i="4"/>
  <c r="X93" i="4" s="1"/>
  <c r="X169" i="4" s="1"/>
  <c r="Y84" i="10"/>
  <c r="AE781" i="2" l="1"/>
  <c r="AF700" i="2"/>
  <c r="AF799" i="2"/>
  <c r="AF736" i="2"/>
  <c r="AF795" i="2"/>
  <c r="AF732" i="2"/>
  <c r="AF784" i="2"/>
  <c r="AF705" i="2"/>
  <c r="AM334" i="4"/>
  <c r="AM1005" i="2"/>
  <c r="AM1009" i="2"/>
  <c r="W994" i="2"/>
  <c r="X993" i="2" s="1"/>
  <c r="V151" i="4"/>
  <c r="V49" i="4"/>
  <c r="V125" i="4" s="1"/>
  <c r="V128" i="4" s="1"/>
  <c r="V948" i="2" s="1"/>
  <c r="AM959" i="2"/>
  <c r="AM960" i="2" s="1"/>
  <c r="AL960" i="2"/>
  <c r="AL323" i="4" s="1"/>
  <c r="AN934" i="2"/>
  <c r="AN106" i="4"/>
  <c r="AO939" i="2"/>
  <c r="AO106" i="4" s="1"/>
  <c r="AO867" i="2" s="1"/>
  <c r="AJ336" i="4"/>
  <c r="AJ1003" i="2"/>
  <c r="AJ1004" i="2" s="1"/>
  <c r="AJ335" i="4" s="1"/>
  <c r="AP922" i="2"/>
  <c r="AO938" i="2"/>
  <c r="AO44" i="4" s="1"/>
  <c r="AL81" i="4"/>
  <c r="AM974" i="2"/>
  <c r="AK334" i="4"/>
  <c r="AK998" i="2"/>
  <c r="AK999" i="2" s="1"/>
  <c r="AK333" i="4" s="1"/>
  <c r="AL1009" i="2"/>
  <c r="AL1000" i="2"/>
  <c r="AL997" i="2" s="1"/>
  <c r="AL1005" i="2"/>
  <c r="AK1006" i="2"/>
  <c r="AK1007" i="2" s="1"/>
  <c r="AK1008" i="2" s="1"/>
  <c r="AK1002" i="2" s="1"/>
  <c r="AQ902" i="2"/>
  <c r="AR903" i="2"/>
  <c r="AH944" i="2"/>
  <c r="AH913" i="2"/>
  <c r="V33" i="4"/>
  <c r="V112" i="4"/>
  <c r="V114" i="4" s="1"/>
  <c r="V158" i="4" s="1"/>
  <c r="AR110" i="10"/>
  <c r="AR117" i="10"/>
  <c r="AQ114" i="10"/>
  <c r="AQ122" i="10"/>
  <c r="AS111" i="10"/>
  <c r="V325" i="4"/>
  <c r="V337" i="4" s="1"/>
  <c r="V344" i="4" s="1"/>
  <c r="V345" i="4" s="1"/>
  <c r="V346" i="4" s="1"/>
  <c r="V676" i="2"/>
  <c r="V677" i="2" s="1"/>
  <c r="V678" i="2" s="1"/>
  <c r="AI70" i="10"/>
  <c r="Y88" i="4"/>
  <c r="Y981" i="2"/>
  <c r="Y976" i="2" s="1"/>
  <c r="Z77" i="10"/>
  <c r="X189" i="4"/>
  <c r="X161" i="4"/>
  <c r="X121" i="4"/>
  <c r="X123" i="4" s="1"/>
  <c r="X22" i="4"/>
  <c r="X152" i="4"/>
  <c r="X238" i="4"/>
  <c r="Y20" i="4"/>
  <c r="Y85" i="10"/>
  <c r="AG704" i="2" l="1"/>
  <c r="AF785" i="2"/>
  <c r="AF796" i="2"/>
  <c r="AG731" i="2"/>
  <c r="AF800" i="2"/>
  <c r="AG735" i="2"/>
  <c r="AF780" i="2"/>
  <c r="AF701" i="2"/>
  <c r="AE979" i="2"/>
  <c r="AE87" i="4"/>
  <c r="AN109" i="4"/>
  <c r="AN867" i="2"/>
  <c r="AN872" i="2" s="1"/>
  <c r="V277" i="4"/>
  <c r="V276" i="4" s="1"/>
  <c r="V301" i="4" s="1"/>
  <c r="V228" i="4"/>
  <c r="V227" i="4" s="1"/>
  <c r="V232" i="4" s="1"/>
  <c r="V180" i="4"/>
  <c r="V179" i="4" s="1"/>
  <c r="V190" i="4" s="1"/>
  <c r="V67" i="4"/>
  <c r="V69" i="4" s="1"/>
  <c r="V947" i="2" s="1"/>
  <c r="W995" i="2"/>
  <c r="W988" i="2" s="1"/>
  <c r="W1011" i="2" s="1"/>
  <c r="X28" i="4"/>
  <c r="H23" i="7" s="1"/>
  <c r="H19" i="7"/>
  <c r="Y145" i="4"/>
  <c r="AN122" i="4"/>
  <c r="AO945" i="2"/>
  <c r="AO25" i="4" s="1"/>
  <c r="AO934" i="2"/>
  <c r="AO122" i="4"/>
  <c r="AO109" i="4"/>
  <c r="AL998" i="2"/>
  <c r="AL334" i="4"/>
  <c r="AO181" i="4"/>
  <c r="AO126" i="4"/>
  <c r="AO278" i="4"/>
  <c r="AL1006" i="2"/>
  <c r="AL1007" i="2" s="1"/>
  <c r="AL1008" i="2" s="1"/>
  <c r="AL1002" i="2" s="1"/>
  <c r="AP923" i="2"/>
  <c r="AQ922" i="2" s="1"/>
  <c r="AP937" i="2"/>
  <c r="AP21" i="4" s="1"/>
  <c r="AK336" i="4"/>
  <c r="AK1003" i="2"/>
  <c r="AK1004" i="2" s="1"/>
  <c r="AK335" i="4" s="1"/>
  <c r="AM81" i="4"/>
  <c r="AM323" i="4"/>
  <c r="AR904" i="2"/>
  <c r="AS903" i="2" s="1"/>
  <c r="AH943" i="2"/>
  <c r="AI912" i="2"/>
  <c r="V130" i="4"/>
  <c r="V159" i="4"/>
  <c r="V116" i="4"/>
  <c r="AR120" i="10"/>
  <c r="AS107" i="10"/>
  <c r="AS118" i="10" s="1"/>
  <c r="AS116" i="10"/>
  <c r="AS112" i="10"/>
  <c r="AS117" i="10" s="1"/>
  <c r="Y86" i="10"/>
  <c r="Z78" i="10"/>
  <c r="Y16" i="4"/>
  <c r="Y330" i="4"/>
  <c r="Y977" i="2"/>
  <c r="AI71" i="10"/>
  <c r="AI72" i="10" s="1"/>
  <c r="AG700" i="2" l="1"/>
  <c r="AF781" i="2"/>
  <c r="AG799" i="2"/>
  <c r="AG736" i="2"/>
  <c r="AG795" i="2"/>
  <c r="AG732" i="2"/>
  <c r="AG784" i="2"/>
  <c r="AG705" i="2"/>
  <c r="V290" i="4"/>
  <c r="V293" i="4"/>
  <c r="V282" i="4"/>
  <c r="V283" i="4" s="1"/>
  <c r="V297" i="4" s="1"/>
  <c r="V306" i="4"/>
  <c r="V307" i="4" s="1"/>
  <c r="V308" i="4"/>
  <c r="V309" i="4" s="1"/>
  <c r="V183" i="4"/>
  <c r="V184" i="4" s="1"/>
  <c r="W29" i="4"/>
  <c r="W30" i="4" s="1"/>
  <c r="W326" i="4"/>
  <c r="W989" i="2"/>
  <c r="W328" i="4" s="1"/>
  <c r="X991" i="2"/>
  <c r="X994" i="2" s="1"/>
  <c r="X995" i="2" s="1"/>
  <c r="X988" i="2" s="1"/>
  <c r="V239" i="4"/>
  <c r="V248" i="4" s="1"/>
  <c r="V887" i="2"/>
  <c r="V75" i="4"/>
  <c r="V84" i="4" s="1"/>
  <c r="V95" i="4" s="1"/>
  <c r="V117" i="4" s="1"/>
  <c r="V233" i="4"/>
  <c r="W68" i="4"/>
  <c r="Y148" i="4"/>
  <c r="AN869" i="2"/>
  <c r="AN873" i="2" s="1"/>
  <c r="AN963" i="2" s="1"/>
  <c r="AN972" i="2" s="1"/>
  <c r="AN958" i="2" s="1"/>
  <c r="AN959" i="2" s="1"/>
  <c r="AN26" i="4"/>
  <c r="L21" i="7" s="1"/>
  <c r="AL999" i="2"/>
  <c r="AL333" i="4" s="1"/>
  <c r="AM999" i="2"/>
  <c r="AM333" i="4" s="1"/>
  <c r="AQ923" i="2"/>
  <c r="AQ921" i="2" s="1"/>
  <c r="AQ937" i="2"/>
  <c r="AQ21" i="4" s="1"/>
  <c r="AP921" i="2"/>
  <c r="AP938" i="2"/>
  <c r="AP44" i="4" s="1"/>
  <c r="AL1003" i="2"/>
  <c r="AL1004" i="2" s="1"/>
  <c r="AL335" i="4" s="1"/>
  <c r="AL336" i="4"/>
  <c r="AO869" i="2"/>
  <c r="AO873" i="2" s="1"/>
  <c r="AO963" i="2" s="1"/>
  <c r="AO972" i="2" s="1"/>
  <c r="AO958" i="2" s="1"/>
  <c r="AO872" i="2"/>
  <c r="AM1006" i="2"/>
  <c r="AS904" i="2"/>
  <c r="AT903" i="2" s="1"/>
  <c r="AI913" i="2"/>
  <c r="AI944" i="2"/>
  <c r="AR902" i="2"/>
  <c r="AR114" i="10"/>
  <c r="AR122" i="10"/>
  <c r="AT111" i="10"/>
  <c r="AS110" i="10"/>
  <c r="Z79" i="10"/>
  <c r="V210" i="4"/>
  <c r="V191" i="4"/>
  <c r="V192" i="4" s="1"/>
  <c r="V215" i="4"/>
  <c r="V216" i="4" s="1"/>
  <c r="V199" i="4"/>
  <c r="V202" i="4"/>
  <c r="V217" i="4"/>
  <c r="V218" i="4" s="1"/>
  <c r="V302" i="4"/>
  <c r="Y978" i="2"/>
  <c r="Y89" i="4"/>
  <c r="Y93" i="4" s="1"/>
  <c r="Y169" i="4" s="1"/>
  <c r="Z84" i="10"/>
  <c r="AJ70" i="10"/>
  <c r="Y17" i="4"/>
  <c r="AG785" i="2" l="1"/>
  <c r="AH704" i="2"/>
  <c r="AG796" i="2"/>
  <c r="AH731" i="2"/>
  <c r="AG800" i="2"/>
  <c r="AH735" i="2"/>
  <c r="AF979" i="2"/>
  <c r="AF87" i="4"/>
  <c r="AG780" i="2"/>
  <c r="AG701" i="2"/>
  <c r="V266" i="4"/>
  <c r="V267" i="4" s="1"/>
  <c r="W147" i="4"/>
  <c r="V259" i="4"/>
  <c r="V260" i="4" s="1"/>
  <c r="V251" i="4"/>
  <c r="V240" i="4"/>
  <c r="V241" i="4" s="1"/>
  <c r="V255" i="4" s="1"/>
  <c r="W990" i="2"/>
  <c r="W1012" i="2" s="1"/>
  <c r="W43" i="4" s="1"/>
  <c r="W49" i="4" s="1"/>
  <c r="W125" i="4" s="1"/>
  <c r="W128" i="4" s="1"/>
  <c r="W948" i="2" s="1"/>
  <c r="W1013" i="2"/>
  <c r="W666" i="2" s="1"/>
  <c r="W665" i="2" s="1"/>
  <c r="W99" i="4" s="1"/>
  <c r="W104" i="4" s="1"/>
  <c r="X327" i="4"/>
  <c r="V264" i="4"/>
  <c r="V265" i="4" s="1"/>
  <c r="V163" i="4"/>
  <c r="W112" i="4"/>
  <c r="W114" i="4" s="1"/>
  <c r="W159" i="4" s="1"/>
  <c r="AN871" i="2"/>
  <c r="AN46" i="4" s="1"/>
  <c r="AN960" i="2"/>
  <c r="AN323" i="4" s="1"/>
  <c r="AN974" i="2"/>
  <c r="AN81" i="4" s="1"/>
  <c r="AN324" i="4"/>
  <c r="AQ939" i="2"/>
  <c r="AQ106" i="4" s="1"/>
  <c r="AQ867" i="2" s="1"/>
  <c r="AP939" i="2"/>
  <c r="AP945" i="2" s="1"/>
  <c r="AP25" i="4" s="1"/>
  <c r="AM1007" i="2"/>
  <c r="AM1008" i="2" s="1"/>
  <c r="AM1002" i="2" s="1"/>
  <c r="AO324" i="4"/>
  <c r="AO959" i="2"/>
  <c r="AO960" i="2" s="1"/>
  <c r="AO323" i="4" s="1"/>
  <c r="AR922" i="2"/>
  <c r="AQ938" i="2"/>
  <c r="AQ44" i="4" s="1"/>
  <c r="AO26" i="4"/>
  <c r="AO871" i="2"/>
  <c r="AO46" i="4" s="1"/>
  <c r="AP181" i="4"/>
  <c r="AP278" i="4"/>
  <c r="AP126" i="4"/>
  <c r="AT904" i="2"/>
  <c r="AS902" i="2"/>
  <c r="AI943" i="2"/>
  <c r="AJ912" i="2"/>
  <c r="W33" i="4"/>
  <c r="W151" i="4"/>
  <c r="AS120" i="10"/>
  <c r="AT107" i="10"/>
  <c r="AT118" i="10" s="1"/>
  <c r="AT116" i="10"/>
  <c r="AT112" i="10"/>
  <c r="AT110" i="10" s="1"/>
  <c r="V160" i="4"/>
  <c r="V170" i="4"/>
  <c r="X326" i="4"/>
  <c r="X29" i="4"/>
  <c r="H24" i="7" s="1"/>
  <c r="X989" i="2"/>
  <c r="X1011" i="2"/>
  <c r="AJ71" i="10"/>
  <c r="AJ72" i="10" s="1"/>
  <c r="V211" i="4"/>
  <c r="Y993" i="2"/>
  <c r="Y329" i="4"/>
  <c r="Z85" i="10"/>
  <c r="Z20" i="4"/>
  <c r="Y121" i="4"/>
  <c r="Y123" i="4" s="1"/>
  <c r="Y238" i="4"/>
  <c r="Y152" i="4"/>
  <c r="Y189" i="4"/>
  <c r="Y161" i="4"/>
  <c r="Y22" i="4"/>
  <c r="V206" i="4"/>
  <c r="Z88" i="4"/>
  <c r="Z981" i="2"/>
  <c r="Z976" i="2" s="1"/>
  <c r="AA77" i="10"/>
  <c r="AG781" i="2" l="1"/>
  <c r="AH700" i="2"/>
  <c r="AH799" i="2"/>
  <c r="AH736" i="2"/>
  <c r="AH795" i="2"/>
  <c r="AH732" i="2"/>
  <c r="AH784" i="2"/>
  <c r="AH705" i="2"/>
  <c r="W325" i="4"/>
  <c r="W337" i="4" s="1"/>
  <c r="W344" i="4" s="1"/>
  <c r="W345" i="4" s="1"/>
  <c r="W346" i="4" s="1"/>
  <c r="W158" i="4"/>
  <c r="W277" i="4"/>
  <c r="W276" i="4" s="1"/>
  <c r="W306" i="4" s="1"/>
  <c r="W307" i="4" s="1"/>
  <c r="W676" i="2"/>
  <c r="W677" i="2" s="1"/>
  <c r="W678" i="2" s="1"/>
  <c r="AN1005" i="2"/>
  <c r="L41" i="7"/>
  <c r="W130" i="4"/>
  <c r="W116" i="4"/>
  <c r="AO974" i="2"/>
  <c r="AO81" i="4" s="1"/>
  <c r="W180" i="4"/>
  <c r="W179" i="4" s="1"/>
  <c r="W190" i="4" s="1"/>
  <c r="Z145" i="4"/>
  <c r="W228" i="4"/>
  <c r="Y28" i="4"/>
  <c r="Y991" i="2" s="1"/>
  <c r="W67" i="4"/>
  <c r="AN1000" i="2"/>
  <c r="AN997" i="2" s="1"/>
  <c r="AN998" i="2" s="1"/>
  <c r="AN999" i="2" s="1"/>
  <c r="AN333" i="4" s="1"/>
  <c r="AN1009" i="2"/>
  <c r="AP934" i="2"/>
  <c r="AQ934" i="2"/>
  <c r="AP106" i="4"/>
  <c r="AP867" i="2" s="1"/>
  <c r="AQ278" i="4"/>
  <c r="AQ181" i="4"/>
  <c r="AQ126" i="4"/>
  <c r="AR923" i="2"/>
  <c r="AR921" i="2" s="1"/>
  <c r="AR937" i="2"/>
  <c r="AR21" i="4" s="1"/>
  <c r="M18" i="7" s="1"/>
  <c r="AO1000" i="2"/>
  <c r="AO997" i="2" s="1"/>
  <c r="AO1009" i="2"/>
  <c r="AO1005" i="2"/>
  <c r="AQ945" i="2"/>
  <c r="AQ25" i="4" s="1"/>
  <c r="AN1006" i="2"/>
  <c r="AQ109" i="4"/>
  <c r="AQ122" i="4"/>
  <c r="AM336" i="4"/>
  <c r="AM1003" i="2"/>
  <c r="AM1004" i="2" s="1"/>
  <c r="AM335" i="4" s="1"/>
  <c r="AJ944" i="2"/>
  <c r="AJ913" i="2"/>
  <c r="AT902" i="2"/>
  <c r="AU903" i="2"/>
  <c r="X30" i="4"/>
  <c r="X147" i="4"/>
  <c r="AT120" i="10"/>
  <c r="AU107" i="10"/>
  <c r="AU118" i="10" s="1"/>
  <c r="AU111" i="10"/>
  <c r="AT117" i="10"/>
  <c r="AS114" i="10"/>
  <c r="AS122" i="10"/>
  <c r="AA78" i="10"/>
  <c r="AK70" i="10"/>
  <c r="Z330" i="4"/>
  <c r="Z16" i="4"/>
  <c r="Z977" i="2"/>
  <c r="Z978" i="2" s="1"/>
  <c r="Z86" i="10"/>
  <c r="X328" i="4"/>
  <c r="X1013" i="2"/>
  <c r="X666" i="2" s="1"/>
  <c r="X665" i="2" s="1"/>
  <c r="X990" i="2"/>
  <c r="AI704" i="2" l="1"/>
  <c r="AH785" i="2"/>
  <c r="AH796" i="2"/>
  <c r="AI731" i="2"/>
  <c r="AH800" i="2"/>
  <c r="AI735" i="2"/>
  <c r="AH780" i="2"/>
  <c r="AH701" i="2"/>
  <c r="AG87" i="4"/>
  <c r="AG979" i="2"/>
  <c r="W293" i="4"/>
  <c r="W308" i="4"/>
  <c r="W309" i="4" s="1"/>
  <c r="W282" i="4"/>
  <c r="W283" i="4" s="1"/>
  <c r="W297" i="4" s="1"/>
  <c r="W290" i="4"/>
  <c r="W301" i="4"/>
  <c r="W302" i="4" s="1"/>
  <c r="AN334" i="4"/>
  <c r="AN1007" i="2"/>
  <c r="AN1008" i="2" s="1"/>
  <c r="AN1002" i="2" s="1"/>
  <c r="AN336" i="4" s="1"/>
  <c r="W183" i="4"/>
  <c r="W184" i="4" s="1"/>
  <c r="Z148" i="4"/>
  <c r="W227" i="4"/>
  <c r="X33" i="4"/>
  <c r="H28" i="7" s="1"/>
  <c r="H25" i="7"/>
  <c r="W69" i="4"/>
  <c r="AP122" i="4"/>
  <c r="AP109" i="4"/>
  <c r="AR939" i="2"/>
  <c r="AR106" i="4" s="1"/>
  <c r="AR867" i="2" s="1"/>
  <c r="AQ872" i="2"/>
  <c r="AQ869" i="2"/>
  <c r="AQ873" i="2" s="1"/>
  <c r="AQ963" i="2" s="1"/>
  <c r="AQ972" i="2" s="1"/>
  <c r="AQ958" i="2" s="1"/>
  <c r="AS922" i="2"/>
  <c r="AR938" i="2"/>
  <c r="AR44" i="4" s="1"/>
  <c r="M39" i="7" s="1"/>
  <c r="AO334" i="4"/>
  <c r="AO998" i="2"/>
  <c r="AO999" i="2" s="1"/>
  <c r="AO333" i="4" s="1"/>
  <c r="AP872" i="2"/>
  <c r="AP869" i="2"/>
  <c r="AP873" i="2" s="1"/>
  <c r="AP963" i="2" s="1"/>
  <c r="AP972" i="2" s="1"/>
  <c r="AU904" i="2"/>
  <c r="AU902" i="2" s="1"/>
  <c r="AJ943" i="2"/>
  <c r="AK912" i="2"/>
  <c r="X112" i="4"/>
  <c r="X114" i="4" s="1"/>
  <c r="X158" i="4" s="1"/>
  <c r="X151" i="4"/>
  <c r="AU116" i="10"/>
  <c r="AU112" i="10"/>
  <c r="AU117" i="10" s="1"/>
  <c r="AT114" i="10"/>
  <c r="AT122" i="10"/>
  <c r="Z329" i="4"/>
  <c r="AA79" i="10"/>
  <c r="Z17" i="4"/>
  <c r="AK71" i="10"/>
  <c r="AK72" i="10" s="1"/>
  <c r="Y327" i="4"/>
  <c r="Y994" i="2"/>
  <c r="Y995" i="2" s="1"/>
  <c r="Y988" i="2" s="1"/>
  <c r="Z89" i="4"/>
  <c r="Z93" i="4" s="1"/>
  <c r="Z169" i="4" s="1"/>
  <c r="AA84" i="10"/>
  <c r="X99" i="4"/>
  <c r="X104" i="4" s="1"/>
  <c r="X676" i="2"/>
  <c r="X677" i="2" s="1"/>
  <c r="X678" i="2" s="1"/>
  <c r="W217" i="4"/>
  <c r="W218" i="4" s="1"/>
  <c r="W202" i="4"/>
  <c r="W215" i="4"/>
  <c r="W216" i="4" s="1"/>
  <c r="W199" i="4"/>
  <c r="W210" i="4"/>
  <c r="W191" i="4"/>
  <c r="W192" i="4" s="1"/>
  <c r="X325" i="4"/>
  <c r="X337" i="4" s="1"/>
  <c r="X344" i="4" s="1"/>
  <c r="X345" i="4" s="1"/>
  <c r="X346" i="4" s="1"/>
  <c r="X1012" i="2"/>
  <c r="X43" i="4" s="1"/>
  <c r="AH781" i="2" l="1"/>
  <c r="AI700" i="2"/>
  <c r="AI799" i="2"/>
  <c r="AI736" i="2"/>
  <c r="AI795" i="2"/>
  <c r="AI732" i="2"/>
  <c r="AI784" i="2"/>
  <c r="AI705" i="2"/>
  <c r="AO1006" i="2"/>
  <c r="AO1007" i="2" s="1"/>
  <c r="AO1008" i="2" s="1"/>
  <c r="AO1002" i="2" s="1"/>
  <c r="AO336" i="4" s="1"/>
  <c r="X49" i="4"/>
  <c r="H44" i="7" s="1"/>
  <c r="H38" i="7"/>
  <c r="W239" i="4"/>
  <c r="W232" i="4"/>
  <c r="W947" i="2"/>
  <c r="X68" i="4"/>
  <c r="W75" i="4"/>
  <c r="W84" i="4" s="1"/>
  <c r="W887" i="2"/>
  <c r="AN1003" i="2"/>
  <c r="AN1004" i="2" s="1"/>
  <c r="AN335" i="4" s="1"/>
  <c r="AR934" i="2"/>
  <c r="AR945" i="2"/>
  <c r="AR25" i="4" s="1"/>
  <c r="AP958" i="2"/>
  <c r="AP974" i="2"/>
  <c r="AP26" i="4"/>
  <c r="AP871" i="2"/>
  <c r="AP46" i="4" s="1"/>
  <c r="AQ324" i="4"/>
  <c r="AQ959" i="2"/>
  <c r="AQ26" i="4"/>
  <c r="AQ871" i="2"/>
  <c r="AQ46" i="4" s="1"/>
  <c r="AR278" i="4"/>
  <c r="AR126" i="4"/>
  <c r="AR181" i="4"/>
  <c r="AS923" i="2"/>
  <c r="AT922" i="2" s="1"/>
  <c r="AS937" i="2"/>
  <c r="AS21" i="4" s="1"/>
  <c r="AR109" i="4"/>
  <c r="AR122" i="4"/>
  <c r="AV903" i="2"/>
  <c r="AK944" i="2"/>
  <c r="AK913" i="2"/>
  <c r="X130" i="4"/>
  <c r="X159" i="4"/>
  <c r="AU110" i="10"/>
  <c r="AV111" i="10"/>
  <c r="Z993" i="2"/>
  <c r="Z152" i="4"/>
  <c r="Z22" i="4"/>
  <c r="Z238" i="4"/>
  <c r="Z189" i="4"/>
  <c r="Z121" i="4"/>
  <c r="Z123" i="4" s="1"/>
  <c r="Z161" i="4"/>
  <c r="Y326" i="4"/>
  <c r="Y29" i="4"/>
  <c r="Y989" i="2"/>
  <c r="Y990" i="2" s="1"/>
  <c r="Y1011" i="2"/>
  <c r="W206" i="4"/>
  <c r="W211" i="4"/>
  <c r="AA88" i="4"/>
  <c r="AA981" i="2"/>
  <c r="AA976" i="2" s="1"/>
  <c r="AB77" i="10"/>
  <c r="X116" i="4"/>
  <c r="AA85" i="10"/>
  <c r="AA20" i="4"/>
  <c r="AL70" i="10"/>
  <c r="AI785" i="2" l="1"/>
  <c r="AJ704" i="2"/>
  <c r="AI796" i="2"/>
  <c r="AJ731" i="2"/>
  <c r="AI800" i="2"/>
  <c r="AJ735" i="2"/>
  <c r="AI780" i="2"/>
  <c r="AI701" i="2"/>
  <c r="AH979" i="2"/>
  <c r="AH87" i="4"/>
  <c r="X180" i="4"/>
  <c r="X179" i="4" s="1"/>
  <c r="X190" i="4" s="1"/>
  <c r="X125" i="4"/>
  <c r="X128" i="4" s="1"/>
  <c r="X948" i="2" s="1"/>
  <c r="AP1006" i="2"/>
  <c r="AO1003" i="2"/>
  <c r="AO1004" i="2" s="1"/>
  <c r="AO335" i="4" s="1"/>
  <c r="X67" i="4"/>
  <c r="X69" i="4" s="1"/>
  <c r="X228" i="4"/>
  <c r="H72" i="7" s="1"/>
  <c r="X277" i="4"/>
  <c r="X276" i="4" s="1"/>
  <c r="X306" i="4" s="1"/>
  <c r="X307" i="4" s="1"/>
  <c r="Z28" i="4"/>
  <c r="Z991" i="2" s="1"/>
  <c r="W233" i="4"/>
  <c r="W240" i="4"/>
  <c r="W266" i="4"/>
  <c r="W267" i="4" s="1"/>
  <c r="W264" i="4"/>
  <c r="W265" i="4" s="1"/>
  <c r="W251" i="4"/>
  <c r="W259" i="4"/>
  <c r="W260" i="4" s="1"/>
  <c r="W248" i="4"/>
  <c r="AA145" i="4"/>
  <c r="W95" i="4"/>
  <c r="W163" i="4"/>
  <c r="AT923" i="2"/>
  <c r="AU922" i="2" s="1"/>
  <c r="AT937" i="2"/>
  <c r="AT21" i="4" s="1"/>
  <c r="AP1000" i="2"/>
  <c r="AP997" i="2" s="1"/>
  <c r="AP1005" i="2"/>
  <c r="AP1009" i="2"/>
  <c r="AQ1000" i="2"/>
  <c r="AQ997" i="2" s="1"/>
  <c r="AQ1005" i="2"/>
  <c r="AQ1009" i="2"/>
  <c r="AP81" i="4"/>
  <c r="AQ974" i="2"/>
  <c r="AP324" i="4"/>
  <c r="AP959" i="2"/>
  <c r="AP960" i="2" s="1"/>
  <c r="AP323" i="4" s="1"/>
  <c r="AR872" i="2"/>
  <c r="AR869" i="2"/>
  <c r="AR873" i="2" s="1"/>
  <c r="AR963" i="2" s="1"/>
  <c r="AR972" i="2" s="1"/>
  <c r="AR958" i="2" s="1"/>
  <c r="AS921" i="2"/>
  <c r="AS938" i="2"/>
  <c r="AS44" i="4" s="1"/>
  <c r="AK943" i="2"/>
  <c r="AL912" i="2"/>
  <c r="AV904" i="2"/>
  <c r="AV902" i="2" s="1"/>
  <c r="AX903" i="2"/>
  <c r="Y30" i="4"/>
  <c r="Y147" i="4"/>
  <c r="AV116" i="10"/>
  <c r="AV112" i="10"/>
  <c r="AV110" i="10" s="1"/>
  <c r="AV120" i="10" s="1"/>
  <c r="AX111" i="10"/>
  <c r="AU120" i="10"/>
  <c r="AV107" i="10"/>
  <c r="AV118" i="10" s="1"/>
  <c r="AB78" i="10"/>
  <c r="AA86" i="10"/>
  <c r="AA16" i="4"/>
  <c r="AA330" i="4"/>
  <c r="AA977" i="2"/>
  <c r="AA978" i="2" s="1"/>
  <c r="AL71" i="10"/>
  <c r="AL72" i="10" s="1"/>
  <c r="Y328" i="4"/>
  <c r="Y1013" i="2"/>
  <c r="Y666" i="2" s="1"/>
  <c r="Y665" i="2" s="1"/>
  <c r="Y325" i="4"/>
  <c r="Y337" i="4" s="1"/>
  <c r="Y344" i="4" s="1"/>
  <c r="Y345" i="4" s="1"/>
  <c r="Y346" i="4" s="1"/>
  <c r="Y1012" i="2"/>
  <c r="Y43" i="4" s="1"/>
  <c r="X183" i="4" l="1"/>
  <c r="X184" i="4" s="1"/>
  <c r="AI781" i="2"/>
  <c r="AJ700" i="2"/>
  <c r="AJ799" i="2"/>
  <c r="AJ736" i="2"/>
  <c r="AJ795" i="2"/>
  <c r="AJ732" i="2"/>
  <c r="AJ784" i="2"/>
  <c r="AJ705" i="2"/>
  <c r="X282" i="4"/>
  <c r="X283" i="4" s="1"/>
  <c r="X297" i="4" s="1"/>
  <c r="X293" i="4"/>
  <c r="X308" i="4"/>
  <c r="X309" i="4" s="1"/>
  <c r="X301" i="4"/>
  <c r="X302" i="4" s="1"/>
  <c r="X290" i="4"/>
  <c r="X227" i="4"/>
  <c r="H71" i="7" s="1"/>
  <c r="H62" i="7"/>
  <c r="H64" i="7"/>
  <c r="Y68" i="4"/>
  <c r="I63" i="7" s="1"/>
  <c r="X947" i="2"/>
  <c r="W241" i="4"/>
  <c r="W255" i="4" s="1"/>
  <c r="X887" i="2"/>
  <c r="X75" i="4"/>
  <c r="X84" i="4" s="1"/>
  <c r="X163" i="4" s="1"/>
  <c r="W160" i="4"/>
  <c r="W117" i="4"/>
  <c r="W170" i="4"/>
  <c r="Y151" i="4"/>
  <c r="Y49" i="4"/>
  <c r="Y180" i="4" s="1"/>
  <c r="Y179" i="4" s="1"/>
  <c r="AA148" i="4"/>
  <c r="AS939" i="2"/>
  <c r="AS934" i="2" s="1"/>
  <c r="AU923" i="2"/>
  <c r="AU938" i="2" s="1"/>
  <c r="AU44" i="4" s="1"/>
  <c r="AU937" i="2"/>
  <c r="AU21" i="4" s="1"/>
  <c r="AP334" i="4"/>
  <c r="AP998" i="2"/>
  <c r="AP999" i="2" s="1"/>
  <c r="AP333" i="4" s="1"/>
  <c r="AR974" i="2"/>
  <c r="AQ81" i="4"/>
  <c r="AQ334" i="4"/>
  <c r="AQ998" i="2"/>
  <c r="AR871" i="2"/>
  <c r="AR46" i="4" s="1"/>
  <c r="M41" i="7" s="1"/>
  <c r="AR26" i="4"/>
  <c r="M21" i="7" s="1"/>
  <c r="AP1007" i="2"/>
  <c r="AP1008" i="2" s="1"/>
  <c r="AP1002" i="2" s="1"/>
  <c r="AQ960" i="2"/>
  <c r="AQ323" i="4" s="1"/>
  <c r="AS126" i="4"/>
  <c r="AS181" i="4"/>
  <c r="AS278" i="4"/>
  <c r="AR324" i="4"/>
  <c r="AR959" i="2"/>
  <c r="AR960" i="2" s="1"/>
  <c r="AR323" i="4" s="1"/>
  <c r="AT921" i="2"/>
  <c r="AT938" i="2"/>
  <c r="AT44" i="4" s="1"/>
  <c r="H906" i="2"/>
  <c r="J906" i="2"/>
  <c r="I906" i="2"/>
  <c r="K906" i="2"/>
  <c r="L906" i="2"/>
  <c r="N906" i="2"/>
  <c r="M906" i="2"/>
  <c r="P906" i="2"/>
  <c r="O906" i="2"/>
  <c r="Q906" i="2"/>
  <c r="R906" i="2"/>
  <c r="S906" i="2"/>
  <c r="T906" i="2"/>
  <c r="U906" i="2"/>
  <c r="V906" i="2"/>
  <c r="X906" i="2"/>
  <c r="W906" i="2"/>
  <c r="Y906" i="2"/>
  <c r="Z906" i="2"/>
  <c r="AB906" i="2"/>
  <c r="AA906" i="2"/>
  <c r="AC906" i="2"/>
  <c r="AD906" i="2"/>
  <c r="AE906" i="2"/>
  <c r="AF906" i="2"/>
  <c r="AG906" i="2"/>
  <c r="AH906" i="2"/>
  <c r="AI906" i="2"/>
  <c r="AJ906" i="2"/>
  <c r="AN906" i="2"/>
  <c r="AL906" i="2"/>
  <c r="AK906" i="2"/>
  <c r="AM906" i="2"/>
  <c r="AO906" i="2"/>
  <c r="AP906" i="2"/>
  <c r="AQ906" i="2"/>
  <c r="AR906" i="2"/>
  <c r="AS906" i="2"/>
  <c r="AU906" i="2"/>
  <c r="AV906" i="2"/>
  <c r="AT906" i="2"/>
  <c r="AX904" i="2"/>
  <c r="AL944" i="2"/>
  <c r="AL913" i="2"/>
  <c r="Y112" i="4"/>
  <c r="Y114" i="4" s="1"/>
  <c r="Y158" i="4" s="1"/>
  <c r="Y33" i="4"/>
  <c r="AV117" i="10"/>
  <c r="AX112" i="10"/>
  <c r="AX116" i="10"/>
  <c r="AU114" i="10"/>
  <c r="AU122" i="10"/>
  <c r="AV114" i="10"/>
  <c r="X217" i="4"/>
  <c r="X218" i="4" s="1"/>
  <c r="X202" i="4"/>
  <c r="X199" i="4"/>
  <c r="X191" i="4"/>
  <c r="X192" i="4" s="1"/>
  <c r="X215" i="4"/>
  <c r="X216" i="4" s="1"/>
  <c r="X210" i="4"/>
  <c r="AM70" i="10"/>
  <c r="AA17" i="4"/>
  <c r="AA89" i="4"/>
  <c r="AA93" i="4" s="1"/>
  <c r="AA169" i="4" s="1"/>
  <c r="AB84" i="10"/>
  <c r="Z327" i="4"/>
  <c r="Z994" i="2"/>
  <c r="Z995" i="2" s="1"/>
  <c r="Z988" i="2" s="1"/>
  <c r="Y99" i="4"/>
  <c r="Y104" i="4" s="1"/>
  <c r="Y676" i="2"/>
  <c r="Y677" i="2" s="1"/>
  <c r="Y678" i="2" s="1"/>
  <c r="AB79" i="10"/>
  <c r="AA329" i="4"/>
  <c r="AJ785" i="2" l="1"/>
  <c r="AK704" i="2"/>
  <c r="AJ796" i="2"/>
  <c r="AK731" i="2"/>
  <c r="AJ800" i="2"/>
  <c r="AK735" i="2"/>
  <c r="AJ780" i="2"/>
  <c r="AJ701" i="2"/>
  <c r="AI87" i="4"/>
  <c r="AI979" i="2"/>
  <c r="AV122" i="10"/>
  <c r="X239" i="4"/>
  <c r="H82" i="7" s="1"/>
  <c r="X95" i="4"/>
  <c r="X160" i="4" s="1"/>
  <c r="X232" i="4"/>
  <c r="X233" i="4" s="1"/>
  <c r="H77" i="7" s="1"/>
  <c r="Y67" i="4"/>
  <c r="Y69" i="4" s="1"/>
  <c r="Z68" i="4" s="1"/>
  <c r="Y228" i="4"/>
  <c r="Y227" i="4" s="1"/>
  <c r="Y232" i="4" s="1"/>
  <c r="Y277" i="4"/>
  <c r="Y276" i="4" s="1"/>
  <c r="Y293" i="4" s="1"/>
  <c r="Y125" i="4"/>
  <c r="Y128" i="4" s="1"/>
  <c r="Y948" i="2" s="1"/>
  <c r="AS945" i="2"/>
  <c r="AS25" i="4" s="1"/>
  <c r="AS106" i="4"/>
  <c r="AQ1006" i="2"/>
  <c r="AQ1007" i="2" s="1"/>
  <c r="AQ1008" i="2" s="1"/>
  <c r="AQ1002" i="2" s="1"/>
  <c r="AQ336" i="4" s="1"/>
  <c r="AQ999" i="2"/>
  <c r="AQ333" i="4" s="1"/>
  <c r="AT939" i="2"/>
  <c r="AT106" i="4" s="1"/>
  <c r="AT867" i="2" s="1"/>
  <c r="AR1000" i="2"/>
  <c r="AR997" i="2" s="1"/>
  <c r="AR1009" i="2"/>
  <c r="AR1005" i="2"/>
  <c r="AX906" i="2"/>
  <c r="B899" i="2" s="1"/>
  <c r="AT181" i="4"/>
  <c r="AT278" i="4"/>
  <c r="AT126" i="4"/>
  <c r="AP1003" i="2"/>
  <c r="AP1004" i="2" s="1"/>
  <c r="AP335" i="4" s="1"/>
  <c r="AP336" i="4"/>
  <c r="AV922" i="2"/>
  <c r="AR81" i="4"/>
  <c r="AU921" i="2"/>
  <c r="AU181" i="4"/>
  <c r="AU278" i="4"/>
  <c r="AU126" i="4"/>
  <c r="AL943" i="2"/>
  <c r="AM912" i="2"/>
  <c r="Y130" i="4"/>
  <c r="Y159" i="4"/>
  <c r="AX122" i="10"/>
  <c r="AX117" i="10"/>
  <c r="AA993" i="2"/>
  <c r="Z29" i="4"/>
  <c r="Z326" i="4"/>
  <c r="Z989" i="2"/>
  <c r="Z1011" i="2"/>
  <c r="AB88" i="4"/>
  <c r="AB981" i="2"/>
  <c r="AB976" i="2" s="1"/>
  <c r="AC77" i="10"/>
  <c r="AB20" i="4"/>
  <c r="AB85" i="10"/>
  <c r="X211" i="4"/>
  <c r="Y116" i="4"/>
  <c r="X206" i="4"/>
  <c r="Y190" i="4"/>
  <c r="Y183" i="4"/>
  <c r="Y184" i="4" s="1"/>
  <c r="AA189" i="4"/>
  <c r="AA188" i="4" s="1"/>
  <c r="AA152" i="4"/>
  <c r="AA238" i="4"/>
  <c r="AA237" i="4" s="1"/>
  <c r="I81" i="7" s="1"/>
  <c r="AA161" i="4"/>
  <c r="AA22" i="4"/>
  <c r="AA121" i="4"/>
  <c r="AA123" i="4" s="1"/>
  <c r="AM71" i="10"/>
  <c r="AM72" i="10" s="1"/>
  <c r="AK700" i="2" l="1"/>
  <c r="AJ781" i="2"/>
  <c r="AK799" i="2"/>
  <c r="AK736" i="2"/>
  <c r="AK795" i="2"/>
  <c r="AK732" i="2"/>
  <c r="AK784" i="2"/>
  <c r="AK705" i="2"/>
  <c r="AS109" i="4"/>
  <c r="AS867" i="2"/>
  <c r="X117" i="4"/>
  <c r="X259" i="4"/>
  <c r="X260" i="4" s="1"/>
  <c r="X170" i="4"/>
  <c r="X248" i="4"/>
  <c r="X251" i="4"/>
  <c r="X264" i="4"/>
  <c r="X265" i="4" s="1"/>
  <c r="X240" i="4"/>
  <c r="H83" i="7" s="1"/>
  <c r="X266" i="4"/>
  <c r="X267" i="4" s="1"/>
  <c r="H76" i="7"/>
  <c r="Y290" i="4"/>
  <c r="Y282" i="4"/>
  <c r="Y283" i="4" s="1"/>
  <c r="Y297" i="4" s="1"/>
  <c r="Y301" i="4"/>
  <c r="Y302" i="4" s="1"/>
  <c r="Y306" i="4"/>
  <c r="Y307" i="4" s="1"/>
  <c r="Y308" i="4"/>
  <c r="Y309" i="4" s="1"/>
  <c r="Y887" i="2"/>
  <c r="Y947" i="2"/>
  <c r="Y239" i="4"/>
  <c r="Y240" i="4" s="1"/>
  <c r="Y75" i="4"/>
  <c r="Y84" i="4" s="1"/>
  <c r="Y95" i="4" s="1"/>
  <c r="Y117" i="4" s="1"/>
  <c r="AB145" i="4"/>
  <c r="I17" i="7"/>
  <c r="Y233" i="4"/>
  <c r="AA28" i="4"/>
  <c r="AA991" i="2" s="1"/>
  <c r="AR1006" i="2"/>
  <c r="AR1007" i="2" s="1"/>
  <c r="AR1008" i="2" s="1"/>
  <c r="AR1002" i="2" s="1"/>
  <c r="AS869" i="2"/>
  <c r="AS873" i="2" s="1"/>
  <c r="AS963" i="2" s="1"/>
  <c r="AS972" i="2" s="1"/>
  <c r="AS122" i="4"/>
  <c r="AQ1003" i="2"/>
  <c r="AQ1004" i="2" s="1"/>
  <c r="AQ335" i="4" s="1"/>
  <c r="AT945" i="2"/>
  <c r="AT25" i="4" s="1"/>
  <c r="AT934" i="2"/>
  <c r="AU939" i="2"/>
  <c r="AU945" i="2" s="1"/>
  <c r="AU25" i="4" s="1"/>
  <c r="AR998" i="2"/>
  <c r="AR999" i="2" s="1"/>
  <c r="AR333" i="4" s="1"/>
  <c r="AR334" i="4"/>
  <c r="AV923" i="2"/>
  <c r="AV921" i="2" s="1"/>
  <c r="AX922" i="2"/>
  <c r="AV937" i="2"/>
  <c r="AT109" i="4"/>
  <c r="AT122" i="4"/>
  <c r="AM944" i="2"/>
  <c r="AM913" i="2"/>
  <c r="Z30" i="4"/>
  <c r="Z147" i="4"/>
  <c r="AB86" i="10"/>
  <c r="AC78" i="10"/>
  <c r="AN70" i="10"/>
  <c r="AB330" i="4"/>
  <c r="AB16" i="4"/>
  <c r="AB977" i="2"/>
  <c r="Y191" i="4"/>
  <c r="Y192" i="4" s="1"/>
  <c r="Y210" i="4"/>
  <c r="Y199" i="4"/>
  <c r="Y202" i="4"/>
  <c r="Y217" i="4"/>
  <c r="Y218" i="4" s="1"/>
  <c r="Y215" i="4"/>
  <c r="Y216" i="4" s="1"/>
  <c r="Z328" i="4"/>
  <c r="Z1013" i="2"/>
  <c r="Z666" i="2" s="1"/>
  <c r="Z665" i="2" s="1"/>
  <c r="Z990" i="2"/>
  <c r="AL704" i="2" l="1"/>
  <c r="AK785" i="2"/>
  <c r="AK796" i="2"/>
  <c r="AL731" i="2"/>
  <c r="AK800" i="2"/>
  <c r="AL735" i="2"/>
  <c r="AJ979" i="2"/>
  <c r="AJ87" i="4"/>
  <c r="AK780" i="2"/>
  <c r="AK701" i="2"/>
  <c r="X241" i="4"/>
  <c r="H84" i="7" s="1"/>
  <c r="Y160" i="4"/>
  <c r="Y248" i="4"/>
  <c r="Y251" i="4"/>
  <c r="Y266" i="4"/>
  <c r="Y267" i="4" s="1"/>
  <c r="Y163" i="4"/>
  <c r="Y170" i="4"/>
  <c r="Y264" i="4"/>
  <c r="Y265" i="4" s="1"/>
  <c r="Y259" i="4"/>
  <c r="Y260" i="4" s="1"/>
  <c r="AB148" i="4"/>
  <c r="Z112" i="4"/>
  <c r="Z114" i="4" s="1"/>
  <c r="Z159" i="4" s="1"/>
  <c r="AS872" i="2"/>
  <c r="AS26" i="4" s="1"/>
  <c r="AU934" i="2"/>
  <c r="AU106" i="4"/>
  <c r="AU867" i="2" s="1"/>
  <c r="H925" i="2"/>
  <c r="I925" i="2"/>
  <c r="K925" i="2"/>
  <c r="J925" i="2"/>
  <c r="M925" i="2"/>
  <c r="L925" i="2"/>
  <c r="N925" i="2"/>
  <c r="O925" i="2"/>
  <c r="P925" i="2"/>
  <c r="Q925" i="2"/>
  <c r="R925" i="2"/>
  <c r="S925" i="2"/>
  <c r="T925" i="2"/>
  <c r="V925" i="2"/>
  <c r="U925" i="2"/>
  <c r="W925" i="2"/>
  <c r="X925" i="2"/>
  <c r="Y925" i="2"/>
  <c r="Z925" i="2"/>
  <c r="AB925" i="2"/>
  <c r="AA925" i="2"/>
  <c r="AD925" i="2"/>
  <c r="AC925" i="2"/>
  <c r="AE925" i="2"/>
  <c r="AF925" i="2"/>
  <c r="AH925" i="2"/>
  <c r="AJ925" i="2"/>
  <c r="AG925" i="2"/>
  <c r="AI925" i="2"/>
  <c r="AL925" i="2"/>
  <c r="AK925" i="2"/>
  <c r="AO925" i="2"/>
  <c r="AM925" i="2"/>
  <c r="AN925" i="2"/>
  <c r="AP925" i="2"/>
  <c r="AR925" i="2"/>
  <c r="AV925" i="2"/>
  <c r="AQ925" i="2"/>
  <c r="AT925" i="2"/>
  <c r="AS925" i="2"/>
  <c r="AU925" i="2"/>
  <c r="AV939" i="2"/>
  <c r="AT872" i="2"/>
  <c r="AT869" i="2"/>
  <c r="AT873" i="2" s="1"/>
  <c r="AT963" i="2" s="1"/>
  <c r="AT972" i="2" s="1"/>
  <c r="AT958" i="2" s="1"/>
  <c r="AX937" i="2"/>
  <c r="AV21" i="4"/>
  <c r="AR1003" i="2"/>
  <c r="AR1004" i="2" s="1"/>
  <c r="AR335" i="4" s="1"/>
  <c r="AR336" i="4"/>
  <c r="AX923" i="2"/>
  <c r="AV938" i="2"/>
  <c r="AS958" i="2"/>
  <c r="AS974" i="2"/>
  <c r="AS1006" i="2"/>
  <c r="AS871" i="2"/>
  <c r="AS46" i="4" s="1"/>
  <c r="AM943" i="2"/>
  <c r="AN912" i="2"/>
  <c r="Z151" i="4"/>
  <c r="Z33" i="4"/>
  <c r="AA327" i="4"/>
  <c r="AA994" i="2"/>
  <c r="AA995" i="2" s="1"/>
  <c r="AA988" i="2" s="1"/>
  <c r="AC79" i="10"/>
  <c r="AN71" i="10"/>
  <c r="AN72" i="10" s="1"/>
  <c r="AB978" i="2"/>
  <c r="AB17" i="4"/>
  <c r="I14" i="7" s="1"/>
  <c r="Y211" i="4"/>
  <c r="Z325" i="4"/>
  <c r="Z337" i="4" s="1"/>
  <c r="Z344" i="4" s="1"/>
  <c r="Z345" i="4" s="1"/>
  <c r="Z346" i="4" s="1"/>
  <c r="Z1012" i="2"/>
  <c r="Z43" i="4" s="1"/>
  <c r="Y206" i="4"/>
  <c r="AB89" i="4"/>
  <c r="AB93" i="4" s="1"/>
  <c r="AB169" i="4" s="1"/>
  <c r="AC84" i="10"/>
  <c r="Z99" i="4"/>
  <c r="Z104" i="4" s="1"/>
  <c r="Z676" i="2"/>
  <c r="Z677" i="2" s="1"/>
  <c r="Z678" i="2" s="1"/>
  <c r="AK781" i="2" l="1"/>
  <c r="AL700" i="2"/>
  <c r="AL799" i="2"/>
  <c r="AL736" i="2"/>
  <c r="AL795" i="2"/>
  <c r="AL732" i="2"/>
  <c r="AL784" i="2"/>
  <c r="AL705" i="2"/>
  <c r="Y241" i="4"/>
  <c r="Y255" i="4" s="1"/>
  <c r="X255" i="4"/>
  <c r="AX21" i="4"/>
  <c r="O18" i="7" s="1"/>
  <c r="N18" i="7"/>
  <c r="Z49" i="4"/>
  <c r="Z228" i="4" s="1"/>
  <c r="Z158" i="4"/>
  <c r="Z130" i="4"/>
  <c r="AU109" i="4"/>
  <c r="AU122" i="4"/>
  <c r="AX925" i="2"/>
  <c r="B918" i="2" s="1"/>
  <c r="AX938" i="2"/>
  <c r="AV44" i="4"/>
  <c r="N39" i="7" s="1"/>
  <c r="AS324" i="4"/>
  <c r="AS959" i="2"/>
  <c r="AS960" i="2" s="1"/>
  <c r="AS323" i="4" s="1"/>
  <c r="AU872" i="2"/>
  <c r="AU869" i="2"/>
  <c r="AU873" i="2" s="1"/>
  <c r="AU963" i="2" s="1"/>
  <c r="AU972" i="2" s="1"/>
  <c r="AU958" i="2" s="1"/>
  <c r="AS81" i="4"/>
  <c r="AT974" i="2"/>
  <c r="AT26" i="4"/>
  <c r="AT871" i="2"/>
  <c r="AT46" i="4" s="1"/>
  <c r="AV106" i="4"/>
  <c r="AV867" i="2" s="1"/>
  <c r="AV934" i="2"/>
  <c r="AV945" i="2"/>
  <c r="AT324" i="4"/>
  <c r="AT959" i="2"/>
  <c r="AS1005" i="2"/>
  <c r="AS1000" i="2"/>
  <c r="AS997" i="2" s="1"/>
  <c r="AS1009" i="2"/>
  <c r="AN944" i="2"/>
  <c r="AN913" i="2"/>
  <c r="AB993" i="2"/>
  <c r="AA326" i="4"/>
  <c r="AA29" i="4"/>
  <c r="AA989" i="2"/>
  <c r="AA1011" i="2"/>
  <c r="Z116" i="4"/>
  <c r="AC20" i="4"/>
  <c r="AC85" i="10"/>
  <c r="AB329" i="4"/>
  <c r="AO70" i="10"/>
  <c r="AC88" i="4"/>
  <c r="AC981" i="2"/>
  <c r="AC976" i="2" s="1"/>
  <c r="AD77" i="10"/>
  <c r="AB238" i="4"/>
  <c r="AB161" i="4"/>
  <c r="AB121" i="4"/>
  <c r="AB123" i="4" s="1"/>
  <c r="AB189" i="4"/>
  <c r="AB22" i="4"/>
  <c r="AB152" i="4"/>
  <c r="AM704" i="2" l="1"/>
  <c r="AL785" i="2"/>
  <c r="AL796" i="2"/>
  <c r="AM731" i="2"/>
  <c r="AL800" i="2"/>
  <c r="AM735" i="2"/>
  <c r="AL780" i="2"/>
  <c r="AL701" i="2"/>
  <c r="AK87" i="4"/>
  <c r="AK979" i="2"/>
  <c r="Z277" i="4"/>
  <c r="Z276" i="4" s="1"/>
  <c r="Z308" i="4" s="1"/>
  <c r="Z309" i="4" s="1"/>
  <c r="Z180" i="4"/>
  <c r="Z179" i="4" s="1"/>
  <c r="Z183" i="4" s="1"/>
  <c r="Z184" i="4" s="1"/>
  <c r="Z67" i="4"/>
  <c r="Z69" i="4" s="1"/>
  <c r="Z947" i="2" s="1"/>
  <c r="Z125" i="4"/>
  <c r="Z128" i="4" s="1"/>
  <c r="Z948" i="2" s="1"/>
  <c r="Z227" i="4"/>
  <c r="Z239" i="4" s="1"/>
  <c r="AB28" i="4"/>
  <c r="I23" i="7" s="1"/>
  <c r="I19" i="7"/>
  <c r="AC145" i="4"/>
  <c r="AT1005" i="2"/>
  <c r="AT1000" i="2"/>
  <c r="AT997" i="2" s="1"/>
  <c r="AT1009" i="2"/>
  <c r="AS998" i="2"/>
  <c r="AS999" i="2" s="1"/>
  <c r="AS333" i="4" s="1"/>
  <c r="AS334" i="4"/>
  <c r="AX945" i="2"/>
  <c r="AV25" i="4"/>
  <c r="AU26" i="4"/>
  <c r="AU871" i="2"/>
  <c r="AU46" i="4" s="1"/>
  <c r="AT81" i="4"/>
  <c r="AU974" i="2"/>
  <c r="AU81" i="4" s="1"/>
  <c r="AV181" i="4"/>
  <c r="AX181" i="4" s="1"/>
  <c r="AV126" i="4"/>
  <c r="AV278" i="4"/>
  <c r="AX278" i="4" s="1"/>
  <c r="AX44" i="4"/>
  <c r="O39" i="7" s="1"/>
  <c r="AV122" i="4"/>
  <c r="AV109" i="4"/>
  <c r="AT960" i="2"/>
  <c r="AT323" i="4" s="1"/>
  <c r="AU324" i="4"/>
  <c r="AU959" i="2"/>
  <c r="AU960" i="2" s="1"/>
  <c r="AU323" i="4" s="1"/>
  <c r="AS1007" i="2"/>
  <c r="AS1008" i="2" s="1"/>
  <c r="AS1002" i="2" s="1"/>
  <c r="AN943" i="2"/>
  <c r="AO912" i="2"/>
  <c r="AA30" i="4"/>
  <c r="AA147" i="4"/>
  <c r="AD78" i="10"/>
  <c r="AC86" i="10"/>
  <c r="AA328" i="4"/>
  <c r="AA1013" i="2"/>
  <c r="AA666" i="2" s="1"/>
  <c r="AA665" i="2" s="1"/>
  <c r="AO71" i="10"/>
  <c r="AO72" i="10" s="1"/>
  <c r="AA990" i="2"/>
  <c r="AC16" i="4"/>
  <c r="AC330" i="4"/>
  <c r="AC977" i="2"/>
  <c r="AC978" i="2" s="1"/>
  <c r="AM700" i="2" l="1"/>
  <c r="AL781" i="2"/>
  <c r="AM799" i="2"/>
  <c r="AM736" i="2"/>
  <c r="AM795" i="2"/>
  <c r="AM732" i="2"/>
  <c r="AM784" i="2"/>
  <c r="AM705" i="2"/>
  <c r="AB991" i="2"/>
  <c r="AB994" i="2" s="1"/>
  <c r="AB995" i="2" s="1"/>
  <c r="AB988" i="2" s="1"/>
  <c r="Z293" i="4"/>
  <c r="Z290" i="4"/>
  <c r="Z301" i="4"/>
  <c r="Z302" i="4" s="1"/>
  <c r="Z282" i="4"/>
  <c r="Z283" i="4" s="1"/>
  <c r="Z297" i="4" s="1"/>
  <c r="Z306" i="4"/>
  <c r="Z307" i="4" s="1"/>
  <c r="Z232" i="4"/>
  <c r="Z233" i="4" s="1"/>
  <c r="Z190" i="4"/>
  <c r="Z199" i="4" s="1"/>
  <c r="AA68" i="4"/>
  <c r="Z887" i="2"/>
  <c r="Z75" i="4"/>
  <c r="Z84" i="4" s="1"/>
  <c r="Z95" i="4" s="1"/>
  <c r="Z117" i="4" s="1"/>
  <c r="AC148" i="4"/>
  <c r="AA33" i="4"/>
  <c r="AX25" i="4"/>
  <c r="AT1006" i="2"/>
  <c r="AT1007" i="2" s="1"/>
  <c r="AT1008" i="2" s="1"/>
  <c r="AT1002" i="2" s="1"/>
  <c r="AV872" i="2"/>
  <c r="AV869" i="2"/>
  <c r="AX867" i="2"/>
  <c r="AT998" i="2"/>
  <c r="AT999" i="2" s="1"/>
  <c r="AT333" i="4" s="1"/>
  <c r="AT334" i="4"/>
  <c r="AS336" i="4"/>
  <c r="AS1003" i="2"/>
  <c r="AS1004" i="2" s="1"/>
  <c r="AS335" i="4" s="1"/>
  <c r="AU1009" i="2"/>
  <c r="AU1000" i="2"/>
  <c r="AU1005" i="2"/>
  <c r="AO913" i="2"/>
  <c r="AO944" i="2"/>
  <c r="AA151" i="4"/>
  <c r="AA112" i="4"/>
  <c r="AA114" i="4" s="1"/>
  <c r="AA159" i="4" s="1"/>
  <c r="AC329" i="4"/>
  <c r="AC89" i="4"/>
  <c r="AC93" i="4" s="1"/>
  <c r="AC169" i="4" s="1"/>
  <c r="AD84" i="10"/>
  <c r="Z259" i="4"/>
  <c r="Z240" i="4"/>
  <c r="Z248" i="4"/>
  <c r="Z266" i="4"/>
  <c r="Z267" i="4" s="1"/>
  <c r="Z264" i="4"/>
  <c r="Z265" i="4" s="1"/>
  <c r="Z251" i="4"/>
  <c r="AA325" i="4"/>
  <c r="AA337" i="4" s="1"/>
  <c r="AA344" i="4" s="1"/>
  <c r="AA345" i="4" s="1"/>
  <c r="AA346" i="4" s="1"/>
  <c r="AA1012" i="2"/>
  <c r="AA43" i="4" s="1"/>
  <c r="AC17" i="4"/>
  <c r="AP70" i="10"/>
  <c r="AD79" i="10"/>
  <c r="AA99" i="4"/>
  <c r="AA104" i="4" s="1"/>
  <c r="AA676" i="2"/>
  <c r="AA677" i="2" s="1"/>
  <c r="AA678" i="2" s="1"/>
  <c r="AM785" i="2" l="1"/>
  <c r="AN704" i="2"/>
  <c r="AM796" i="2"/>
  <c r="AN731" i="2"/>
  <c r="AM800" i="2"/>
  <c r="AN735" i="2"/>
  <c r="AL87" i="4"/>
  <c r="AL979" i="2"/>
  <c r="AM780" i="2"/>
  <c r="AM701" i="2"/>
  <c r="Z210" i="4"/>
  <c r="Z211" i="4" s="1"/>
  <c r="AB327" i="4"/>
  <c r="Z163" i="4"/>
  <c r="Z215" i="4"/>
  <c r="Z216" i="4" s="1"/>
  <c r="Z217" i="4"/>
  <c r="Z218" i="4" s="1"/>
  <c r="Z191" i="4"/>
  <c r="Z192" i="4" s="1"/>
  <c r="Z206" i="4" s="1"/>
  <c r="Z202" i="4"/>
  <c r="Z241" i="4"/>
  <c r="Z255" i="4" s="1"/>
  <c r="AA49" i="4"/>
  <c r="AA180" i="4" s="1"/>
  <c r="AA179" i="4" s="1"/>
  <c r="AU1006" i="2"/>
  <c r="AU1007" i="2" s="1"/>
  <c r="AV1006" i="2" s="1"/>
  <c r="AT336" i="4"/>
  <c r="AT1003" i="2"/>
  <c r="AT1004" i="2" s="1"/>
  <c r="AT335" i="4" s="1"/>
  <c r="AV873" i="2"/>
  <c r="AX869" i="2"/>
  <c r="AU997" i="2"/>
  <c r="AV26" i="4"/>
  <c r="AX872" i="2"/>
  <c r="AO943" i="2"/>
  <c r="AP912" i="2"/>
  <c r="AA130" i="4"/>
  <c r="AA158" i="4"/>
  <c r="Z170" i="4"/>
  <c r="Z160" i="4"/>
  <c r="AC993" i="2"/>
  <c r="AC121" i="4"/>
  <c r="AC123" i="4" s="1"/>
  <c r="AC238" i="4"/>
  <c r="AC161" i="4"/>
  <c r="AC152" i="4"/>
  <c r="AC22" i="4"/>
  <c r="AC189" i="4"/>
  <c r="AP71" i="10"/>
  <c r="AP72" i="10" s="1"/>
  <c r="AD88" i="4"/>
  <c r="AD981" i="2"/>
  <c r="AD976" i="2" s="1"/>
  <c r="AE77" i="10"/>
  <c r="AD85" i="10"/>
  <c r="AD20" i="4"/>
  <c r="AA116" i="4"/>
  <c r="Z260" i="4"/>
  <c r="AB29" i="4"/>
  <c r="I24" i="7" s="1"/>
  <c r="AB326" i="4"/>
  <c r="AB989" i="2"/>
  <c r="AB1011" i="2"/>
  <c r="AN700" i="2" l="1"/>
  <c r="AM781" i="2"/>
  <c r="AN799" i="2"/>
  <c r="AN736" i="2"/>
  <c r="AN795" i="2"/>
  <c r="AN732" i="2"/>
  <c r="AN784" i="2"/>
  <c r="AN705" i="2"/>
  <c r="AX26" i="4"/>
  <c r="O21" i="7" s="1"/>
  <c r="N21" i="7"/>
  <c r="AA228" i="4"/>
  <c r="AA227" i="4" s="1"/>
  <c r="AA67" i="4"/>
  <c r="AA69" i="4" s="1"/>
  <c r="AA125" i="4"/>
  <c r="AA128" i="4" s="1"/>
  <c r="AA948" i="2" s="1"/>
  <c r="AA277" i="4"/>
  <c r="AA276" i="4" s="1"/>
  <c r="AA293" i="4" s="1"/>
  <c r="AD145" i="4"/>
  <c r="AC28" i="4"/>
  <c r="AC991" i="2" s="1"/>
  <c r="AU1008" i="2"/>
  <c r="AU1002" i="2" s="1"/>
  <c r="AU1003" i="2" s="1"/>
  <c r="AU1004" i="2" s="1"/>
  <c r="AU335" i="4" s="1"/>
  <c r="AU334" i="4"/>
  <c r="AU998" i="2"/>
  <c r="AU999" i="2" s="1"/>
  <c r="AU333" i="4" s="1"/>
  <c r="AV871" i="2"/>
  <c r="AV46" i="4" s="1"/>
  <c r="N41" i="7" s="1"/>
  <c r="AV963" i="2"/>
  <c r="AX873" i="2"/>
  <c r="AP944" i="2"/>
  <c r="AP913" i="2"/>
  <c r="AB30" i="4"/>
  <c r="AB147" i="4"/>
  <c r="AA190" i="4"/>
  <c r="AA183" i="4"/>
  <c r="AA184" i="4" s="1"/>
  <c r="AB328" i="4"/>
  <c r="AB1013" i="2"/>
  <c r="AB666" i="2" s="1"/>
  <c r="AB665" i="2" s="1"/>
  <c r="AB990" i="2"/>
  <c r="AD86" i="10"/>
  <c r="AE78" i="10"/>
  <c r="AD330" i="4"/>
  <c r="AD16" i="4"/>
  <c r="AD977" i="2"/>
  <c r="AQ70" i="10"/>
  <c r="AN785" i="2" l="1"/>
  <c r="AO704" i="2"/>
  <c r="AN796" i="2"/>
  <c r="AO731" i="2"/>
  <c r="AN800" i="2"/>
  <c r="AO735" i="2"/>
  <c r="AM979" i="2"/>
  <c r="AM87" i="4"/>
  <c r="AN780" i="2"/>
  <c r="AN701" i="2"/>
  <c r="AA308" i="4"/>
  <c r="AA309" i="4" s="1"/>
  <c r="AA282" i="4"/>
  <c r="AA283" i="4" s="1"/>
  <c r="AA297" i="4" s="1"/>
  <c r="AA301" i="4"/>
  <c r="AA302" i="4" s="1"/>
  <c r="AA306" i="4"/>
  <c r="AA307" i="4" s="1"/>
  <c r="AA290" i="4"/>
  <c r="AA887" i="2"/>
  <c r="AA75" i="4"/>
  <c r="AA84" i="4" s="1"/>
  <c r="AA95" i="4" s="1"/>
  <c r="AA170" i="4" s="1"/>
  <c r="AB68" i="4"/>
  <c r="AA232" i="4"/>
  <c r="AA233" i="4" s="1"/>
  <c r="AA239" i="4"/>
  <c r="AA248" i="4" s="1"/>
  <c r="AA947" i="2"/>
  <c r="AD148" i="4"/>
  <c r="AB151" i="4"/>
  <c r="I25" i="7"/>
  <c r="AU336" i="4"/>
  <c r="AX963" i="2"/>
  <c r="AV972" i="2"/>
  <c r="AV1005" i="2"/>
  <c r="AV1009" i="2"/>
  <c r="AX1009" i="2" s="1"/>
  <c r="AV1000" i="2"/>
  <c r="AX46" i="4"/>
  <c r="O41" i="7" s="1"/>
  <c r="AP943" i="2"/>
  <c r="AQ912" i="2"/>
  <c r="AB33" i="4"/>
  <c r="I28" i="7" s="1"/>
  <c r="AB112" i="4"/>
  <c r="AB114" i="4" s="1"/>
  <c r="AB159" i="4" s="1"/>
  <c r="AB325" i="4"/>
  <c r="AB337" i="4" s="1"/>
  <c r="AB344" i="4" s="1"/>
  <c r="AB345" i="4" s="1"/>
  <c r="AB346" i="4" s="1"/>
  <c r="AB1012" i="2"/>
  <c r="AB43" i="4" s="1"/>
  <c r="AD17" i="4"/>
  <c r="AC327" i="4"/>
  <c r="AC994" i="2"/>
  <c r="AC995" i="2" s="1"/>
  <c r="AC988" i="2" s="1"/>
  <c r="AQ71" i="10"/>
  <c r="AQ72" i="10" s="1"/>
  <c r="AE79" i="10"/>
  <c r="AB99" i="4"/>
  <c r="AB104" i="4" s="1"/>
  <c r="AB676" i="2"/>
  <c r="AB677" i="2" s="1"/>
  <c r="AB678" i="2" s="1"/>
  <c r="AD89" i="4"/>
  <c r="AD93" i="4" s="1"/>
  <c r="AD169" i="4" s="1"/>
  <c r="AE84" i="10"/>
  <c r="AD978" i="2"/>
  <c r="AA217" i="4"/>
  <c r="AA218" i="4" s="1"/>
  <c r="AA202" i="4"/>
  <c r="AA215" i="4"/>
  <c r="AA216" i="4" s="1"/>
  <c r="AA210" i="4"/>
  <c r="AA199" i="4"/>
  <c r="AA191" i="4"/>
  <c r="AA192" i="4" s="1"/>
  <c r="AN781" i="2" l="1"/>
  <c r="AO700" i="2"/>
  <c r="AO799" i="2"/>
  <c r="AO736" i="2"/>
  <c r="AO795" i="2"/>
  <c r="AO732" i="2"/>
  <c r="AO784" i="2"/>
  <c r="AO705" i="2"/>
  <c r="AA163" i="4"/>
  <c r="AA264" i="4"/>
  <c r="AA265" i="4" s="1"/>
  <c r="AA240" i="4"/>
  <c r="AA241" i="4" s="1"/>
  <c r="AA255" i="4" s="1"/>
  <c r="AA259" i="4"/>
  <c r="AA260" i="4" s="1"/>
  <c r="AA251" i="4"/>
  <c r="AA266" i="4"/>
  <c r="AA267" i="4" s="1"/>
  <c r="AB49" i="4"/>
  <c r="I44" i="7" s="1"/>
  <c r="I38" i="7"/>
  <c r="AV997" i="2"/>
  <c r="AX1000" i="2"/>
  <c r="AX1005" i="2"/>
  <c r="AV1007" i="2"/>
  <c r="AX1007" i="2" s="1"/>
  <c r="AV958" i="2"/>
  <c r="AV974" i="2"/>
  <c r="AX972" i="2"/>
  <c r="AQ913" i="2"/>
  <c r="AQ944" i="2"/>
  <c r="AB158" i="4"/>
  <c r="AB130" i="4"/>
  <c r="AA117" i="4"/>
  <c r="AA160" i="4"/>
  <c r="AD993" i="2"/>
  <c r="AA206" i="4"/>
  <c r="AC326" i="4"/>
  <c r="AC29" i="4"/>
  <c r="AC989" i="2"/>
  <c r="AC1011" i="2"/>
  <c r="AD189" i="4"/>
  <c r="AD161" i="4"/>
  <c r="AD121" i="4"/>
  <c r="AD123" i="4" s="1"/>
  <c r="AD22" i="4"/>
  <c r="AD152" i="4"/>
  <c r="AD238" i="4"/>
  <c r="AA211" i="4"/>
  <c r="AB116" i="4"/>
  <c r="AE88" i="4"/>
  <c r="AE981" i="2"/>
  <c r="AE976" i="2" s="1"/>
  <c r="AF77" i="10"/>
  <c r="AE85" i="10"/>
  <c r="AE20" i="4"/>
  <c r="AR70" i="10"/>
  <c r="AD329" i="4"/>
  <c r="AO785" i="2" l="1"/>
  <c r="AP704" i="2"/>
  <c r="AO796" i="2"/>
  <c r="AP731" i="2"/>
  <c r="AO800" i="2"/>
  <c r="AP735" i="2"/>
  <c r="AO780" i="2"/>
  <c r="AO701" i="2"/>
  <c r="AN87" i="4"/>
  <c r="AN979" i="2"/>
  <c r="AB277" i="4"/>
  <c r="AB276" i="4" s="1"/>
  <c r="AB293" i="4" s="1"/>
  <c r="AB125" i="4"/>
  <c r="AB128" i="4" s="1"/>
  <c r="AB948" i="2" s="1"/>
  <c r="AB67" i="4"/>
  <c r="AB69" i="4" s="1"/>
  <c r="I64" i="7" s="1"/>
  <c r="AB180" i="4"/>
  <c r="AB179" i="4" s="1"/>
  <c r="AB183" i="4" s="1"/>
  <c r="AB184" i="4" s="1"/>
  <c r="AB228" i="4"/>
  <c r="I72" i="7" s="1"/>
  <c r="AD28" i="4"/>
  <c r="AD991" i="2" s="1"/>
  <c r="AE145" i="4"/>
  <c r="AV1008" i="2"/>
  <c r="AV1002" i="2" s="1"/>
  <c r="AV959" i="2"/>
  <c r="AX959" i="2" s="1"/>
  <c r="AV324" i="4"/>
  <c r="AX324" i="4" s="1"/>
  <c r="AX958" i="2"/>
  <c r="AV81" i="4"/>
  <c r="AX974" i="2"/>
  <c r="AV334" i="4"/>
  <c r="AX334" i="4" s="1"/>
  <c r="AV998" i="2"/>
  <c r="AX998" i="2" s="1"/>
  <c r="AX997" i="2"/>
  <c r="AQ943" i="2"/>
  <c r="AR912" i="2"/>
  <c r="AC30" i="4"/>
  <c r="AC147" i="4"/>
  <c r="AE86" i="10"/>
  <c r="AF78" i="10"/>
  <c r="AC328" i="4"/>
  <c r="AC1013" i="2"/>
  <c r="AC666" i="2" s="1"/>
  <c r="AC665" i="2" s="1"/>
  <c r="AE16" i="4"/>
  <c r="AE330" i="4"/>
  <c r="AE977" i="2"/>
  <c r="AR71" i="10"/>
  <c r="AR72" i="10" s="1"/>
  <c r="AC990" i="2"/>
  <c r="AP700" i="2" l="1"/>
  <c r="AO781" i="2"/>
  <c r="AP799" i="2"/>
  <c r="AP736" i="2"/>
  <c r="AP795" i="2"/>
  <c r="AP732" i="2"/>
  <c r="AP784" i="2"/>
  <c r="AP705" i="2"/>
  <c r="AB306" i="4"/>
  <c r="AB307" i="4" s="1"/>
  <c r="AB282" i="4"/>
  <c r="AB283" i="4" s="1"/>
  <c r="AB297" i="4" s="1"/>
  <c r="AB308" i="4"/>
  <c r="AB309" i="4" s="1"/>
  <c r="AB301" i="4"/>
  <c r="AB302" i="4" s="1"/>
  <c r="AB290" i="4"/>
  <c r="I62" i="7"/>
  <c r="AB190" i="4"/>
  <c r="AB199" i="4" s="1"/>
  <c r="AB75" i="4"/>
  <c r="AB84" i="4" s="1"/>
  <c r="AB95" i="4" s="1"/>
  <c r="AB117" i="4" s="1"/>
  <c r="AB227" i="4"/>
  <c r="I71" i="7" s="1"/>
  <c r="AC68" i="4"/>
  <c r="J63" i="7" s="1"/>
  <c r="AB887" i="2"/>
  <c r="AB947" i="2"/>
  <c r="AE148" i="4"/>
  <c r="AC151" i="4"/>
  <c r="AX1008" i="2"/>
  <c r="AV960" i="2"/>
  <c r="AX960" i="2" s="1"/>
  <c r="AV999" i="2"/>
  <c r="AV333" i="4" s="1"/>
  <c r="AX333" i="4" s="1"/>
  <c r="AV336" i="4"/>
  <c r="AX336" i="4" s="1"/>
  <c r="AV1003" i="2"/>
  <c r="AX1003" i="2" s="1"/>
  <c r="AX1002" i="2"/>
  <c r="AR913" i="2"/>
  <c r="AR944" i="2"/>
  <c r="AC33" i="4"/>
  <c r="AC112" i="4"/>
  <c r="AC114" i="4" s="1"/>
  <c r="AF79" i="10"/>
  <c r="AE978" i="2"/>
  <c r="AD327" i="4"/>
  <c r="AD994" i="2"/>
  <c r="AD995" i="2" s="1"/>
  <c r="AD988" i="2" s="1"/>
  <c r="AE89" i="4"/>
  <c r="AE93" i="4" s="1"/>
  <c r="AE169" i="4" s="1"/>
  <c r="AF84" i="10"/>
  <c r="AS70" i="10"/>
  <c r="AC325" i="4"/>
  <c r="AC337" i="4" s="1"/>
  <c r="AC344" i="4" s="1"/>
  <c r="AC345" i="4" s="1"/>
  <c r="AC346" i="4" s="1"/>
  <c r="AC1012" i="2"/>
  <c r="AC43" i="4" s="1"/>
  <c r="AC99" i="4"/>
  <c r="AC104" i="4" s="1"/>
  <c r="AC676" i="2"/>
  <c r="AC677" i="2" s="1"/>
  <c r="AC678" i="2" s="1"/>
  <c r="AE17" i="4"/>
  <c r="AP785" i="2" l="1"/>
  <c r="AQ704" i="2"/>
  <c r="AP796" i="2"/>
  <c r="AQ731" i="2"/>
  <c r="AP800" i="2"/>
  <c r="AQ735" i="2"/>
  <c r="AO87" i="4"/>
  <c r="AO979" i="2"/>
  <c r="AP780" i="2"/>
  <c r="AP701" i="2"/>
  <c r="AB217" i="4"/>
  <c r="AB218" i="4" s="1"/>
  <c r="AB191" i="4"/>
  <c r="AB192" i="4" s="1"/>
  <c r="AB206" i="4" s="1"/>
  <c r="AB202" i="4"/>
  <c r="AB215" i="4"/>
  <c r="AB216" i="4" s="1"/>
  <c r="AB210" i="4"/>
  <c r="AB211" i="4" s="1"/>
  <c r="AB163" i="4"/>
  <c r="AB232" i="4"/>
  <c r="AB239" i="4"/>
  <c r="AB240" i="4" s="1"/>
  <c r="AC49" i="4"/>
  <c r="AC125" i="4" s="1"/>
  <c r="AC128" i="4" s="1"/>
  <c r="AC948" i="2" s="1"/>
  <c r="AX999" i="2"/>
  <c r="AV323" i="4"/>
  <c r="AX323" i="4" s="1"/>
  <c r="AV1004" i="2"/>
  <c r="AV335" i="4" s="1"/>
  <c r="AX335" i="4" s="1"/>
  <c r="AR943" i="2"/>
  <c r="AS912" i="2"/>
  <c r="AC130" i="4"/>
  <c r="AC159" i="4"/>
  <c r="AC158" i="4"/>
  <c r="AB160" i="4"/>
  <c r="AB170" i="4"/>
  <c r="AE993" i="2"/>
  <c r="AE121" i="4"/>
  <c r="AE123" i="4" s="1"/>
  <c r="AE238" i="4"/>
  <c r="AE152" i="4"/>
  <c r="AE189" i="4"/>
  <c r="AE161" i="4"/>
  <c r="AE22" i="4"/>
  <c r="AE329" i="4"/>
  <c r="AF88" i="4"/>
  <c r="AF981" i="2"/>
  <c r="AF976" i="2" s="1"/>
  <c r="AG77" i="10"/>
  <c r="AC116" i="4"/>
  <c r="AF85" i="10"/>
  <c r="AF20" i="4"/>
  <c r="AD326" i="4"/>
  <c r="AD29" i="4"/>
  <c r="AD989" i="2"/>
  <c r="AD990" i="2" s="1"/>
  <c r="AD1011" i="2"/>
  <c r="AS71" i="10"/>
  <c r="AS72" i="10" s="1"/>
  <c r="AP781" i="2" l="1"/>
  <c r="AQ700" i="2"/>
  <c r="AQ799" i="2"/>
  <c r="AQ736" i="2"/>
  <c r="AQ795" i="2"/>
  <c r="AQ732" i="2"/>
  <c r="AQ784" i="2"/>
  <c r="AQ705" i="2"/>
  <c r="AB241" i="4"/>
  <c r="I84" i="7" s="1"/>
  <c r="I83" i="7"/>
  <c r="AB266" i="4"/>
  <c r="AB267" i="4" s="1"/>
  <c r="AB248" i="4"/>
  <c r="AB259" i="4"/>
  <c r="AB260" i="4" s="1"/>
  <c r="AB251" i="4"/>
  <c r="I82" i="7"/>
  <c r="AB264" i="4"/>
  <c r="AB265" i="4" s="1"/>
  <c r="I76" i="7"/>
  <c r="AB233" i="4"/>
  <c r="I77" i="7" s="1"/>
  <c r="AC67" i="4"/>
  <c r="AC69" i="4" s="1"/>
  <c r="AC75" i="4" s="1"/>
  <c r="AC84" i="4" s="1"/>
  <c r="AC228" i="4"/>
  <c r="AC227" i="4" s="1"/>
  <c r="AC239" i="4" s="1"/>
  <c r="AC180" i="4"/>
  <c r="AC179" i="4" s="1"/>
  <c r="AC183" i="4" s="1"/>
  <c r="AC184" i="4" s="1"/>
  <c r="AC277" i="4"/>
  <c r="AC276" i="4" s="1"/>
  <c r="AC308" i="4" s="1"/>
  <c r="AC309" i="4" s="1"/>
  <c r="AE28" i="4"/>
  <c r="AE991" i="2" s="1"/>
  <c r="AF145" i="4"/>
  <c r="J17" i="7"/>
  <c r="AX1004" i="2"/>
  <c r="AS913" i="2"/>
  <c r="AS944" i="2"/>
  <c r="AD30" i="4"/>
  <c r="AD147" i="4"/>
  <c r="AD325" i="4"/>
  <c r="AD337" i="4" s="1"/>
  <c r="AD344" i="4" s="1"/>
  <c r="AD345" i="4" s="1"/>
  <c r="AD346" i="4" s="1"/>
  <c r="AD1012" i="2"/>
  <c r="AD43" i="4" s="1"/>
  <c r="AG78" i="10"/>
  <c r="AT70" i="10"/>
  <c r="AF330" i="4"/>
  <c r="AF16" i="4"/>
  <c r="AF977" i="2"/>
  <c r="AF86" i="10"/>
  <c r="AD328" i="4"/>
  <c r="AD1013" i="2"/>
  <c r="AD666" i="2" s="1"/>
  <c r="AD665" i="2" s="1"/>
  <c r="AR704" i="2" l="1"/>
  <c r="AQ785" i="2"/>
  <c r="AQ796" i="2"/>
  <c r="AR731" i="2"/>
  <c r="AQ800" i="2"/>
  <c r="AR735" i="2"/>
  <c r="AQ780" i="2"/>
  <c r="AQ701" i="2"/>
  <c r="AP979" i="2"/>
  <c r="AP87" i="4"/>
  <c r="AC282" i="4"/>
  <c r="AC283" i="4" s="1"/>
  <c r="AC297" i="4" s="1"/>
  <c r="AC293" i="4"/>
  <c r="AD68" i="4"/>
  <c r="AC190" i="4"/>
  <c r="AC199" i="4" s="1"/>
  <c r="AB255" i="4"/>
  <c r="AC232" i="4"/>
  <c r="AC233" i="4" s="1"/>
  <c r="AC887" i="2"/>
  <c r="AC947" i="2"/>
  <c r="AC290" i="4"/>
  <c r="AC306" i="4"/>
  <c r="AC307" i="4" s="1"/>
  <c r="AC301" i="4"/>
  <c r="AC302" i="4" s="1"/>
  <c r="AD49" i="4"/>
  <c r="AD67" i="4" s="1"/>
  <c r="AD33" i="4"/>
  <c r="AF148" i="4"/>
  <c r="AS943" i="2"/>
  <c r="AT912" i="2"/>
  <c r="AD112" i="4"/>
  <c r="AD114" i="4" s="1"/>
  <c r="AD159" i="4" s="1"/>
  <c r="AD151" i="4"/>
  <c r="AC95" i="4"/>
  <c r="AC117" i="4" s="1"/>
  <c r="AC163" i="4"/>
  <c r="AG79" i="10"/>
  <c r="AF89" i="4"/>
  <c r="AF93" i="4" s="1"/>
  <c r="AF169" i="4" s="1"/>
  <c r="AG84" i="10"/>
  <c r="AF978" i="2"/>
  <c r="AE327" i="4"/>
  <c r="AE994" i="2"/>
  <c r="AE995" i="2" s="1"/>
  <c r="AE988" i="2" s="1"/>
  <c r="AF17" i="4"/>
  <c r="J14" i="7" s="1"/>
  <c r="AC259" i="4"/>
  <c r="AC266" i="4"/>
  <c r="AC267" i="4" s="1"/>
  <c r="AC251" i="4"/>
  <c r="AC248" i="4"/>
  <c r="AC264" i="4"/>
  <c r="AC265" i="4" s="1"/>
  <c r="AC240" i="4"/>
  <c r="AD99" i="4"/>
  <c r="AD104" i="4" s="1"/>
  <c r="AD676" i="2"/>
  <c r="AD677" i="2" s="1"/>
  <c r="AD678" i="2" s="1"/>
  <c r="AT71" i="10"/>
  <c r="AT72" i="10" s="1"/>
  <c r="AR700" i="2" l="1"/>
  <c r="AQ781" i="2"/>
  <c r="AR799" i="2"/>
  <c r="AR736" i="2"/>
  <c r="AR795" i="2"/>
  <c r="AR732" i="2"/>
  <c r="AR784" i="2"/>
  <c r="AR705" i="2"/>
  <c r="AC191" i="4"/>
  <c r="AC192" i="4" s="1"/>
  <c r="AC206" i="4" s="1"/>
  <c r="AC217" i="4"/>
  <c r="AC218" i="4" s="1"/>
  <c r="AC215" i="4"/>
  <c r="AC216" i="4" s="1"/>
  <c r="AD125" i="4"/>
  <c r="AD128" i="4" s="1"/>
  <c r="AD948" i="2" s="1"/>
  <c r="AC210" i="4"/>
  <c r="AC211" i="4" s="1"/>
  <c r="AC202" i="4"/>
  <c r="AD180" i="4"/>
  <c r="AD179" i="4" s="1"/>
  <c r="AD183" i="4" s="1"/>
  <c r="AD184" i="4" s="1"/>
  <c r="AD228" i="4"/>
  <c r="AD227" i="4" s="1"/>
  <c r="AD232" i="4" s="1"/>
  <c r="AD277" i="4"/>
  <c r="AD276" i="4" s="1"/>
  <c r="AD293" i="4" s="1"/>
  <c r="AD69" i="4"/>
  <c r="AD887" i="2" s="1"/>
  <c r="AC241" i="4"/>
  <c r="AC255" i="4" s="1"/>
  <c r="AT944" i="2"/>
  <c r="AT913" i="2"/>
  <c r="AD130" i="4"/>
  <c r="AD158" i="4"/>
  <c r="AC160" i="4"/>
  <c r="AC170" i="4"/>
  <c r="AE326" i="4"/>
  <c r="AE29" i="4"/>
  <c r="AE989" i="2"/>
  <c r="AE990" i="2" s="1"/>
  <c r="AE1011" i="2"/>
  <c r="AF329" i="4"/>
  <c r="AF993" i="2"/>
  <c r="AG85" i="10"/>
  <c r="AG20" i="4"/>
  <c r="AC260" i="4"/>
  <c r="AU70" i="10"/>
  <c r="AF152" i="4"/>
  <c r="AF22" i="4"/>
  <c r="AF238" i="4"/>
  <c r="AF189" i="4"/>
  <c r="AF121" i="4"/>
  <c r="AF123" i="4" s="1"/>
  <c r="AF161" i="4"/>
  <c r="AG88" i="4"/>
  <c r="AG981" i="2"/>
  <c r="AG976" i="2" s="1"/>
  <c r="AH77" i="10"/>
  <c r="AD116" i="4"/>
  <c r="AS704" i="2" l="1"/>
  <c r="AR785" i="2"/>
  <c r="AR796" i="2"/>
  <c r="AS731" i="2"/>
  <c r="AR800" i="2"/>
  <c r="AS735" i="2"/>
  <c r="AQ979" i="2"/>
  <c r="AQ87" i="4"/>
  <c r="AR780" i="2"/>
  <c r="AR701" i="2"/>
  <c r="AD290" i="4"/>
  <c r="AD306" i="4"/>
  <c r="AD307" i="4" s="1"/>
  <c r="AD308" i="4"/>
  <c r="AD309" i="4" s="1"/>
  <c r="AD282" i="4"/>
  <c r="AD283" i="4" s="1"/>
  <c r="AD297" i="4" s="1"/>
  <c r="AD301" i="4"/>
  <c r="AD302" i="4" s="1"/>
  <c r="AD190" i="4"/>
  <c r="AD210" i="4" s="1"/>
  <c r="AD75" i="4"/>
  <c r="AD84" i="4" s="1"/>
  <c r="AD95" i="4" s="1"/>
  <c r="AD117" i="4" s="1"/>
  <c r="AE68" i="4"/>
  <c r="AD947" i="2"/>
  <c r="AD239" i="4"/>
  <c r="AD264" i="4" s="1"/>
  <c r="AD265" i="4" s="1"/>
  <c r="AD233" i="4"/>
  <c r="AF28" i="4"/>
  <c r="J23" i="7" s="1"/>
  <c r="J19" i="7"/>
  <c r="AG145" i="4"/>
  <c r="AT943" i="2"/>
  <c r="AU912" i="2"/>
  <c r="AE30" i="4"/>
  <c r="AE147" i="4"/>
  <c r="AE325" i="4"/>
  <c r="AE337" i="4" s="1"/>
  <c r="AE344" i="4" s="1"/>
  <c r="AE345" i="4" s="1"/>
  <c r="AE346" i="4" s="1"/>
  <c r="AE1012" i="2"/>
  <c r="AE43" i="4" s="1"/>
  <c r="AG86" i="10"/>
  <c r="AH78" i="10"/>
  <c r="AU71" i="10"/>
  <c r="AU72" i="10" s="1"/>
  <c r="AG330" i="4"/>
  <c r="AG16" i="4"/>
  <c r="AG977" i="2"/>
  <c r="AG978" i="2" s="1"/>
  <c r="AE328" i="4"/>
  <c r="AE1013" i="2"/>
  <c r="AE666" i="2" s="1"/>
  <c r="AE665" i="2" s="1"/>
  <c r="AS700" i="2" l="1"/>
  <c r="AR781" i="2"/>
  <c r="AS799" i="2"/>
  <c r="AS736" i="2"/>
  <c r="AS795" i="2"/>
  <c r="AS732" i="2"/>
  <c r="AS784" i="2"/>
  <c r="AS705" i="2"/>
  <c r="AD266" i="4"/>
  <c r="AD267" i="4" s="1"/>
  <c r="AD248" i="4"/>
  <c r="AD160" i="4"/>
  <c r="AD215" i="4"/>
  <c r="AD216" i="4" s="1"/>
  <c r="AD191" i="4"/>
  <c r="AD192" i="4" s="1"/>
  <c r="AD206" i="4" s="1"/>
  <c r="AD199" i="4"/>
  <c r="AD163" i="4"/>
  <c r="AD170" i="4"/>
  <c r="AD202" i="4"/>
  <c r="AD217" i="4"/>
  <c r="AD218" i="4" s="1"/>
  <c r="AD251" i="4"/>
  <c r="AD259" i="4"/>
  <c r="AD260" i="4" s="1"/>
  <c r="AD240" i="4"/>
  <c r="AD241" i="4" s="1"/>
  <c r="AD255" i="4" s="1"/>
  <c r="AE49" i="4"/>
  <c r="AE180" i="4" s="1"/>
  <c r="AE179" i="4" s="1"/>
  <c r="AG148" i="4"/>
  <c r="AF991" i="2"/>
  <c r="AF327" i="4" s="1"/>
  <c r="AE151" i="4"/>
  <c r="AU944" i="2"/>
  <c r="AU913" i="2"/>
  <c r="AE33" i="4"/>
  <c r="AE112" i="4"/>
  <c r="AE114" i="4" s="1"/>
  <c r="AG329" i="4"/>
  <c r="AG17" i="4"/>
  <c r="AG89" i="4"/>
  <c r="AG93" i="4" s="1"/>
  <c r="AG169" i="4" s="1"/>
  <c r="AH84" i="10"/>
  <c r="AE99" i="4"/>
  <c r="AE104" i="4" s="1"/>
  <c r="AE676" i="2"/>
  <c r="AE677" i="2" s="1"/>
  <c r="AE678" i="2" s="1"/>
  <c r="AV70" i="10"/>
  <c r="AD211" i="4"/>
  <c r="AH79" i="10"/>
  <c r="AT704" i="2" l="1"/>
  <c r="AS785" i="2"/>
  <c r="AS796" i="2"/>
  <c r="AT731" i="2"/>
  <c r="AS800" i="2"/>
  <c r="AT735" i="2"/>
  <c r="AR979" i="2"/>
  <c r="AR87" i="4"/>
  <c r="AS780" i="2"/>
  <c r="AS701" i="2"/>
  <c r="AE277" i="4"/>
  <c r="AE276" i="4" s="1"/>
  <c r="AE301" i="4" s="1"/>
  <c r="AE67" i="4"/>
  <c r="AE69" i="4" s="1"/>
  <c r="AF68" i="4" s="1"/>
  <c r="AE228" i="4"/>
  <c r="AE227" i="4" s="1"/>
  <c r="AE125" i="4"/>
  <c r="AE128" i="4" s="1"/>
  <c r="AE948" i="2" s="1"/>
  <c r="AF994" i="2"/>
  <c r="AF995" i="2" s="1"/>
  <c r="AF988" i="2" s="1"/>
  <c r="AF326" i="4" s="1"/>
  <c r="AU943" i="2"/>
  <c r="AV912" i="2"/>
  <c r="AE130" i="4"/>
  <c r="AE158" i="4"/>
  <c r="AE159" i="4"/>
  <c r="AV71" i="10"/>
  <c r="AV72" i="10" s="1"/>
  <c r="AH85" i="10"/>
  <c r="AH20" i="4"/>
  <c r="AE190" i="4"/>
  <c r="AE183" i="4"/>
  <c r="AE184" i="4" s="1"/>
  <c r="AH88" i="4"/>
  <c r="AH981" i="2"/>
  <c r="AH976" i="2" s="1"/>
  <c r="AI77" i="10"/>
  <c r="AE116" i="4"/>
  <c r="AG189" i="4"/>
  <c r="AG152" i="4"/>
  <c r="AG238" i="4"/>
  <c r="AG161" i="4"/>
  <c r="AG22" i="4"/>
  <c r="AG121" i="4"/>
  <c r="AG123" i="4" s="1"/>
  <c r="AS781" i="2" l="1"/>
  <c r="AT700" i="2"/>
  <c r="AT799" i="2"/>
  <c r="AT736" i="2"/>
  <c r="AT795" i="2"/>
  <c r="AT732" i="2"/>
  <c r="AT784" i="2"/>
  <c r="AT705" i="2"/>
  <c r="AE306" i="4"/>
  <c r="AE307" i="4" s="1"/>
  <c r="AE308" i="4"/>
  <c r="AE309" i="4" s="1"/>
  <c r="AE290" i="4"/>
  <c r="AE293" i="4"/>
  <c r="AE282" i="4"/>
  <c r="AE283" i="4" s="1"/>
  <c r="AE297" i="4" s="1"/>
  <c r="AF989" i="2"/>
  <c r="AF328" i="4" s="1"/>
  <c r="AG993" i="2"/>
  <c r="AF29" i="4"/>
  <c r="J24" i="7" s="1"/>
  <c r="AE232" i="4"/>
  <c r="AE233" i="4" s="1"/>
  <c r="AE239" i="4"/>
  <c r="AE251" i="4" s="1"/>
  <c r="AE947" i="2"/>
  <c r="AE887" i="2"/>
  <c r="AE75" i="4"/>
  <c r="AE84" i="4" s="1"/>
  <c r="AE95" i="4" s="1"/>
  <c r="AE160" i="4" s="1"/>
  <c r="AF1011" i="2"/>
  <c r="AG28" i="4"/>
  <c r="AG991" i="2" s="1"/>
  <c r="AH145" i="4"/>
  <c r="AX912" i="2"/>
  <c r="AV944" i="2"/>
  <c r="AX944" i="2" s="1"/>
  <c r="AV913" i="2"/>
  <c r="AV943" i="2" s="1"/>
  <c r="AI78" i="10"/>
  <c r="AE302" i="4"/>
  <c r="AH330" i="4"/>
  <c r="AH16" i="4"/>
  <c r="AH977" i="2"/>
  <c r="AH86" i="10"/>
  <c r="AE191" i="4"/>
  <c r="AE192" i="4" s="1"/>
  <c r="AE210" i="4"/>
  <c r="AE199" i="4"/>
  <c r="AE202" i="4"/>
  <c r="AE217" i="4"/>
  <c r="AE218" i="4" s="1"/>
  <c r="AE215" i="4"/>
  <c r="AE216" i="4" s="1"/>
  <c r="AU704" i="2" l="1"/>
  <c r="AT785" i="2"/>
  <c r="AT796" i="2"/>
  <c r="AU731" i="2"/>
  <c r="AT800" i="2"/>
  <c r="AU735" i="2"/>
  <c r="AT780" i="2"/>
  <c r="AT701" i="2"/>
  <c r="AS979" i="2"/>
  <c r="AS87" i="4"/>
  <c r="AE266" i="4"/>
  <c r="AE267" i="4" s="1"/>
  <c r="AE264" i="4"/>
  <c r="AE265" i="4" s="1"/>
  <c r="AE240" i="4"/>
  <c r="AE241" i="4" s="1"/>
  <c r="AE255" i="4" s="1"/>
  <c r="AE248" i="4"/>
  <c r="AE259" i="4"/>
  <c r="AE260" i="4" s="1"/>
  <c r="AF990" i="2"/>
  <c r="AF325" i="4" s="1"/>
  <c r="AF337" i="4" s="1"/>
  <c r="AF344" i="4" s="1"/>
  <c r="AF345" i="4" s="1"/>
  <c r="AF346" i="4" s="1"/>
  <c r="AF1013" i="2"/>
  <c r="AF666" i="2" s="1"/>
  <c r="AF665" i="2" s="1"/>
  <c r="AF676" i="2" s="1"/>
  <c r="AF677" i="2" s="1"/>
  <c r="AF678" i="2" s="1"/>
  <c r="AF30" i="4"/>
  <c r="J25" i="7" s="1"/>
  <c r="AF147" i="4"/>
  <c r="AE170" i="4"/>
  <c r="AE117" i="4"/>
  <c r="AE163" i="4"/>
  <c r="AH148" i="4"/>
  <c r="AH89" i="4"/>
  <c r="AH93" i="4" s="1"/>
  <c r="AH169" i="4" s="1"/>
  <c r="AI84" i="10"/>
  <c r="AE211" i="4"/>
  <c r="AH978" i="2"/>
  <c r="AH17" i="4"/>
  <c r="AI79" i="10"/>
  <c r="AE206" i="4"/>
  <c r="AG327" i="4"/>
  <c r="AG994" i="2"/>
  <c r="AH993" i="2" s="1"/>
  <c r="AT781" i="2" l="1"/>
  <c r="AU700" i="2"/>
  <c r="AU799" i="2"/>
  <c r="AU736" i="2"/>
  <c r="AU795" i="2"/>
  <c r="AU732" i="2"/>
  <c r="AU784" i="2"/>
  <c r="AU705" i="2"/>
  <c r="AF1012" i="2"/>
  <c r="AF43" i="4" s="1"/>
  <c r="AF49" i="4" s="1"/>
  <c r="J44" i="7" s="1"/>
  <c r="AF99" i="4"/>
  <c r="AF104" i="4" s="1"/>
  <c r="AF33" i="4"/>
  <c r="J28" i="7" s="1"/>
  <c r="AF112" i="4"/>
  <c r="AF114" i="4" s="1"/>
  <c r="AF158" i="4" s="1"/>
  <c r="AF151" i="4"/>
  <c r="AG995" i="2"/>
  <c r="AG988" i="2" s="1"/>
  <c r="AG29" i="4" s="1"/>
  <c r="AI88" i="4"/>
  <c r="AI981" i="2"/>
  <c r="AI976" i="2" s="1"/>
  <c r="AJ77" i="10"/>
  <c r="AH22" i="4"/>
  <c r="AH238" i="4"/>
  <c r="AH152" i="4"/>
  <c r="AH121" i="4"/>
  <c r="AH123" i="4" s="1"/>
  <c r="AH161" i="4"/>
  <c r="AH189" i="4"/>
  <c r="AI85" i="10"/>
  <c r="AI20" i="4"/>
  <c r="AH329" i="4"/>
  <c r="AU785" i="2" l="1"/>
  <c r="AV704" i="2"/>
  <c r="AU796" i="2"/>
  <c r="AV731" i="2"/>
  <c r="AU800" i="2"/>
  <c r="AV735" i="2"/>
  <c r="AU780" i="2"/>
  <c r="AU701" i="2"/>
  <c r="AT87" i="4"/>
  <c r="AT979" i="2"/>
  <c r="J38" i="7"/>
  <c r="AF159" i="4"/>
  <c r="AF130" i="4"/>
  <c r="AF116" i="4"/>
  <c r="AF180" i="4"/>
  <c r="AF179" i="4" s="1"/>
  <c r="AF183" i="4" s="1"/>
  <c r="AF184" i="4" s="1"/>
  <c r="AF67" i="4"/>
  <c r="J62" i="7" s="1"/>
  <c r="AF125" i="4"/>
  <c r="AF128" i="4" s="1"/>
  <c r="AF948" i="2" s="1"/>
  <c r="AF228" i="4"/>
  <c r="AF227" i="4" s="1"/>
  <c r="AF277" i="4"/>
  <c r="AF276" i="4" s="1"/>
  <c r="AF308" i="4" s="1"/>
  <c r="AF309" i="4" s="1"/>
  <c r="AH28" i="4"/>
  <c r="AH991" i="2" s="1"/>
  <c r="AI145" i="4"/>
  <c r="AG30" i="4"/>
  <c r="AG147" i="4"/>
  <c r="AG326" i="4"/>
  <c r="AG1011" i="2"/>
  <c r="AG989" i="2"/>
  <c r="AG328" i="4" s="1"/>
  <c r="AI16" i="4"/>
  <c r="AI330" i="4"/>
  <c r="AI977" i="2"/>
  <c r="AI86" i="10"/>
  <c r="AJ78" i="10"/>
  <c r="AV799" i="2" l="1"/>
  <c r="AX799" i="2" s="1"/>
  <c r="AX735" i="2"/>
  <c r="AV736" i="2"/>
  <c r="AV800" i="2" s="1"/>
  <c r="AV795" i="2"/>
  <c r="AX795" i="2" s="1"/>
  <c r="AX731" i="2"/>
  <c r="AV732" i="2"/>
  <c r="AV796" i="2" s="1"/>
  <c r="AV784" i="2"/>
  <c r="AX784" i="2" s="1"/>
  <c r="AX704" i="2"/>
  <c r="AV705" i="2"/>
  <c r="AV785" i="2" s="1"/>
  <c r="AV700" i="2"/>
  <c r="AU781" i="2"/>
  <c r="AF190" i="4"/>
  <c r="AF191" i="4" s="1"/>
  <c r="AF192" i="4" s="1"/>
  <c r="AF69" i="4"/>
  <c r="J64" i="7" s="1"/>
  <c r="AF293" i="4"/>
  <c r="AF301" i="4"/>
  <c r="AF302" i="4" s="1"/>
  <c r="AF290" i="4"/>
  <c r="AF282" i="4"/>
  <c r="AF283" i="4" s="1"/>
  <c r="AF297" i="4" s="1"/>
  <c r="AF306" i="4"/>
  <c r="AF307" i="4" s="1"/>
  <c r="J71" i="7"/>
  <c r="AF232" i="4"/>
  <c r="AF233" i="4" s="1"/>
  <c r="J77" i="7" s="1"/>
  <c r="AF239" i="4"/>
  <c r="J82" i="7" s="1"/>
  <c r="J72" i="7"/>
  <c r="AG112" i="4"/>
  <c r="AG114" i="4" s="1"/>
  <c r="AG158" i="4" s="1"/>
  <c r="AI148" i="4"/>
  <c r="AG151" i="4"/>
  <c r="AG33" i="4"/>
  <c r="AG990" i="2"/>
  <c r="AG325" i="4" s="1"/>
  <c r="AG337" i="4" s="1"/>
  <c r="AG344" i="4" s="1"/>
  <c r="AG345" i="4" s="1"/>
  <c r="AG346" i="4" s="1"/>
  <c r="AG1013" i="2"/>
  <c r="AG666" i="2" s="1"/>
  <c r="AG665" i="2" s="1"/>
  <c r="AG676" i="2" s="1"/>
  <c r="AG677" i="2" s="1"/>
  <c r="AG678" i="2" s="1"/>
  <c r="AI89" i="4"/>
  <c r="AI93" i="4" s="1"/>
  <c r="AI169" i="4" s="1"/>
  <c r="AJ84" i="10"/>
  <c r="AI978" i="2"/>
  <c r="AH327" i="4"/>
  <c r="AH994" i="2"/>
  <c r="AI993" i="2" s="1"/>
  <c r="AJ79" i="10"/>
  <c r="AI17" i="4"/>
  <c r="AV780" i="2" l="1"/>
  <c r="AX780" i="2" s="1"/>
  <c r="AX700" i="2"/>
  <c r="AV701" i="2"/>
  <c r="AV781" i="2" s="1"/>
  <c r="AU979" i="2"/>
  <c r="AU87" i="4"/>
  <c r="AF217" i="4"/>
  <c r="AF218" i="4" s="1"/>
  <c r="AF199" i="4"/>
  <c r="AF210" i="4"/>
  <c r="AF211" i="4" s="1"/>
  <c r="AF215" i="4"/>
  <c r="AF216" i="4" s="1"/>
  <c r="AF202" i="4"/>
  <c r="AF947" i="2"/>
  <c r="AF887" i="2"/>
  <c r="AF75" i="4"/>
  <c r="AF84" i="4" s="1"/>
  <c r="AF95" i="4" s="1"/>
  <c r="AF160" i="4" s="1"/>
  <c r="AG68" i="4"/>
  <c r="K63" i="7" s="1"/>
  <c r="AF251" i="4"/>
  <c r="AF264" i="4"/>
  <c r="AF265" i="4" s="1"/>
  <c r="AF266" i="4"/>
  <c r="AF267" i="4" s="1"/>
  <c r="AF248" i="4"/>
  <c r="AF240" i="4"/>
  <c r="AF241" i="4" s="1"/>
  <c r="J84" i="7" s="1"/>
  <c r="AF259" i="4"/>
  <c r="AF260" i="4" s="1"/>
  <c r="J76" i="7"/>
  <c r="AG159" i="4"/>
  <c r="AG1012" i="2"/>
  <c r="AG43" i="4" s="1"/>
  <c r="AG99" i="4"/>
  <c r="AG104" i="4" s="1"/>
  <c r="AI329" i="4"/>
  <c r="AI121" i="4"/>
  <c r="AI123" i="4" s="1"/>
  <c r="AI189" i="4"/>
  <c r="AI161" i="4"/>
  <c r="AI22" i="4"/>
  <c r="AI238" i="4"/>
  <c r="AI152" i="4"/>
  <c r="AH995" i="2"/>
  <c r="AH988" i="2" s="1"/>
  <c r="AF206" i="4"/>
  <c r="AJ88" i="4"/>
  <c r="AJ981" i="2"/>
  <c r="AJ976" i="2" s="1"/>
  <c r="AK77" i="10"/>
  <c r="AJ85" i="10"/>
  <c r="AJ20" i="4"/>
  <c r="AV87" i="4" l="1"/>
  <c r="AV979" i="2"/>
  <c r="AF163" i="4"/>
  <c r="AF117" i="4"/>
  <c r="AF170" i="4"/>
  <c r="J83" i="7"/>
  <c r="AF255" i="4"/>
  <c r="AJ145" i="4"/>
  <c r="K17" i="7"/>
  <c r="AI28" i="4"/>
  <c r="AI991" i="2" s="1"/>
  <c r="AG49" i="4"/>
  <c r="AG116" i="4"/>
  <c r="AG130" i="4"/>
  <c r="AK78" i="10"/>
  <c r="AJ16" i="4"/>
  <c r="AJ330" i="4"/>
  <c r="AJ977" i="2"/>
  <c r="AH29" i="4"/>
  <c r="AH326" i="4"/>
  <c r="AH989" i="2"/>
  <c r="AH990" i="2" s="1"/>
  <c r="AH1011" i="2"/>
  <c r="AJ86" i="10"/>
  <c r="AG125" i="4" l="1"/>
  <c r="AG128" i="4" s="1"/>
  <c r="AG948" i="2" s="1"/>
  <c r="AG228" i="4"/>
  <c r="AJ148" i="4"/>
  <c r="AG180" i="4"/>
  <c r="AG179" i="4" s="1"/>
  <c r="AG190" i="4" s="1"/>
  <c r="AG217" i="4" s="1"/>
  <c r="AG218" i="4" s="1"/>
  <c r="AG67" i="4"/>
  <c r="AG277" i="4"/>
  <c r="AG276" i="4" s="1"/>
  <c r="AG293" i="4" s="1"/>
  <c r="AH30" i="4"/>
  <c r="AH147" i="4"/>
  <c r="AK79" i="10"/>
  <c r="AJ978" i="2"/>
  <c r="AI327" i="4"/>
  <c r="AI994" i="2"/>
  <c r="AI995" i="2" s="1"/>
  <c r="AI988" i="2" s="1"/>
  <c r="AH328" i="4"/>
  <c r="AH1013" i="2"/>
  <c r="AH666" i="2" s="1"/>
  <c r="AH665" i="2" s="1"/>
  <c r="AJ17" i="4"/>
  <c r="K14" i="7" s="1"/>
  <c r="AJ89" i="4"/>
  <c r="AJ93" i="4" s="1"/>
  <c r="AJ169" i="4" s="1"/>
  <c r="AK84" i="10"/>
  <c r="AH325" i="4"/>
  <c r="AH337" i="4" s="1"/>
  <c r="AH344" i="4" s="1"/>
  <c r="AH345" i="4" s="1"/>
  <c r="AH346" i="4" s="1"/>
  <c r="AH1012" i="2"/>
  <c r="AH43" i="4" s="1"/>
  <c r="AX70" i="10"/>
  <c r="AG191" i="4" l="1"/>
  <c r="AG192" i="4" s="1"/>
  <c r="AG206" i="4" s="1"/>
  <c r="AG199" i="4"/>
  <c r="AG301" i="4"/>
  <c r="AG302" i="4" s="1"/>
  <c r="AG308" i="4"/>
  <c r="AG309" i="4" s="1"/>
  <c r="AG290" i="4"/>
  <c r="AG306" i="4"/>
  <c r="AG307" i="4" s="1"/>
  <c r="AG282" i="4"/>
  <c r="AG283" i="4" s="1"/>
  <c r="AG297" i="4" s="1"/>
  <c r="AG210" i="4"/>
  <c r="AG211" i="4" s="1"/>
  <c r="AG183" i="4"/>
  <c r="AG184" i="4" s="1"/>
  <c r="AG202" i="4"/>
  <c r="AG215" i="4"/>
  <c r="AG216" i="4" s="1"/>
  <c r="AH151" i="4"/>
  <c r="AG227" i="4"/>
  <c r="AG69" i="4"/>
  <c r="AH49" i="4"/>
  <c r="AH277" i="4" s="1"/>
  <c r="AH276" i="4" s="1"/>
  <c r="AH33" i="4"/>
  <c r="AH112" i="4"/>
  <c r="AH114" i="4" s="1"/>
  <c r="AJ993" i="2"/>
  <c r="AK88" i="4"/>
  <c r="AK981" i="2"/>
  <c r="AK976" i="2" s="1"/>
  <c r="AL77" i="10"/>
  <c r="AJ152" i="4"/>
  <c r="AJ22" i="4"/>
  <c r="AJ161" i="4"/>
  <c r="AJ189" i="4"/>
  <c r="AJ121" i="4"/>
  <c r="AJ123" i="4" s="1"/>
  <c r="AJ238" i="4"/>
  <c r="AI326" i="4"/>
  <c r="AI29" i="4"/>
  <c r="AI989" i="2"/>
  <c r="AI990" i="2" s="1"/>
  <c r="AI1011" i="2"/>
  <c r="AH99" i="4"/>
  <c r="AH104" i="4" s="1"/>
  <c r="AH676" i="2"/>
  <c r="AH677" i="2" s="1"/>
  <c r="AH678" i="2" s="1"/>
  <c r="AK20" i="4"/>
  <c r="AK85" i="10"/>
  <c r="AJ329" i="4"/>
  <c r="AH228" i="4" l="1"/>
  <c r="AH227" i="4" s="1"/>
  <c r="AH239" i="4" s="1"/>
  <c r="AH180" i="4"/>
  <c r="AH179" i="4" s="1"/>
  <c r="AH190" i="4" s="1"/>
  <c r="AH125" i="4"/>
  <c r="AH128" i="4" s="1"/>
  <c r="AH948" i="2" s="1"/>
  <c r="AK145" i="4"/>
  <c r="AJ28" i="4"/>
  <c r="K23" i="7" s="1"/>
  <c r="K19" i="7"/>
  <c r="AG239" i="4"/>
  <c r="AG232" i="4"/>
  <c r="AH67" i="4"/>
  <c r="AG75" i="4"/>
  <c r="AG84" i="4" s="1"/>
  <c r="AH68" i="4"/>
  <c r="AG887" i="2"/>
  <c r="AG947" i="2"/>
  <c r="AH130" i="4"/>
  <c r="AH159" i="4"/>
  <c r="AH158" i="4"/>
  <c r="AI30" i="4"/>
  <c r="AI147" i="4"/>
  <c r="AK86" i="10"/>
  <c r="AI325" i="4"/>
  <c r="AI337" i="4" s="1"/>
  <c r="AI344" i="4" s="1"/>
  <c r="AI345" i="4" s="1"/>
  <c r="AI346" i="4" s="1"/>
  <c r="AI1012" i="2"/>
  <c r="AI43" i="4" s="1"/>
  <c r="AL78" i="10"/>
  <c r="AK330" i="4"/>
  <c r="AK16" i="4"/>
  <c r="AK977" i="2"/>
  <c r="AK978" i="2" s="1"/>
  <c r="AH116" i="4"/>
  <c r="AI328" i="4"/>
  <c r="AI1013" i="2"/>
  <c r="AI666" i="2" s="1"/>
  <c r="AI665" i="2" s="1"/>
  <c r="AH306" i="4"/>
  <c r="AH307" i="4" s="1"/>
  <c r="AH290" i="4"/>
  <c r="AH308" i="4"/>
  <c r="AH309" i="4" s="1"/>
  <c r="AH293" i="4"/>
  <c r="AH301" i="4"/>
  <c r="AH282" i="4"/>
  <c r="AH283" i="4" s="1"/>
  <c r="AH232" i="4" l="1"/>
  <c r="AH183" i="4"/>
  <c r="AH184" i="4" s="1"/>
  <c r="AG259" i="4"/>
  <c r="AG260" i="4" s="1"/>
  <c r="AG240" i="4"/>
  <c r="AG251" i="4"/>
  <c r="AG264" i="4"/>
  <c r="AG265" i="4" s="1"/>
  <c r="AG248" i="4"/>
  <c r="AG266" i="4"/>
  <c r="AG267" i="4" s="1"/>
  <c r="AG95" i="4"/>
  <c r="AG163" i="4"/>
  <c r="AI49" i="4"/>
  <c r="AI180" i="4" s="1"/>
  <c r="AI179" i="4" s="1"/>
  <c r="AK148" i="4"/>
  <c r="AI151" i="4"/>
  <c r="AH69" i="4"/>
  <c r="AG233" i="4"/>
  <c r="AJ991" i="2"/>
  <c r="AJ994" i="2" s="1"/>
  <c r="AJ995" i="2" s="1"/>
  <c r="AJ988" i="2" s="1"/>
  <c r="AI112" i="4"/>
  <c r="AI114" i="4" s="1"/>
  <c r="AI158" i="4" s="1"/>
  <c r="AI33" i="4"/>
  <c r="AK329" i="4"/>
  <c r="AH251" i="4"/>
  <c r="AH240" i="4"/>
  <c r="AH266" i="4"/>
  <c r="AH267" i="4" s="1"/>
  <c r="AH264" i="4"/>
  <c r="AH265" i="4" s="1"/>
  <c r="AH248" i="4"/>
  <c r="AI99" i="4"/>
  <c r="AI104" i="4" s="1"/>
  <c r="AI676" i="2"/>
  <c r="AI677" i="2" s="1"/>
  <c r="AI678" i="2" s="1"/>
  <c r="AL79" i="10"/>
  <c r="AH302" i="4"/>
  <c r="AK89" i="4"/>
  <c r="AK93" i="4" s="1"/>
  <c r="AK169" i="4" s="1"/>
  <c r="AL84" i="10"/>
  <c r="AH217" i="4"/>
  <c r="AH218" i="4" s="1"/>
  <c r="AH202" i="4"/>
  <c r="AH199" i="4"/>
  <c r="AH215" i="4"/>
  <c r="AH216" i="4" s="1"/>
  <c r="AH210" i="4"/>
  <c r="AH191" i="4"/>
  <c r="AH192" i="4" s="1"/>
  <c r="AK17" i="4"/>
  <c r="AH297" i="4"/>
  <c r="AH233" i="4" l="1"/>
  <c r="AJ327" i="4"/>
  <c r="AI277" i="4"/>
  <c r="AI276" i="4" s="1"/>
  <c r="AI293" i="4" s="1"/>
  <c r="AI67" i="4"/>
  <c r="AI69" i="4" s="1"/>
  <c r="AI75" i="4" s="1"/>
  <c r="AI84" i="4" s="1"/>
  <c r="AI95" i="4" s="1"/>
  <c r="AI228" i="4"/>
  <c r="AI227" i="4" s="1"/>
  <c r="AI125" i="4"/>
  <c r="AI128" i="4" s="1"/>
  <c r="AI948" i="2" s="1"/>
  <c r="AH259" i="4"/>
  <c r="AH260" i="4" s="1"/>
  <c r="AG160" i="4"/>
  <c r="AG170" i="4"/>
  <c r="AG117" i="4"/>
  <c r="AG241" i="4"/>
  <c r="AG255" i="4" s="1"/>
  <c r="AH75" i="4"/>
  <c r="AH84" i="4" s="1"/>
  <c r="AH947" i="2"/>
  <c r="AH887" i="2"/>
  <c r="AI68" i="4"/>
  <c r="AI159" i="4"/>
  <c r="AI130" i="4"/>
  <c r="AK993" i="2"/>
  <c r="AJ326" i="4"/>
  <c r="AJ29" i="4"/>
  <c r="K24" i="7" s="1"/>
  <c r="AJ989" i="2"/>
  <c r="AJ1011" i="2"/>
  <c r="AI116" i="4"/>
  <c r="AI183" i="4"/>
  <c r="AI184" i="4" s="1"/>
  <c r="AI190" i="4"/>
  <c r="AL88" i="4"/>
  <c r="AL981" i="2"/>
  <c r="AL976" i="2" s="1"/>
  <c r="AM77" i="10"/>
  <c r="AH206" i="4"/>
  <c r="AH211" i="4"/>
  <c r="AL85" i="10"/>
  <c r="AL20" i="4"/>
  <c r="AK238" i="4"/>
  <c r="AK152" i="4"/>
  <c r="AK22" i="4"/>
  <c r="AK189" i="4"/>
  <c r="AK161" i="4"/>
  <c r="AK121" i="4"/>
  <c r="AK123" i="4" s="1"/>
  <c r="AI308" i="4" l="1"/>
  <c r="AI309" i="4" s="1"/>
  <c r="AI301" i="4"/>
  <c r="AI302" i="4" s="1"/>
  <c r="AI282" i="4"/>
  <c r="AI283" i="4" s="1"/>
  <c r="AI297" i="4" s="1"/>
  <c r="AI290" i="4"/>
  <c r="AI306" i="4"/>
  <c r="AI307" i="4" s="1"/>
  <c r="AJ68" i="4"/>
  <c r="AI947" i="2"/>
  <c r="AI887" i="2"/>
  <c r="AL145" i="4"/>
  <c r="AH241" i="4"/>
  <c r="AH255" i="4" s="1"/>
  <c r="AH95" i="4"/>
  <c r="AI170" i="4" s="1"/>
  <c r="AH163" i="4"/>
  <c r="AI239" i="4"/>
  <c r="AI266" i="4" s="1"/>
  <c r="AI267" i="4" s="1"/>
  <c r="AK28" i="4"/>
  <c r="AI232" i="4"/>
  <c r="AJ30" i="4"/>
  <c r="AJ147" i="4"/>
  <c r="AI163" i="4"/>
  <c r="AJ328" i="4"/>
  <c r="AJ1013" i="2"/>
  <c r="AJ666" i="2" s="1"/>
  <c r="AJ665" i="2" s="1"/>
  <c r="AI117" i="4"/>
  <c r="AM78" i="10"/>
  <c r="AL86" i="10"/>
  <c r="AI191" i="4"/>
  <c r="AI192" i="4" s="1"/>
  <c r="AI217" i="4"/>
  <c r="AI218" i="4" s="1"/>
  <c r="AI202" i="4"/>
  <c r="AI215" i="4"/>
  <c r="AI216" i="4" s="1"/>
  <c r="AI210" i="4"/>
  <c r="AI199" i="4"/>
  <c r="AJ990" i="2"/>
  <c r="AL330" i="4"/>
  <c r="AL16" i="4"/>
  <c r="AL977" i="2"/>
  <c r="AL978" i="2" s="1"/>
  <c r="AI160" i="4" l="1"/>
  <c r="AI240" i="4"/>
  <c r="AH160" i="4"/>
  <c r="AH170" i="4"/>
  <c r="AH117" i="4"/>
  <c r="AJ33" i="4"/>
  <c r="K28" i="7" s="1"/>
  <c r="K25" i="7"/>
  <c r="AI259" i="4"/>
  <c r="AI260" i="4" s="1"/>
  <c r="AI248" i="4"/>
  <c r="AI233" i="4"/>
  <c r="AL148" i="4"/>
  <c r="AI264" i="4"/>
  <c r="AI265" i="4" s="1"/>
  <c r="AK991" i="2"/>
  <c r="AK327" i="4" s="1"/>
  <c r="AI251" i="4"/>
  <c r="AJ112" i="4"/>
  <c r="AJ114" i="4" s="1"/>
  <c r="AJ151" i="4"/>
  <c r="AL329" i="4"/>
  <c r="AI206" i="4"/>
  <c r="AJ325" i="4"/>
  <c r="AJ337" i="4" s="1"/>
  <c r="AJ344" i="4" s="1"/>
  <c r="AJ345" i="4" s="1"/>
  <c r="AJ346" i="4" s="1"/>
  <c r="AJ1012" i="2"/>
  <c r="AJ43" i="4" s="1"/>
  <c r="AI211" i="4"/>
  <c r="AL89" i="4"/>
  <c r="AL93" i="4" s="1"/>
  <c r="AL169" i="4" s="1"/>
  <c r="AM84" i="10"/>
  <c r="AJ99" i="4"/>
  <c r="AJ104" i="4" s="1"/>
  <c r="AJ676" i="2"/>
  <c r="AJ677" i="2" s="1"/>
  <c r="AJ678" i="2" s="1"/>
  <c r="AM79" i="10"/>
  <c r="AL17" i="4"/>
  <c r="AI241" i="4" l="1"/>
  <c r="AI255" i="4" s="1"/>
  <c r="AJ49" i="4"/>
  <c r="K44" i="7" s="1"/>
  <c r="K38" i="7"/>
  <c r="AK994" i="2"/>
  <c r="AK995" i="2" s="1"/>
  <c r="AK988" i="2" s="1"/>
  <c r="AK29" i="4" s="1"/>
  <c r="AJ130" i="4"/>
  <c r="AJ159" i="4"/>
  <c r="AJ158" i="4"/>
  <c r="AJ116" i="4"/>
  <c r="AL189" i="4"/>
  <c r="AL161" i="4"/>
  <c r="AL152" i="4"/>
  <c r="AL238" i="4"/>
  <c r="AL121" i="4"/>
  <c r="AL123" i="4" s="1"/>
  <c r="AL22" i="4"/>
  <c r="AM20" i="4"/>
  <c r="AM85" i="10"/>
  <c r="AM88" i="4"/>
  <c r="AM981" i="2"/>
  <c r="AM976" i="2" s="1"/>
  <c r="AN77" i="10"/>
  <c r="AJ180" i="4" l="1"/>
  <c r="AJ179" i="4" s="1"/>
  <c r="AJ183" i="4" s="1"/>
  <c r="AJ184" i="4" s="1"/>
  <c r="AJ277" i="4"/>
  <c r="AJ276" i="4" s="1"/>
  <c r="AJ301" i="4" s="1"/>
  <c r="AJ228" i="4"/>
  <c r="AJ227" i="4" s="1"/>
  <c r="AK989" i="2"/>
  <c r="AK1013" i="2" s="1"/>
  <c r="AK666" i="2" s="1"/>
  <c r="AK665" i="2" s="1"/>
  <c r="AK326" i="4"/>
  <c r="AM145" i="4"/>
  <c r="AK1011" i="2"/>
  <c r="AL28" i="4"/>
  <c r="AL991" i="2" s="1"/>
  <c r="AJ67" i="4"/>
  <c r="AL993" i="2"/>
  <c r="AJ125" i="4"/>
  <c r="AJ128" i="4" s="1"/>
  <c r="AJ948" i="2" s="1"/>
  <c r="AK30" i="4"/>
  <c r="AK147" i="4"/>
  <c r="AM86" i="10"/>
  <c r="AN78" i="10"/>
  <c r="AM330" i="4"/>
  <c r="AM16" i="4"/>
  <c r="AM977" i="2"/>
  <c r="AM978" i="2" s="1"/>
  <c r="AJ306" i="4" l="1"/>
  <c r="AJ307" i="4" s="1"/>
  <c r="K72" i="7"/>
  <c r="AJ190" i="4"/>
  <c r="AJ217" i="4" s="1"/>
  <c r="AJ218" i="4" s="1"/>
  <c r="AJ282" i="4"/>
  <c r="AJ283" i="4" s="1"/>
  <c r="AJ297" i="4" s="1"/>
  <c r="AK990" i="2"/>
  <c r="AK325" i="4" s="1"/>
  <c r="AK337" i="4" s="1"/>
  <c r="AK344" i="4" s="1"/>
  <c r="AK345" i="4" s="1"/>
  <c r="AK346" i="4" s="1"/>
  <c r="AJ290" i="4"/>
  <c r="AJ293" i="4"/>
  <c r="AJ308" i="4"/>
  <c r="AJ309" i="4" s="1"/>
  <c r="AK328" i="4"/>
  <c r="K71" i="7"/>
  <c r="AJ232" i="4"/>
  <c r="AJ233" i="4" s="1"/>
  <c r="K77" i="7" s="1"/>
  <c r="AM148" i="4"/>
  <c r="AK151" i="4"/>
  <c r="AJ69" i="4"/>
  <c r="K62" i="7"/>
  <c r="AJ239" i="4"/>
  <c r="K82" i="7" s="1"/>
  <c r="AK112" i="4"/>
  <c r="AK114" i="4" s="1"/>
  <c r="AK33" i="4"/>
  <c r="AM329" i="4"/>
  <c r="AM17" i="4"/>
  <c r="AJ302" i="4"/>
  <c r="AK99" i="4"/>
  <c r="AK104" i="4" s="1"/>
  <c r="AK676" i="2"/>
  <c r="AK677" i="2" s="1"/>
  <c r="AK678" i="2" s="1"/>
  <c r="AN79" i="10"/>
  <c r="AL327" i="4"/>
  <c r="AL994" i="2"/>
  <c r="AM993" i="2" s="1"/>
  <c r="AM89" i="4"/>
  <c r="AM93" i="4" s="1"/>
  <c r="AM169" i="4" s="1"/>
  <c r="AN84" i="10"/>
  <c r="AJ210" i="4" l="1"/>
  <c r="AJ211" i="4" s="1"/>
  <c r="AJ191" i="4"/>
  <c r="AJ192" i="4" s="1"/>
  <c r="AJ206" i="4" s="1"/>
  <c r="AJ202" i="4"/>
  <c r="AJ215" i="4"/>
  <c r="AJ216" i="4" s="1"/>
  <c r="AJ199" i="4"/>
  <c r="AK1012" i="2"/>
  <c r="AK43" i="4" s="1"/>
  <c r="AK49" i="4" s="1"/>
  <c r="AK228" i="4" s="1"/>
  <c r="AJ240" i="4"/>
  <c r="K83" i="7" s="1"/>
  <c r="AJ259" i="4"/>
  <c r="AJ260" i="4" s="1"/>
  <c r="AJ248" i="4"/>
  <c r="K76" i="7"/>
  <c r="AJ264" i="4"/>
  <c r="AJ265" i="4" s="1"/>
  <c r="AJ251" i="4"/>
  <c r="AJ266" i="4"/>
  <c r="AJ267" i="4" s="1"/>
  <c r="K64" i="7"/>
  <c r="AJ75" i="4"/>
  <c r="AJ84" i="4" s="1"/>
  <c r="AJ947" i="2"/>
  <c r="AK68" i="4"/>
  <c r="L63" i="7" s="1"/>
  <c r="AJ887" i="2"/>
  <c r="AK130" i="4"/>
  <c r="AK159" i="4"/>
  <c r="AK158" i="4"/>
  <c r="AL995" i="2"/>
  <c r="AL988" i="2" s="1"/>
  <c r="AL29" i="4" s="1"/>
  <c r="AN88" i="4"/>
  <c r="AN981" i="2"/>
  <c r="AN976" i="2" s="1"/>
  <c r="AO77" i="10"/>
  <c r="AN85" i="10"/>
  <c r="AN20" i="4"/>
  <c r="AK116" i="4"/>
  <c r="AM238" i="4"/>
  <c r="AM161" i="4"/>
  <c r="AM189" i="4"/>
  <c r="AM121" i="4"/>
  <c r="AM123" i="4" s="1"/>
  <c r="AM22" i="4"/>
  <c r="AM152" i="4"/>
  <c r="AK277" i="4" l="1"/>
  <c r="AK276" i="4" s="1"/>
  <c r="AK282" i="4" s="1"/>
  <c r="AK283" i="4" s="1"/>
  <c r="AK67" i="4"/>
  <c r="AK69" i="4" s="1"/>
  <c r="AK125" i="4"/>
  <c r="AK128" i="4" s="1"/>
  <c r="AK948" i="2" s="1"/>
  <c r="AJ241" i="4"/>
  <c r="K84" i="7" s="1"/>
  <c r="AK180" i="4"/>
  <c r="AK179" i="4" s="1"/>
  <c r="AK183" i="4" s="1"/>
  <c r="AK184" i="4" s="1"/>
  <c r="AM28" i="4"/>
  <c r="AM991" i="2" s="1"/>
  <c r="AK227" i="4"/>
  <c r="AK232" i="4" s="1"/>
  <c r="AN145" i="4"/>
  <c r="L17" i="7"/>
  <c r="AJ163" i="4"/>
  <c r="AJ95" i="4"/>
  <c r="AL30" i="4"/>
  <c r="AL147" i="4"/>
  <c r="AL1011" i="2"/>
  <c r="AL989" i="2"/>
  <c r="AL990" i="2" s="1"/>
  <c r="AL325" i="4" s="1"/>
  <c r="AL337" i="4" s="1"/>
  <c r="AL344" i="4" s="1"/>
  <c r="AL345" i="4" s="1"/>
  <c r="AL346" i="4" s="1"/>
  <c r="AL326" i="4"/>
  <c r="AN86" i="10"/>
  <c r="AO78" i="10"/>
  <c r="AN330" i="4"/>
  <c r="AN16" i="4"/>
  <c r="AN977" i="2"/>
  <c r="AK301" i="4" l="1"/>
  <c r="AK302" i="4" s="1"/>
  <c r="AK293" i="4"/>
  <c r="AK308" i="4"/>
  <c r="AK309" i="4" s="1"/>
  <c r="AK306" i="4"/>
  <c r="AK307" i="4" s="1"/>
  <c r="AK290" i="4"/>
  <c r="AK887" i="2"/>
  <c r="AK947" i="2"/>
  <c r="AK190" i="4"/>
  <c r="AK202" i="4" s="1"/>
  <c r="AJ255" i="4"/>
  <c r="AK75" i="4"/>
  <c r="AK84" i="4" s="1"/>
  <c r="AK95" i="4" s="1"/>
  <c r="AK117" i="4" s="1"/>
  <c r="AL68" i="4"/>
  <c r="AK233" i="4"/>
  <c r="AL151" i="4"/>
  <c r="AJ170" i="4"/>
  <c r="AJ117" i="4"/>
  <c r="AJ160" i="4"/>
  <c r="AN148" i="4"/>
  <c r="AK239" i="4"/>
  <c r="AK240" i="4" s="1"/>
  <c r="AL33" i="4"/>
  <c r="AL112" i="4"/>
  <c r="AL114" i="4" s="1"/>
  <c r="AL159" i="4" s="1"/>
  <c r="AL1013" i="2"/>
  <c r="AL666" i="2" s="1"/>
  <c r="AL665" i="2" s="1"/>
  <c r="AL676" i="2" s="1"/>
  <c r="AL677" i="2" s="1"/>
  <c r="AL678" i="2" s="1"/>
  <c r="AL1012" i="2"/>
  <c r="AL43" i="4" s="1"/>
  <c r="AL328" i="4"/>
  <c r="AK297" i="4"/>
  <c r="AN89" i="4"/>
  <c r="AN93" i="4" s="1"/>
  <c r="AN169" i="4" s="1"/>
  <c r="AO84" i="10"/>
  <c r="AN978" i="2"/>
  <c r="AN17" i="4"/>
  <c r="L14" i="7" s="1"/>
  <c r="AO79" i="10"/>
  <c r="AM327" i="4"/>
  <c r="AM994" i="2"/>
  <c r="AM995" i="2" s="1"/>
  <c r="AM988" i="2" s="1"/>
  <c r="AK191" i="4" l="1"/>
  <c r="AK192" i="4" s="1"/>
  <c r="AK206" i="4" s="1"/>
  <c r="AK217" i="4"/>
  <c r="AK218" i="4" s="1"/>
  <c r="AK210" i="4"/>
  <c r="AK211" i="4" s="1"/>
  <c r="AK163" i="4"/>
  <c r="AK199" i="4"/>
  <c r="AK215" i="4"/>
  <c r="AK216" i="4" s="1"/>
  <c r="AK251" i="4"/>
  <c r="AK248" i="4"/>
  <c r="AK264" i="4"/>
  <c r="AK265" i="4" s="1"/>
  <c r="AK241" i="4"/>
  <c r="AK255" i="4" s="1"/>
  <c r="AL49" i="4"/>
  <c r="AL67" i="4" s="1"/>
  <c r="AK259" i="4"/>
  <c r="AK260" i="4" s="1"/>
  <c r="AK266" i="4"/>
  <c r="AK267" i="4" s="1"/>
  <c r="AL158" i="4"/>
  <c r="AK160" i="4"/>
  <c r="AL99" i="4"/>
  <c r="AL104" i="4" s="1"/>
  <c r="AL116" i="4" s="1"/>
  <c r="AK170" i="4"/>
  <c r="AN993" i="2"/>
  <c r="AM326" i="4"/>
  <c r="AM29" i="4"/>
  <c r="AM989" i="2"/>
  <c r="AM1011" i="2"/>
  <c r="AO20" i="4"/>
  <c r="AO85" i="10"/>
  <c r="AN189" i="4"/>
  <c r="AN152" i="4"/>
  <c r="AN22" i="4"/>
  <c r="AN238" i="4"/>
  <c r="AN161" i="4"/>
  <c r="AN121" i="4"/>
  <c r="AN123" i="4" s="1"/>
  <c r="AN329" i="4"/>
  <c r="AO88" i="4"/>
  <c r="AO981" i="2"/>
  <c r="AO976" i="2" s="1"/>
  <c r="AP77" i="10"/>
  <c r="AL277" i="4" l="1"/>
  <c r="AL276" i="4" s="1"/>
  <c r="AL301" i="4" s="1"/>
  <c r="AL302" i="4" s="1"/>
  <c r="AL228" i="4"/>
  <c r="AL227" i="4" s="1"/>
  <c r="AN28" i="4"/>
  <c r="L23" i="7" s="1"/>
  <c r="L19" i="7"/>
  <c r="AL180" i="4"/>
  <c r="AL179" i="4" s="1"/>
  <c r="AL125" i="4"/>
  <c r="AL128" i="4" s="1"/>
  <c r="AL948" i="2" s="1"/>
  <c r="AL69" i="4"/>
  <c r="AL947" i="2" s="1"/>
  <c r="AO145" i="4"/>
  <c r="AL130" i="4"/>
  <c r="AM30" i="4"/>
  <c r="AM147" i="4"/>
  <c r="AM328" i="4"/>
  <c r="AM1013" i="2"/>
  <c r="AM666" i="2" s="1"/>
  <c r="AM665" i="2" s="1"/>
  <c r="AO16" i="4"/>
  <c r="AO330" i="4"/>
  <c r="AO977" i="2"/>
  <c r="AO978" i="2" s="1"/>
  <c r="AO86" i="10"/>
  <c r="AM990" i="2"/>
  <c r="AP78" i="10"/>
  <c r="AN991" i="2" l="1"/>
  <c r="AN327" i="4" s="1"/>
  <c r="AL308" i="4"/>
  <c r="AL309" i="4" s="1"/>
  <c r="AL293" i="4"/>
  <c r="AL306" i="4"/>
  <c r="AL307" i="4" s="1"/>
  <c r="AL887" i="2"/>
  <c r="AM68" i="4"/>
  <c r="AL75" i="4"/>
  <c r="AL84" i="4" s="1"/>
  <c r="AL163" i="4" s="1"/>
  <c r="AL282" i="4"/>
  <c r="AL283" i="4" s="1"/>
  <c r="AL297" i="4" s="1"/>
  <c r="AL290" i="4"/>
  <c r="AL239" i="4"/>
  <c r="AM151" i="4"/>
  <c r="AL190" i="4"/>
  <c r="AL183" i="4"/>
  <c r="AL184" i="4" s="1"/>
  <c r="AL232" i="4"/>
  <c r="AO148" i="4"/>
  <c r="AM112" i="4"/>
  <c r="AM114" i="4" s="1"/>
  <c r="AM33" i="4"/>
  <c r="AP79" i="10"/>
  <c r="AM325" i="4"/>
  <c r="AM337" i="4" s="1"/>
  <c r="AM344" i="4" s="1"/>
  <c r="AM345" i="4" s="1"/>
  <c r="AM346" i="4" s="1"/>
  <c r="AM1012" i="2"/>
  <c r="AM43" i="4" s="1"/>
  <c r="AO89" i="4"/>
  <c r="AO93" i="4" s="1"/>
  <c r="AO169" i="4" s="1"/>
  <c r="AP84" i="10"/>
  <c r="AO17" i="4"/>
  <c r="AO329" i="4"/>
  <c r="AM99" i="4"/>
  <c r="AM104" i="4" s="1"/>
  <c r="AM676" i="2"/>
  <c r="AM677" i="2" s="1"/>
  <c r="AM678" i="2" s="1"/>
  <c r="AN994" i="2" l="1"/>
  <c r="AN995" i="2" s="1"/>
  <c r="AN988" i="2" s="1"/>
  <c r="AN326" i="4" s="1"/>
  <c r="AL95" i="4"/>
  <c r="AL170" i="4" s="1"/>
  <c r="AL215" i="4"/>
  <c r="AL216" i="4" s="1"/>
  <c r="AL202" i="4"/>
  <c r="AL191" i="4"/>
  <c r="AL192" i="4" s="1"/>
  <c r="AL206" i="4" s="1"/>
  <c r="AL210" i="4"/>
  <c r="AL211" i="4" s="1"/>
  <c r="AL217" i="4"/>
  <c r="AL218" i="4" s="1"/>
  <c r="AL199" i="4"/>
  <c r="AL233" i="4"/>
  <c r="AM49" i="4"/>
  <c r="AM180" i="4" s="1"/>
  <c r="AM179" i="4" s="1"/>
  <c r="AL240" i="4"/>
  <c r="AL266" i="4"/>
  <c r="AL267" i="4" s="1"/>
  <c r="AL251" i="4"/>
  <c r="AL264" i="4"/>
  <c r="AL265" i="4" s="1"/>
  <c r="AL259" i="4"/>
  <c r="AL260" i="4" s="1"/>
  <c r="AL248" i="4"/>
  <c r="AM130" i="4"/>
  <c r="AM158" i="4"/>
  <c r="AM159" i="4"/>
  <c r="AO238" i="4"/>
  <c r="AO152" i="4"/>
  <c r="AO189" i="4"/>
  <c r="AO161" i="4"/>
  <c r="AO22" i="4"/>
  <c r="AO121" i="4"/>
  <c r="AO123" i="4" s="1"/>
  <c r="AP88" i="4"/>
  <c r="AP981" i="2"/>
  <c r="AP976" i="2" s="1"/>
  <c r="AQ77" i="10"/>
  <c r="AM116" i="4"/>
  <c r="AP85" i="10"/>
  <c r="AP20" i="4"/>
  <c r="AO993" i="2" l="1"/>
  <c r="AN29" i="4"/>
  <c r="L24" i="7" s="1"/>
  <c r="AN1011" i="2"/>
  <c r="AN989" i="2"/>
  <c r="AN990" i="2" s="1"/>
  <c r="AL117" i="4"/>
  <c r="AL160" i="4"/>
  <c r="AM125" i="4"/>
  <c r="AM128" i="4" s="1"/>
  <c r="AM948" i="2" s="1"/>
  <c r="AM67" i="4"/>
  <c r="AM69" i="4" s="1"/>
  <c r="AM947" i="2" s="1"/>
  <c r="AM228" i="4"/>
  <c r="AM227" i="4" s="1"/>
  <c r="AM239" i="4" s="1"/>
  <c r="AM277" i="4"/>
  <c r="AM276" i="4" s="1"/>
  <c r="AM301" i="4" s="1"/>
  <c r="AL241" i="4"/>
  <c r="AL255" i="4" s="1"/>
  <c r="AO28" i="4"/>
  <c r="AP145" i="4"/>
  <c r="AQ78" i="10"/>
  <c r="AP86" i="10"/>
  <c r="AP16" i="4"/>
  <c r="AP330" i="4"/>
  <c r="AP977" i="2"/>
  <c r="AM190" i="4"/>
  <c r="AM183" i="4"/>
  <c r="AM184" i="4" s="1"/>
  <c r="AN1013" i="2" l="1"/>
  <c r="AN666" i="2" s="1"/>
  <c r="AN665" i="2" s="1"/>
  <c r="AN676" i="2" s="1"/>
  <c r="AN677" i="2" s="1"/>
  <c r="AN678" i="2" s="1"/>
  <c r="AN328" i="4"/>
  <c r="AN147" i="4"/>
  <c r="AN30" i="4"/>
  <c r="L25" i="7" s="1"/>
  <c r="AM306" i="4"/>
  <c r="AM307" i="4" s="1"/>
  <c r="AM308" i="4"/>
  <c r="AM309" i="4" s="1"/>
  <c r="AM290" i="4"/>
  <c r="AM293" i="4"/>
  <c r="AM232" i="4"/>
  <c r="AM233" i="4" s="1"/>
  <c r="AM282" i="4"/>
  <c r="AM283" i="4" s="1"/>
  <c r="AM297" i="4" s="1"/>
  <c r="AM887" i="2"/>
  <c r="AM75" i="4"/>
  <c r="AM84" i="4" s="1"/>
  <c r="AM95" i="4" s="1"/>
  <c r="AM170" i="4" s="1"/>
  <c r="AP148" i="4"/>
  <c r="AO991" i="2"/>
  <c r="AO994" i="2" s="1"/>
  <c r="AO995" i="2" s="1"/>
  <c r="AO988" i="2" s="1"/>
  <c r="AN68" i="4"/>
  <c r="AN325" i="4"/>
  <c r="AN337" i="4" s="1"/>
  <c r="AN344" i="4" s="1"/>
  <c r="AN345" i="4" s="1"/>
  <c r="AN346" i="4" s="1"/>
  <c r="AN1012" i="2"/>
  <c r="AN43" i="4" s="1"/>
  <c r="AM302" i="4"/>
  <c r="AM259" i="4"/>
  <c r="AM266" i="4"/>
  <c r="AM267" i="4" s="1"/>
  <c r="AM248" i="4"/>
  <c r="AM264" i="4"/>
  <c r="AM265" i="4" s="1"/>
  <c r="AM240" i="4"/>
  <c r="AM251" i="4"/>
  <c r="AM215" i="4"/>
  <c r="AM216" i="4" s="1"/>
  <c r="AM199" i="4"/>
  <c r="AM217" i="4"/>
  <c r="AM218" i="4" s="1"/>
  <c r="AM202" i="4"/>
  <c r="AM191" i="4"/>
  <c r="AM192" i="4" s="1"/>
  <c r="AM210" i="4"/>
  <c r="AP978" i="2"/>
  <c r="AQ79" i="10"/>
  <c r="AP17" i="4"/>
  <c r="AP89" i="4"/>
  <c r="AP93" i="4" s="1"/>
  <c r="AP169" i="4" s="1"/>
  <c r="AQ84" i="10"/>
  <c r="AN99" i="4" l="1"/>
  <c r="AN104" i="4" s="1"/>
  <c r="AN151" i="4"/>
  <c r="AN112" i="4"/>
  <c r="AN114" i="4" s="1"/>
  <c r="AN33" i="4"/>
  <c r="L28" i="7" s="1"/>
  <c r="AO327" i="4"/>
  <c r="AM163" i="4"/>
  <c r="AM241" i="4"/>
  <c r="AM255" i="4" s="1"/>
  <c r="AN49" i="4"/>
  <c r="L44" i="7" s="1"/>
  <c r="L38" i="7"/>
  <c r="AM160" i="4"/>
  <c r="AM117" i="4"/>
  <c r="AP993" i="2"/>
  <c r="AO29" i="4"/>
  <c r="AO326" i="4"/>
  <c r="AO989" i="2"/>
  <c r="AO990" i="2" s="1"/>
  <c r="AO1011" i="2"/>
  <c r="AP329" i="4"/>
  <c r="AM206" i="4"/>
  <c r="AM211" i="4"/>
  <c r="AP121" i="4"/>
  <c r="AP123" i="4" s="1"/>
  <c r="AP238" i="4"/>
  <c r="AP152" i="4"/>
  <c r="AP189" i="4"/>
  <c r="AP161" i="4"/>
  <c r="AP22" i="4"/>
  <c r="AM260" i="4"/>
  <c r="AQ88" i="4"/>
  <c r="AQ981" i="2"/>
  <c r="AQ976" i="2" s="1"/>
  <c r="AR77" i="10"/>
  <c r="AQ85" i="10"/>
  <c r="AQ20" i="4"/>
  <c r="AN116" i="4" l="1"/>
  <c r="AN130" i="4"/>
  <c r="AN158" i="4"/>
  <c r="AN159" i="4"/>
  <c r="AN277" i="4"/>
  <c r="AN276" i="4" s="1"/>
  <c r="AN308" i="4" s="1"/>
  <c r="AN309" i="4" s="1"/>
  <c r="AN125" i="4"/>
  <c r="AN128" i="4" s="1"/>
  <c r="AN948" i="2" s="1"/>
  <c r="AN180" i="4"/>
  <c r="AN179" i="4" s="1"/>
  <c r="AN183" i="4" s="1"/>
  <c r="AN184" i="4" s="1"/>
  <c r="AN228" i="4"/>
  <c r="L72" i="7" s="1"/>
  <c r="AN67" i="4"/>
  <c r="AN69" i="4" s="1"/>
  <c r="AP28" i="4"/>
  <c r="AP991" i="2" s="1"/>
  <c r="AQ145" i="4"/>
  <c r="AO30" i="4"/>
  <c r="AO147" i="4"/>
  <c r="AO325" i="4"/>
  <c r="AO337" i="4" s="1"/>
  <c r="AO344" i="4" s="1"/>
  <c r="AO345" i="4" s="1"/>
  <c r="AO346" i="4" s="1"/>
  <c r="AO1012" i="2"/>
  <c r="AO43" i="4" s="1"/>
  <c r="AQ16" i="4"/>
  <c r="AQ330" i="4"/>
  <c r="AQ977" i="2"/>
  <c r="AQ978" i="2" s="1"/>
  <c r="AQ86" i="10"/>
  <c r="AR78" i="10"/>
  <c r="AO328" i="4"/>
  <c r="AO1013" i="2"/>
  <c r="AO666" i="2" s="1"/>
  <c r="AO665" i="2" s="1"/>
  <c r="AN301" i="4" l="1"/>
  <c r="AN302" i="4" s="1"/>
  <c r="AN306" i="4"/>
  <c r="AN307" i="4" s="1"/>
  <c r="AN282" i="4"/>
  <c r="AN283" i="4" s="1"/>
  <c r="AN297" i="4" s="1"/>
  <c r="AN290" i="4"/>
  <c r="AN293" i="4"/>
  <c r="AN190" i="4"/>
  <c r="AN191" i="4" s="1"/>
  <c r="AN192" i="4" s="1"/>
  <c r="AN227" i="4"/>
  <c r="L71" i="7" s="1"/>
  <c r="L64" i="7"/>
  <c r="AN887" i="2"/>
  <c r="L62" i="7"/>
  <c r="AO49" i="4"/>
  <c r="AO180" i="4" s="1"/>
  <c r="AO179" i="4" s="1"/>
  <c r="AQ148" i="4"/>
  <c r="AO151" i="4"/>
  <c r="AN75" i="4"/>
  <c r="AN84" i="4" s="1"/>
  <c r="AN163" i="4" s="1"/>
  <c r="AO68" i="4"/>
  <c r="M63" i="7" s="1"/>
  <c r="AN947" i="2"/>
  <c r="AO33" i="4"/>
  <c r="AO112" i="4"/>
  <c r="AO114" i="4" s="1"/>
  <c r="AO159" i="4" s="1"/>
  <c r="AQ329" i="4"/>
  <c r="AO99" i="4"/>
  <c r="AO104" i="4" s="1"/>
  <c r="AO676" i="2"/>
  <c r="AO677" i="2" s="1"/>
  <c r="AO678" i="2" s="1"/>
  <c r="AP327" i="4"/>
  <c r="AP994" i="2"/>
  <c r="AQ993" i="2" s="1"/>
  <c r="AQ17" i="4"/>
  <c r="AR79" i="10"/>
  <c r="AQ89" i="4"/>
  <c r="AQ93" i="4" s="1"/>
  <c r="AQ169" i="4" s="1"/>
  <c r="AR84" i="10"/>
  <c r="AN210" i="4" l="1"/>
  <c r="AN211" i="4" s="1"/>
  <c r="AN217" i="4"/>
  <c r="AN218" i="4" s="1"/>
  <c r="AO277" i="4"/>
  <c r="AO276" i="4" s="1"/>
  <c r="AO306" i="4" s="1"/>
  <c r="AO307" i="4" s="1"/>
  <c r="AN199" i="4"/>
  <c r="AN215" i="4"/>
  <c r="AN216" i="4" s="1"/>
  <c r="AN239" i="4"/>
  <c r="L82" i="7" s="1"/>
  <c r="AN202" i="4"/>
  <c r="AN232" i="4"/>
  <c r="AO67" i="4"/>
  <c r="AO69" i="4" s="1"/>
  <c r="AO125" i="4"/>
  <c r="AO128" i="4" s="1"/>
  <c r="AO948" i="2" s="1"/>
  <c r="AN95" i="4"/>
  <c r="AN160" i="4" s="1"/>
  <c r="AO228" i="4"/>
  <c r="AO227" i="4" s="1"/>
  <c r="AO130" i="4"/>
  <c r="AO158" i="4"/>
  <c r="AO190" i="4"/>
  <c r="AO183" i="4"/>
  <c r="AO184" i="4" s="1"/>
  <c r="AP995" i="2"/>
  <c r="AP988" i="2" s="1"/>
  <c r="AR88" i="4"/>
  <c r="AR981" i="2"/>
  <c r="AR976" i="2" s="1"/>
  <c r="AS77" i="10"/>
  <c r="AO116" i="4"/>
  <c r="AR85" i="10"/>
  <c r="AR20" i="4"/>
  <c r="AQ22" i="4"/>
  <c r="AQ152" i="4"/>
  <c r="AQ121" i="4"/>
  <c r="AQ123" i="4" s="1"/>
  <c r="AQ161" i="4"/>
  <c r="AQ189" i="4"/>
  <c r="AQ238" i="4"/>
  <c r="AN206" i="4"/>
  <c r="AN248" i="4" l="1"/>
  <c r="AN264" i="4"/>
  <c r="AN265" i="4" s="1"/>
  <c r="AN259" i="4"/>
  <c r="AN260" i="4" s="1"/>
  <c r="AN240" i="4"/>
  <c r="AN241" i="4" s="1"/>
  <c r="L84" i="7" s="1"/>
  <c r="AN266" i="4"/>
  <c r="AN267" i="4" s="1"/>
  <c r="AN251" i="4"/>
  <c r="AO308" i="4"/>
  <c r="AO309" i="4" s="1"/>
  <c r="AO282" i="4"/>
  <c r="AO283" i="4" s="1"/>
  <c r="AO297" i="4" s="1"/>
  <c r="AO293" i="4"/>
  <c r="AO301" i="4"/>
  <c r="AO302" i="4" s="1"/>
  <c r="AO290" i="4"/>
  <c r="AO947" i="2"/>
  <c r="AO887" i="2"/>
  <c r="AN170" i="4"/>
  <c r="AN233" i="4"/>
  <c r="L77" i="7" s="1"/>
  <c r="L76" i="7"/>
  <c r="AO239" i="4"/>
  <c r="AO251" i="4" s="1"/>
  <c r="AO232" i="4"/>
  <c r="AO75" i="4"/>
  <c r="AO84" i="4" s="1"/>
  <c r="AO95" i="4" s="1"/>
  <c r="AO170" i="4" s="1"/>
  <c r="AN117" i="4"/>
  <c r="AP68" i="4"/>
  <c r="AR145" i="4"/>
  <c r="M17" i="7"/>
  <c r="AQ28" i="4"/>
  <c r="AO210" i="4"/>
  <c r="AO191" i="4"/>
  <c r="AO192" i="4" s="1"/>
  <c r="AO199" i="4"/>
  <c r="AO217" i="4"/>
  <c r="AO218" i="4" s="1"/>
  <c r="AO215" i="4"/>
  <c r="AO216" i="4" s="1"/>
  <c r="AO202" i="4"/>
  <c r="AR86" i="10"/>
  <c r="AS78" i="10"/>
  <c r="AR16" i="4"/>
  <c r="AR330" i="4"/>
  <c r="AR977" i="2"/>
  <c r="AP326" i="4"/>
  <c r="AP29" i="4"/>
  <c r="AP989" i="2"/>
  <c r="AP990" i="2" s="1"/>
  <c r="AP1011" i="2"/>
  <c r="AO259" i="4" l="1"/>
  <c r="AO260" i="4" s="1"/>
  <c r="L83" i="7"/>
  <c r="AN255" i="4"/>
  <c r="AO160" i="4"/>
  <c r="AO163" i="4"/>
  <c r="AO117" i="4"/>
  <c r="AO264" i="4"/>
  <c r="AO265" i="4" s="1"/>
  <c r="AO233" i="4"/>
  <c r="AO240" i="4"/>
  <c r="AO241" i="4" s="1"/>
  <c r="AO255" i="4" s="1"/>
  <c r="AO248" i="4"/>
  <c r="AO266" i="4"/>
  <c r="AO267" i="4" s="1"/>
  <c r="AQ991" i="2"/>
  <c r="AQ327" i="4" s="1"/>
  <c r="AR148" i="4"/>
  <c r="AP30" i="4"/>
  <c r="AP147" i="4"/>
  <c r="AS79" i="10"/>
  <c r="AR89" i="4"/>
  <c r="AR93" i="4" s="1"/>
  <c r="AR169" i="4" s="1"/>
  <c r="AS84" i="10"/>
  <c r="AR978" i="2"/>
  <c r="AP328" i="4"/>
  <c r="AP1013" i="2"/>
  <c r="AP666" i="2" s="1"/>
  <c r="AP665" i="2" s="1"/>
  <c r="AP325" i="4"/>
  <c r="AP337" i="4" s="1"/>
  <c r="AP344" i="4" s="1"/>
  <c r="AP345" i="4" s="1"/>
  <c r="AP346" i="4" s="1"/>
  <c r="AP1012" i="2"/>
  <c r="AP43" i="4" s="1"/>
  <c r="AO206" i="4"/>
  <c r="AR17" i="4"/>
  <c r="M14" i="7" s="1"/>
  <c r="AO211" i="4"/>
  <c r="AQ994" i="2" l="1"/>
  <c r="AQ995" i="2" s="1"/>
  <c r="AQ988" i="2" s="1"/>
  <c r="AQ1011" i="2" s="1"/>
  <c r="AP151" i="4"/>
  <c r="AP49" i="4"/>
  <c r="AP67" i="4" s="1"/>
  <c r="AP33" i="4"/>
  <c r="AP112" i="4"/>
  <c r="AP114" i="4" s="1"/>
  <c r="AP99" i="4"/>
  <c r="AP104" i="4" s="1"/>
  <c r="AP676" i="2"/>
  <c r="AP677" i="2" s="1"/>
  <c r="AP678" i="2" s="1"/>
  <c r="AR121" i="4"/>
  <c r="AR123" i="4" s="1"/>
  <c r="AR238" i="4"/>
  <c r="AR189" i="4"/>
  <c r="AR152" i="4"/>
  <c r="AR22" i="4"/>
  <c r="AR161" i="4"/>
  <c r="AS88" i="4"/>
  <c r="AS981" i="2"/>
  <c r="AS976" i="2" s="1"/>
  <c r="AT77" i="10"/>
  <c r="AR329" i="4"/>
  <c r="AS85" i="10"/>
  <c r="AS20" i="4"/>
  <c r="AP228" i="4" l="1"/>
  <c r="AP227" i="4" s="1"/>
  <c r="AP232" i="4" s="1"/>
  <c r="AQ326" i="4"/>
  <c r="AQ29" i="4"/>
  <c r="AQ147" i="4" s="1"/>
  <c r="AR993" i="2"/>
  <c r="AQ989" i="2"/>
  <c r="AQ990" i="2" s="1"/>
  <c r="AP277" i="4"/>
  <c r="AP276" i="4" s="1"/>
  <c r="AP293" i="4" s="1"/>
  <c r="AP125" i="4"/>
  <c r="AP128" i="4" s="1"/>
  <c r="AP948" i="2" s="1"/>
  <c r="AP180" i="4"/>
  <c r="AP179" i="4" s="1"/>
  <c r="AP183" i="4" s="1"/>
  <c r="AP184" i="4" s="1"/>
  <c r="AS145" i="4"/>
  <c r="AP69" i="4"/>
  <c r="AP75" i="4" s="1"/>
  <c r="AP84" i="4" s="1"/>
  <c r="AP95" i="4" s="1"/>
  <c r="AR28" i="4"/>
  <c r="M23" i="7" s="1"/>
  <c r="M19" i="7"/>
  <c r="AP130" i="4"/>
  <c r="AP158" i="4"/>
  <c r="AP159" i="4"/>
  <c r="AT78" i="10"/>
  <c r="AP116" i="4"/>
  <c r="AS330" i="4"/>
  <c r="AS16" i="4"/>
  <c r="AS977" i="2"/>
  <c r="AS86" i="10"/>
  <c r="AQ328" i="4" l="1"/>
  <c r="AP190" i="4"/>
  <c r="AP215" i="4" s="1"/>
  <c r="AP216" i="4" s="1"/>
  <c r="AP308" i="4"/>
  <c r="AP309" i="4" s="1"/>
  <c r="AP301" i="4"/>
  <c r="AP302" i="4" s="1"/>
  <c r="AQ1013" i="2"/>
  <c r="AQ666" i="2" s="1"/>
  <c r="AQ665" i="2" s="1"/>
  <c r="AQ99" i="4" s="1"/>
  <c r="AQ104" i="4" s="1"/>
  <c r="AQ30" i="4"/>
  <c r="AQ112" i="4" s="1"/>
  <c r="AQ114" i="4" s="1"/>
  <c r="AQ159" i="4" s="1"/>
  <c r="AP282" i="4"/>
  <c r="AP283" i="4" s="1"/>
  <c r="AP297" i="4" s="1"/>
  <c r="AP306" i="4"/>
  <c r="AP307" i="4" s="1"/>
  <c r="AP290" i="4"/>
  <c r="AQ68" i="4"/>
  <c r="AP947" i="2"/>
  <c r="AP233" i="4"/>
  <c r="AP887" i="2"/>
  <c r="AS148" i="4"/>
  <c r="AP239" i="4"/>
  <c r="AP266" i="4" s="1"/>
  <c r="AP267" i="4" s="1"/>
  <c r="AR991" i="2"/>
  <c r="AR327" i="4" s="1"/>
  <c r="AP163" i="4"/>
  <c r="AT79" i="10"/>
  <c r="AQ325" i="4"/>
  <c r="AQ337" i="4" s="1"/>
  <c r="AQ344" i="4" s="1"/>
  <c r="AQ345" i="4" s="1"/>
  <c r="AQ346" i="4" s="1"/>
  <c r="AQ1012" i="2"/>
  <c r="AQ43" i="4" s="1"/>
  <c r="AP117" i="4"/>
  <c r="AP170" i="4"/>
  <c r="AP160" i="4"/>
  <c r="AS978" i="2"/>
  <c r="AS17" i="4"/>
  <c r="AS89" i="4"/>
  <c r="AS93" i="4" s="1"/>
  <c r="AS169" i="4" s="1"/>
  <c r="AT84" i="10"/>
  <c r="AP199" i="4" l="1"/>
  <c r="AP191" i="4"/>
  <c r="AP192" i="4" s="1"/>
  <c r="AP206" i="4" s="1"/>
  <c r="AP202" i="4"/>
  <c r="AP210" i="4"/>
  <c r="AP211" i="4" s="1"/>
  <c r="AP217" i="4"/>
  <c r="AP218" i="4" s="1"/>
  <c r="AQ676" i="2"/>
  <c r="AQ677" i="2" s="1"/>
  <c r="AQ678" i="2" s="1"/>
  <c r="AQ33" i="4"/>
  <c r="AQ151" i="4"/>
  <c r="AP251" i="4"/>
  <c r="AP248" i="4"/>
  <c r="AP259" i="4"/>
  <c r="AP260" i="4" s="1"/>
  <c r="AP240" i="4"/>
  <c r="AP241" i="4" s="1"/>
  <c r="AP255" i="4" s="1"/>
  <c r="AP264" i="4"/>
  <c r="AP265" i="4" s="1"/>
  <c r="AR994" i="2"/>
  <c r="AS993" i="2" s="1"/>
  <c r="AQ49" i="4"/>
  <c r="AQ180" i="4" s="1"/>
  <c r="AQ179" i="4" s="1"/>
  <c r="AQ130" i="4"/>
  <c r="AQ158" i="4"/>
  <c r="AS189" i="4"/>
  <c r="AS22" i="4"/>
  <c r="AS238" i="4"/>
  <c r="AS152" i="4"/>
  <c r="AS161" i="4"/>
  <c r="AS121" i="4"/>
  <c r="AS123" i="4" s="1"/>
  <c r="AT88" i="4"/>
  <c r="AT981" i="2"/>
  <c r="AT976" i="2" s="1"/>
  <c r="AU77" i="10"/>
  <c r="AT85" i="10"/>
  <c r="AT20" i="4"/>
  <c r="AQ116" i="4"/>
  <c r="AS329" i="4"/>
  <c r="AQ228" i="4" l="1"/>
  <c r="AQ227" i="4" s="1"/>
  <c r="AQ239" i="4" s="1"/>
  <c r="AQ277" i="4"/>
  <c r="AQ276" i="4" s="1"/>
  <c r="AQ290" i="4" s="1"/>
  <c r="AQ125" i="4"/>
  <c r="AQ128" i="4" s="1"/>
  <c r="AQ948" i="2" s="1"/>
  <c r="AQ67" i="4"/>
  <c r="AQ69" i="4" s="1"/>
  <c r="AR995" i="2"/>
  <c r="AR988" i="2" s="1"/>
  <c r="AR326" i="4" s="1"/>
  <c r="AS28" i="4"/>
  <c r="AS991" i="2" s="1"/>
  <c r="AT145" i="4"/>
  <c r="AT330" i="4"/>
  <c r="AT16" i="4"/>
  <c r="AT977" i="2"/>
  <c r="AQ183" i="4"/>
  <c r="AQ184" i="4" s="1"/>
  <c r="AQ190" i="4"/>
  <c r="AT86" i="10"/>
  <c r="AU78" i="10"/>
  <c r="AQ306" i="4" l="1"/>
  <c r="AQ307" i="4" s="1"/>
  <c r="AQ293" i="4"/>
  <c r="AQ308" i="4"/>
  <c r="AQ309" i="4" s="1"/>
  <c r="AQ301" i="4"/>
  <c r="AQ302" i="4" s="1"/>
  <c r="AQ282" i="4"/>
  <c r="AQ283" i="4" s="1"/>
  <c r="AQ297" i="4" s="1"/>
  <c r="AQ232" i="4"/>
  <c r="AQ233" i="4" s="1"/>
  <c r="AQ887" i="2"/>
  <c r="AR68" i="4"/>
  <c r="AR1011" i="2"/>
  <c r="AR29" i="4"/>
  <c r="M24" i="7" s="1"/>
  <c r="AR989" i="2"/>
  <c r="AR1013" i="2" s="1"/>
  <c r="AR666" i="2" s="1"/>
  <c r="AR665" i="2" s="1"/>
  <c r="AR99" i="4" s="1"/>
  <c r="AR104" i="4" s="1"/>
  <c r="AQ75" i="4"/>
  <c r="AQ84" i="4" s="1"/>
  <c r="AQ95" i="4" s="1"/>
  <c r="AQ117" i="4" s="1"/>
  <c r="AQ947" i="2"/>
  <c r="AT148" i="4"/>
  <c r="AS327" i="4"/>
  <c r="AS994" i="2"/>
  <c r="AS995" i="2" s="1"/>
  <c r="AS988" i="2" s="1"/>
  <c r="AT17" i="4"/>
  <c r="AQ202" i="4"/>
  <c r="AQ217" i="4"/>
  <c r="AQ218" i="4" s="1"/>
  <c r="AQ199" i="4"/>
  <c r="AQ210" i="4"/>
  <c r="AQ215" i="4"/>
  <c r="AQ216" i="4" s="1"/>
  <c r="AQ191" i="4"/>
  <c r="AQ192" i="4" s="1"/>
  <c r="AQ251" i="4"/>
  <c r="AQ264" i="4"/>
  <c r="AQ265" i="4" s="1"/>
  <c r="AQ248" i="4"/>
  <c r="AQ240" i="4"/>
  <c r="AQ266" i="4"/>
  <c r="AQ267" i="4" s="1"/>
  <c r="AQ259" i="4"/>
  <c r="AU79" i="10"/>
  <c r="AT89" i="4"/>
  <c r="AT93" i="4" s="1"/>
  <c r="AT169" i="4" s="1"/>
  <c r="AU84" i="10"/>
  <c r="AT978" i="2"/>
  <c r="AR676" i="2" l="1"/>
  <c r="AR677" i="2" s="1"/>
  <c r="AR678" i="2" s="1"/>
  <c r="AR990" i="2"/>
  <c r="AR325" i="4" s="1"/>
  <c r="AR337" i="4" s="1"/>
  <c r="AR344" i="4" s="1"/>
  <c r="AR345" i="4" s="1"/>
  <c r="AR346" i="4" s="1"/>
  <c r="AR328" i="4"/>
  <c r="AQ163" i="4"/>
  <c r="AR30" i="4"/>
  <c r="M25" i="7" s="1"/>
  <c r="AR147" i="4"/>
  <c r="AQ241" i="4"/>
  <c r="AQ255" i="4" s="1"/>
  <c r="AT993" i="2"/>
  <c r="AQ170" i="4"/>
  <c r="AQ160" i="4"/>
  <c r="AQ260" i="4"/>
  <c r="AQ206" i="4"/>
  <c r="AT329" i="4"/>
  <c r="AU85" i="10"/>
  <c r="AU20" i="4"/>
  <c r="AQ211" i="4"/>
  <c r="AS326" i="4"/>
  <c r="AS29" i="4"/>
  <c r="AS989" i="2"/>
  <c r="AS1011" i="2"/>
  <c r="AU88" i="4"/>
  <c r="AU981" i="2"/>
  <c r="AU976" i="2" s="1"/>
  <c r="AV77" i="10"/>
  <c r="AT152" i="4"/>
  <c r="AT22" i="4"/>
  <c r="AT189" i="4"/>
  <c r="AT238" i="4"/>
  <c r="AT161" i="4"/>
  <c r="AT121" i="4"/>
  <c r="AT123" i="4" s="1"/>
  <c r="AR1012" i="2" l="1"/>
  <c r="AR43" i="4" s="1"/>
  <c r="AR49" i="4" s="1"/>
  <c r="AR228" i="4" s="1"/>
  <c r="AR151" i="4"/>
  <c r="AR112" i="4"/>
  <c r="AR114" i="4" s="1"/>
  <c r="AR130" i="4" s="1"/>
  <c r="AR33" i="4"/>
  <c r="M28" i="7" s="1"/>
  <c r="AT28" i="4"/>
  <c r="AU145" i="4"/>
  <c r="AS30" i="4"/>
  <c r="AS147" i="4"/>
  <c r="AV78" i="10"/>
  <c r="AU16" i="4"/>
  <c r="AU330" i="4"/>
  <c r="AU977" i="2"/>
  <c r="AU978" i="2" s="1"/>
  <c r="AS328" i="4"/>
  <c r="AS1013" i="2"/>
  <c r="AS666" i="2" s="1"/>
  <c r="AS665" i="2" s="1"/>
  <c r="AU86" i="10"/>
  <c r="AS990" i="2"/>
  <c r="M38" i="7" l="1"/>
  <c r="AR158" i="4"/>
  <c r="AR125" i="4"/>
  <c r="AR128" i="4" s="1"/>
  <c r="AR948" i="2" s="1"/>
  <c r="AR116" i="4"/>
  <c r="AR159" i="4"/>
  <c r="AR277" i="4"/>
  <c r="AR276" i="4" s="1"/>
  <c r="AR282" i="4" s="1"/>
  <c r="AR283" i="4" s="1"/>
  <c r="AR297" i="4" s="1"/>
  <c r="AR67" i="4"/>
  <c r="AR69" i="4" s="1"/>
  <c r="AU148" i="4"/>
  <c r="AR227" i="4"/>
  <c r="AR239" i="4" s="1"/>
  <c r="M72" i="7"/>
  <c r="AS151" i="4"/>
  <c r="AT991" i="2"/>
  <c r="AT327" i="4" s="1"/>
  <c r="AR180" i="4"/>
  <c r="AR179" i="4" s="1"/>
  <c r="M44" i="7"/>
  <c r="AS112" i="4"/>
  <c r="AS114" i="4" s="1"/>
  <c r="AS158" i="4" s="1"/>
  <c r="AS33" i="4"/>
  <c r="AU329" i="4"/>
  <c r="AV79" i="10"/>
  <c r="AS325" i="4"/>
  <c r="AS337" i="4" s="1"/>
  <c r="AS344" i="4" s="1"/>
  <c r="AS345" i="4" s="1"/>
  <c r="AS346" i="4" s="1"/>
  <c r="AS1012" i="2"/>
  <c r="AS43" i="4" s="1"/>
  <c r="AU89" i="4"/>
  <c r="AU93" i="4" s="1"/>
  <c r="AU169" i="4" s="1"/>
  <c r="AV84" i="10"/>
  <c r="AS99" i="4"/>
  <c r="AS104" i="4" s="1"/>
  <c r="AS676" i="2"/>
  <c r="AS677" i="2" s="1"/>
  <c r="AS678" i="2" s="1"/>
  <c r="AU17" i="4"/>
  <c r="AR301" i="4" l="1"/>
  <c r="AR302" i="4" s="1"/>
  <c r="AS68" i="4"/>
  <c r="N63" i="7" s="1"/>
  <c r="AR947" i="2"/>
  <c r="AR887" i="2"/>
  <c r="AR308" i="4"/>
  <c r="AR309" i="4" s="1"/>
  <c r="AR293" i="4"/>
  <c r="AR306" i="4"/>
  <c r="AR307" i="4" s="1"/>
  <c r="AT994" i="2"/>
  <c r="AT995" i="2" s="1"/>
  <c r="AT988" i="2" s="1"/>
  <c r="AT29" i="4" s="1"/>
  <c r="AR290" i="4"/>
  <c r="M62" i="7"/>
  <c r="AS49" i="4"/>
  <c r="AS125" i="4" s="1"/>
  <c r="AS128" i="4" s="1"/>
  <c r="AS948" i="2" s="1"/>
  <c r="AR183" i="4"/>
  <c r="AR184" i="4" s="1"/>
  <c r="AR190" i="4"/>
  <c r="AR232" i="4"/>
  <c r="M71" i="7"/>
  <c r="AR259" i="4"/>
  <c r="AR260" i="4" s="1"/>
  <c r="M82" i="7"/>
  <c r="AR75" i="4"/>
  <c r="AR84" i="4" s="1"/>
  <c r="M64" i="7"/>
  <c r="AS130" i="4"/>
  <c r="AS159" i="4"/>
  <c r="AR240" i="4"/>
  <c r="AR266" i="4"/>
  <c r="AR267" i="4" s="1"/>
  <c r="AR251" i="4"/>
  <c r="AR264" i="4"/>
  <c r="AR265" i="4" s="1"/>
  <c r="AR248" i="4"/>
  <c r="AV88" i="4"/>
  <c r="AV981" i="2"/>
  <c r="AV976" i="2" s="1"/>
  <c r="AU121" i="4"/>
  <c r="AU123" i="4" s="1"/>
  <c r="AU189" i="4"/>
  <c r="AU161" i="4"/>
  <c r="AU22" i="4"/>
  <c r="AU238" i="4"/>
  <c r="AU152" i="4"/>
  <c r="AV85" i="10"/>
  <c r="AV20" i="4"/>
  <c r="AS116" i="4"/>
  <c r="AS228" i="4" l="1"/>
  <c r="AS227" i="4" s="1"/>
  <c r="AS232" i="4" s="1"/>
  <c r="AS277" i="4"/>
  <c r="AS276" i="4" s="1"/>
  <c r="AS301" i="4" s="1"/>
  <c r="AT989" i="2"/>
  <c r="AT990" i="2" s="1"/>
  <c r="AT325" i="4" s="1"/>
  <c r="AT337" i="4" s="1"/>
  <c r="AT344" i="4" s="1"/>
  <c r="AT345" i="4" s="1"/>
  <c r="AT346" i="4" s="1"/>
  <c r="AT1011" i="2"/>
  <c r="AS67" i="4"/>
  <c r="AS69" i="4" s="1"/>
  <c r="AS887" i="2" s="1"/>
  <c r="AS180" i="4"/>
  <c r="AS179" i="4" s="1"/>
  <c r="AS190" i="4" s="1"/>
  <c r="AT326" i="4"/>
  <c r="AU993" i="2"/>
  <c r="AR233" i="4"/>
  <c r="M77" i="7" s="1"/>
  <c r="M76" i="7"/>
  <c r="AU28" i="4"/>
  <c r="AU991" i="2" s="1"/>
  <c r="AR199" i="4"/>
  <c r="AR191" i="4"/>
  <c r="AR192" i="4" s="1"/>
  <c r="AR206" i="4" s="1"/>
  <c r="AR215" i="4"/>
  <c r="AR216" i="4" s="1"/>
  <c r="AR217" i="4"/>
  <c r="AR218" i="4" s="1"/>
  <c r="AR210" i="4"/>
  <c r="AR211" i="4" s="1"/>
  <c r="AR202" i="4"/>
  <c r="AR163" i="4"/>
  <c r="AR95" i="4"/>
  <c r="AR241" i="4"/>
  <c r="M83" i="7"/>
  <c r="AV145" i="4"/>
  <c r="N17" i="7"/>
  <c r="AT30" i="4"/>
  <c r="AT147" i="4"/>
  <c r="AV86" i="10"/>
  <c r="AV330" i="4"/>
  <c r="AV16" i="4"/>
  <c r="AV977" i="2"/>
  <c r="AS282" i="4" l="1"/>
  <c r="AS283" i="4" s="1"/>
  <c r="AS297" i="4" s="1"/>
  <c r="AS290" i="4"/>
  <c r="AS293" i="4"/>
  <c r="AS306" i="4"/>
  <c r="AS307" i="4" s="1"/>
  <c r="AS308" i="4"/>
  <c r="AS309" i="4" s="1"/>
  <c r="AT1013" i="2"/>
  <c r="AT666" i="2" s="1"/>
  <c r="AT665" i="2" s="1"/>
  <c r="AT99" i="4" s="1"/>
  <c r="AT104" i="4" s="1"/>
  <c r="AS183" i="4"/>
  <c r="AS184" i="4" s="1"/>
  <c r="AS75" i="4"/>
  <c r="AS84" i="4" s="1"/>
  <c r="AS95" i="4" s="1"/>
  <c r="AS160" i="4" s="1"/>
  <c r="AS239" i="4"/>
  <c r="AS266" i="4" s="1"/>
  <c r="AS267" i="4" s="1"/>
  <c r="AT328" i="4"/>
  <c r="AT1012" i="2"/>
  <c r="AT43" i="4" s="1"/>
  <c r="AT49" i="4" s="1"/>
  <c r="AT125" i="4" s="1"/>
  <c r="AT128" i="4" s="1"/>
  <c r="AT948" i="2" s="1"/>
  <c r="AT68" i="4"/>
  <c r="AS947" i="2"/>
  <c r="AR117" i="4"/>
  <c r="AR170" i="4"/>
  <c r="AR160" i="4"/>
  <c r="AS233" i="4"/>
  <c r="AR255" i="4"/>
  <c r="M84" i="7"/>
  <c r="AT33" i="4"/>
  <c r="AV148" i="4"/>
  <c r="AT112" i="4"/>
  <c r="AT114" i="4" s="1"/>
  <c r="AT151" i="4"/>
  <c r="AS217" i="4"/>
  <c r="AS218" i="4" s="1"/>
  <c r="AS202" i="4"/>
  <c r="AS199" i="4"/>
  <c r="AS215" i="4"/>
  <c r="AS216" i="4" s="1"/>
  <c r="AS210" i="4"/>
  <c r="AS191" i="4"/>
  <c r="AS192" i="4" s="1"/>
  <c r="AU327" i="4"/>
  <c r="AU994" i="2"/>
  <c r="AU995" i="2" s="1"/>
  <c r="AU988" i="2" s="1"/>
  <c r="AS302" i="4"/>
  <c r="AV978" i="2"/>
  <c r="AV17" i="4"/>
  <c r="N14" i="7" s="1"/>
  <c r="AV89" i="4"/>
  <c r="AV93" i="4" s="1"/>
  <c r="AV169" i="4" s="1"/>
  <c r="AT676" i="2" l="1"/>
  <c r="AT677" i="2" s="1"/>
  <c r="AT678" i="2" s="1"/>
  <c r="AS248" i="4"/>
  <c r="AS163" i="4"/>
  <c r="AS240" i="4"/>
  <c r="AS241" i="4" s="1"/>
  <c r="AS255" i="4" s="1"/>
  <c r="AS251" i="4"/>
  <c r="AS259" i="4"/>
  <c r="AS260" i="4" s="1"/>
  <c r="AS264" i="4"/>
  <c r="AS265" i="4" s="1"/>
  <c r="AT228" i="4"/>
  <c r="AT180" i="4"/>
  <c r="AT179" i="4" s="1"/>
  <c r="AT183" i="4" s="1"/>
  <c r="AT184" i="4" s="1"/>
  <c r="AT67" i="4"/>
  <c r="AT277" i="4"/>
  <c r="AT276" i="4" s="1"/>
  <c r="AT293" i="4" s="1"/>
  <c r="AT130" i="4"/>
  <c r="AT158" i="4"/>
  <c r="AT159" i="4"/>
  <c r="AS170" i="4"/>
  <c r="AS117" i="4"/>
  <c r="AU326" i="4"/>
  <c r="AU29" i="4"/>
  <c r="AU989" i="2"/>
  <c r="AU1011" i="2"/>
  <c r="AS211" i="4"/>
  <c r="AV329" i="4"/>
  <c r="AS206" i="4"/>
  <c r="AV993" i="2"/>
  <c r="AT116" i="4"/>
  <c r="AV152" i="4"/>
  <c r="AV22" i="4"/>
  <c r="AV238" i="4"/>
  <c r="AV237" i="4" s="1"/>
  <c r="N81" i="7" s="1"/>
  <c r="AV189" i="4"/>
  <c r="AV188" i="4" s="1"/>
  <c r="AV121" i="4"/>
  <c r="AV123" i="4" s="1"/>
  <c r="AV161" i="4"/>
  <c r="AT190" i="4" l="1"/>
  <c r="AT217" i="4" s="1"/>
  <c r="AT218" i="4" s="1"/>
  <c r="AT308" i="4"/>
  <c r="AT309" i="4" s="1"/>
  <c r="AT306" i="4"/>
  <c r="AT307" i="4" s="1"/>
  <c r="AT227" i="4"/>
  <c r="AV28" i="4"/>
  <c r="N23" i="7" s="1"/>
  <c r="N19" i="7"/>
  <c r="AT290" i="4"/>
  <c r="AT301" i="4"/>
  <c r="AT302" i="4" s="1"/>
  <c r="AT69" i="4"/>
  <c r="AT282" i="4"/>
  <c r="AT283" i="4" s="1"/>
  <c r="AT297" i="4" s="1"/>
  <c r="AU30" i="4"/>
  <c r="AU147" i="4"/>
  <c r="AU328" i="4"/>
  <c r="AU1013" i="2"/>
  <c r="AU666" i="2" s="1"/>
  <c r="AU665" i="2" s="1"/>
  <c r="AU990" i="2"/>
  <c r="AV991" i="2" l="1"/>
  <c r="AV327" i="4" s="1"/>
  <c r="AT215" i="4"/>
  <c r="AT216" i="4" s="1"/>
  <c r="AT210" i="4"/>
  <c r="AT211" i="4" s="1"/>
  <c r="AT191" i="4"/>
  <c r="AT192" i="4" s="1"/>
  <c r="AT206" i="4" s="1"/>
  <c r="AT199" i="4"/>
  <c r="AT202" i="4"/>
  <c r="AU151" i="4"/>
  <c r="AT239" i="4"/>
  <c r="AT232" i="4"/>
  <c r="AT75" i="4"/>
  <c r="AT84" i="4" s="1"/>
  <c r="AT887" i="2"/>
  <c r="AT947" i="2"/>
  <c r="AU68" i="4"/>
  <c r="AU33" i="4"/>
  <c r="AU112" i="4"/>
  <c r="AU114" i="4" s="1"/>
  <c r="AU99" i="4"/>
  <c r="AU104" i="4" s="1"/>
  <c r="AU676" i="2"/>
  <c r="AU677" i="2" s="1"/>
  <c r="AU678" i="2" s="1"/>
  <c r="AU325" i="4"/>
  <c r="AU337" i="4" s="1"/>
  <c r="AU344" i="4" s="1"/>
  <c r="AU345" i="4" s="1"/>
  <c r="AU346" i="4" s="1"/>
  <c r="AU1012" i="2"/>
  <c r="AU43" i="4" s="1"/>
  <c r="AV994" i="2" l="1"/>
  <c r="AV995" i="2" s="1"/>
  <c r="AV988" i="2" s="1"/>
  <c r="AV29" i="4" s="1"/>
  <c r="N24" i="7" s="1"/>
  <c r="AT233" i="4"/>
  <c r="AT259" i="4"/>
  <c r="AT260" i="4" s="1"/>
  <c r="AT264" i="4"/>
  <c r="AT265" i="4" s="1"/>
  <c r="AT240" i="4"/>
  <c r="AT248" i="4"/>
  <c r="AT266" i="4"/>
  <c r="AT267" i="4" s="1"/>
  <c r="AT251" i="4"/>
  <c r="AT95" i="4"/>
  <c r="AT163" i="4"/>
  <c r="AU49" i="4"/>
  <c r="AU125" i="4" s="1"/>
  <c r="AU128" i="4" s="1"/>
  <c r="AU948" i="2" s="1"/>
  <c r="AU130" i="4"/>
  <c r="AU158" i="4"/>
  <c r="AU159" i="4"/>
  <c r="AU116" i="4"/>
  <c r="AU180" i="4" l="1"/>
  <c r="AU179" i="4" s="1"/>
  <c r="AU183" i="4" s="1"/>
  <c r="AU184" i="4" s="1"/>
  <c r="AU277" i="4"/>
  <c r="AU276" i="4" s="1"/>
  <c r="AU290" i="4" s="1"/>
  <c r="AU67" i="4"/>
  <c r="AU69" i="4" s="1"/>
  <c r="AU228" i="4"/>
  <c r="AU227" i="4" s="1"/>
  <c r="AU232" i="4" s="1"/>
  <c r="AT170" i="4"/>
  <c r="AT160" i="4"/>
  <c r="AT117" i="4"/>
  <c r="AT241" i="4"/>
  <c r="AT255" i="4" s="1"/>
  <c r="AV30" i="4"/>
  <c r="AV147" i="4"/>
  <c r="AV326" i="4"/>
  <c r="AV1011" i="2"/>
  <c r="AV989" i="2"/>
  <c r="AV990" i="2" s="1"/>
  <c r="AU190" i="4" l="1"/>
  <c r="AU215" i="4" s="1"/>
  <c r="AU216" i="4" s="1"/>
  <c r="AU75" i="4"/>
  <c r="AU84" i="4" s="1"/>
  <c r="AU95" i="4" s="1"/>
  <c r="AU170" i="4" s="1"/>
  <c r="AU947" i="2"/>
  <c r="AV68" i="4"/>
  <c r="AU887" i="2"/>
  <c r="AU306" i="4"/>
  <c r="AU307" i="4" s="1"/>
  <c r="AU301" i="4"/>
  <c r="AU302" i="4" s="1"/>
  <c r="AU239" i="4"/>
  <c r="AU264" i="4" s="1"/>
  <c r="AU265" i="4" s="1"/>
  <c r="AU282" i="4"/>
  <c r="AU283" i="4" s="1"/>
  <c r="AU297" i="4" s="1"/>
  <c r="AU293" i="4"/>
  <c r="AU308" i="4"/>
  <c r="AU309" i="4" s="1"/>
  <c r="AU233" i="4"/>
  <c r="AV151" i="4"/>
  <c r="N25" i="7"/>
  <c r="AV112" i="4"/>
  <c r="AV114" i="4" s="1"/>
  <c r="AV158" i="4" s="1"/>
  <c r="AV33" i="4"/>
  <c r="N28" i="7" s="1"/>
  <c r="AV1013" i="2"/>
  <c r="AV666" i="2" s="1"/>
  <c r="AV665" i="2" s="1"/>
  <c r="AV676" i="2" s="1"/>
  <c r="AV677" i="2" s="1"/>
  <c r="AV678" i="2" s="1"/>
  <c r="AV328" i="4"/>
  <c r="AV325" i="4"/>
  <c r="AV337" i="4" s="1"/>
  <c r="AV344" i="4" s="1"/>
  <c r="AV345" i="4" s="1"/>
  <c r="AV346" i="4" s="1"/>
  <c r="AV1012" i="2"/>
  <c r="AV43" i="4" s="1"/>
  <c r="AU199" i="4" l="1"/>
  <c r="AU248" i="4"/>
  <c r="AU202" i="4"/>
  <c r="AU251" i="4"/>
  <c r="AU266" i="4"/>
  <c r="AU267" i="4" s="1"/>
  <c r="AU240" i="4"/>
  <c r="AU241" i="4" s="1"/>
  <c r="AU255" i="4" s="1"/>
  <c r="AU217" i="4"/>
  <c r="AU218" i="4" s="1"/>
  <c r="AU191" i="4"/>
  <c r="AU192" i="4" s="1"/>
  <c r="AU206" i="4" s="1"/>
  <c r="AU210" i="4"/>
  <c r="AU211" i="4" s="1"/>
  <c r="AU259" i="4"/>
  <c r="AU260" i="4" s="1"/>
  <c r="AU163" i="4"/>
  <c r="AV49" i="4"/>
  <c r="AV228" i="4" s="1"/>
  <c r="N38" i="7"/>
  <c r="AV159" i="4"/>
  <c r="AV99" i="4"/>
  <c r="AV104" i="4" s="1"/>
  <c r="AV116" i="4" s="1"/>
  <c r="AU117" i="4"/>
  <c r="AU160" i="4"/>
  <c r="AV180" i="4" l="1"/>
  <c r="AV179" i="4" s="1"/>
  <c r="AV183" i="4" s="1"/>
  <c r="AV184" i="4" s="1"/>
  <c r="AV277" i="4"/>
  <c r="AV276" i="4" s="1"/>
  <c r="AV306" i="4" s="1"/>
  <c r="AV307" i="4" s="1"/>
  <c r="AV67" i="4"/>
  <c r="N62" i="7" s="1"/>
  <c r="AV227" i="4"/>
  <c r="AV239" i="4" s="1"/>
  <c r="N72" i="7"/>
  <c r="AV125" i="4"/>
  <c r="AV128" i="4" s="1"/>
  <c r="AV948" i="2" s="1"/>
  <c r="N44" i="7"/>
  <c r="AV130" i="4"/>
  <c r="AX77" i="10"/>
  <c r="AV290" i="4" l="1"/>
  <c r="AV308" i="4"/>
  <c r="AV309" i="4" s="1"/>
  <c r="AV190" i="4"/>
  <c r="AV202" i="4" s="1"/>
  <c r="AV69" i="4"/>
  <c r="N64" i="7" s="1"/>
  <c r="AV301" i="4"/>
  <c r="AV302" i="4" s="1"/>
  <c r="AV293" i="4"/>
  <c r="AV282" i="4"/>
  <c r="AV283" i="4" s="1"/>
  <c r="AV297" i="4" s="1"/>
  <c r="AV266" i="4"/>
  <c r="AV267" i="4" s="1"/>
  <c r="N82" i="7"/>
  <c r="AV232" i="4"/>
  <c r="N71" i="7"/>
  <c r="AV240" i="4"/>
  <c r="AV251" i="4"/>
  <c r="AV264" i="4"/>
  <c r="AV265" i="4" s="1"/>
  <c r="AV248" i="4"/>
  <c r="AV259" i="4"/>
  <c r="AV260" i="4" s="1"/>
  <c r="AV252" i="4" l="1"/>
  <c r="AA252" i="4"/>
  <c r="AV294" i="4"/>
  <c r="AA294" i="4"/>
  <c r="AV203" i="4"/>
  <c r="AA203" i="4"/>
  <c r="AV75" i="4"/>
  <c r="AV84" i="4" s="1"/>
  <c r="AV95" i="4" s="1"/>
  <c r="AV117" i="4" s="1"/>
  <c r="AV217" i="4"/>
  <c r="AV218" i="4" s="1"/>
  <c r="AV947" i="2"/>
  <c r="AV887" i="2"/>
  <c r="AV215" i="4"/>
  <c r="AV216" i="4" s="1"/>
  <c r="AV210" i="4"/>
  <c r="AV211" i="4" s="1"/>
  <c r="AV199" i="4"/>
  <c r="B196" i="4" s="1"/>
  <c r="AV191" i="4"/>
  <c r="AV192" i="4" s="1"/>
  <c r="AV206" i="4" s="1"/>
  <c r="AV241" i="4"/>
  <c r="N83" i="7"/>
  <c r="AV233" i="4"/>
  <c r="N77" i="7" s="1"/>
  <c r="N76" i="7"/>
  <c r="AX330" i="4"/>
  <c r="AX976" i="2"/>
  <c r="AX84" i="10"/>
  <c r="AX20" i="4"/>
  <c r="O17" i="7" s="1"/>
  <c r="AV163" i="4" l="1"/>
  <c r="AV160" i="4"/>
  <c r="AV170" i="4"/>
  <c r="AV255" i="4"/>
  <c r="N84" i="7"/>
  <c r="AX977" i="2"/>
  <c r="AX16" i="4"/>
  <c r="B154" i="4" l="1"/>
  <c r="G154" i="4" s="1"/>
  <c r="H154" i="4" s="1"/>
  <c r="AX329" i="4"/>
  <c r="AX978" i="2"/>
  <c r="AX17" i="4"/>
  <c r="O14" i="7" s="1"/>
  <c r="G155" i="4" l="1"/>
  <c r="G156" i="4" s="1"/>
  <c r="AX237" i="4"/>
  <c r="O81" i="7" s="1"/>
  <c r="AX238" i="4"/>
  <c r="AX22" i="4"/>
  <c r="O19" i="7" s="1"/>
  <c r="AX188" i="4"/>
  <c r="AX189" i="4"/>
  <c r="H155" i="4"/>
  <c r="H156" i="4" s="1"/>
  <c r="I154" i="4"/>
  <c r="AX28" i="4" l="1"/>
  <c r="O23" i="7" s="1"/>
  <c r="I155" i="4"/>
  <c r="I156" i="4" s="1"/>
  <c r="J154" i="4"/>
  <c r="AX327" i="4" l="1"/>
  <c r="AX994" i="2"/>
  <c r="AX991" i="2"/>
  <c r="J155" i="4"/>
  <c r="J156" i="4" s="1"/>
  <c r="K154" i="4"/>
  <c r="L154" i="4" l="1"/>
  <c r="K155" i="4"/>
  <c r="K156" i="4" s="1"/>
  <c r="M154" i="4" l="1"/>
  <c r="L155" i="4"/>
  <c r="L156" i="4" s="1"/>
  <c r="AX995" i="2"/>
  <c r="AX326" i="4" l="1"/>
  <c r="AX988" i="2"/>
  <c r="AX1011" i="2"/>
  <c r="N154" i="4"/>
  <c r="M155" i="4"/>
  <c r="M156" i="4" s="1"/>
  <c r="O154" i="4" l="1"/>
  <c r="N155" i="4"/>
  <c r="N156" i="4" s="1"/>
  <c r="AX989" i="2"/>
  <c r="AX29" i="4"/>
  <c r="O24" i="7" s="1"/>
  <c r="P154" i="4" l="1"/>
  <c r="O155" i="4"/>
  <c r="O156" i="4" s="1"/>
  <c r="AX33" i="4"/>
  <c r="O28" i="7" s="1"/>
  <c r="AX30" i="4"/>
  <c r="O25" i="7" s="1"/>
  <c r="AX990" i="2"/>
  <c r="AX1012" i="2" l="1"/>
  <c r="AX325" i="4"/>
  <c r="Q154" i="4"/>
  <c r="P155" i="4"/>
  <c r="P156" i="4" s="1"/>
  <c r="R154" i="4" l="1"/>
  <c r="Q155" i="4"/>
  <c r="Q156" i="4" s="1"/>
  <c r="AX337" i="4"/>
  <c r="AX43" i="4"/>
  <c r="O38" i="7" s="1"/>
  <c r="S154" i="4" l="1"/>
  <c r="R155" i="4"/>
  <c r="R156" i="4" s="1"/>
  <c r="AX49" i="4"/>
  <c r="O44" i="7" s="1"/>
  <c r="AX344" i="4"/>
  <c r="AX277" i="4" l="1"/>
  <c r="AX67" i="4"/>
  <c r="O62" i="7" s="1"/>
  <c r="AX228" i="4"/>
  <c r="O72" i="7" s="1"/>
  <c r="AX180" i="4"/>
  <c r="AX345" i="4"/>
  <c r="B348" i="4" s="1"/>
  <c r="T154" i="4"/>
  <c r="S155" i="4"/>
  <c r="S156" i="4" s="1"/>
  <c r="B302" i="4" l="1"/>
  <c r="AX276" i="4"/>
  <c r="AX179" i="4"/>
  <c r="AX227" i="4"/>
  <c r="O71" i="7" s="1"/>
  <c r="U154" i="4"/>
  <c r="T155" i="4"/>
  <c r="T156" i="4" s="1"/>
  <c r="C117" i="4" l="1"/>
  <c r="AX183" i="4"/>
  <c r="B185" i="4" s="1"/>
  <c r="V154" i="4"/>
  <c r="U155" i="4"/>
  <c r="U156" i="4" s="1"/>
  <c r="AX290" i="4"/>
  <c r="B287" i="4"/>
  <c r="B211" i="4"/>
  <c r="AX190" i="4"/>
  <c r="AX307" i="4"/>
  <c r="AX306" i="4"/>
  <c r="B260" i="4"/>
  <c r="AX239" i="4"/>
  <c r="O82" i="7" s="1"/>
  <c r="AX309" i="4"/>
  <c r="AX308" i="4"/>
  <c r="AX232" i="4"/>
  <c r="G294" i="4"/>
  <c r="AX293" i="4"/>
  <c r="B297" i="4"/>
  <c r="AX282" i="4"/>
  <c r="B285" i="4" s="1"/>
  <c r="G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Z303" i="4"/>
  <c r="AA303" i="4"/>
  <c r="AB303" i="4"/>
  <c r="AC303" i="4"/>
  <c r="AD303" i="4"/>
  <c r="AE303" i="4"/>
  <c r="AF303" i="4"/>
  <c r="AG303" i="4"/>
  <c r="AH303" i="4"/>
  <c r="AI303" i="4"/>
  <c r="AJ303" i="4"/>
  <c r="AK303" i="4"/>
  <c r="AL303" i="4"/>
  <c r="AM303" i="4"/>
  <c r="AN303" i="4"/>
  <c r="AO303" i="4"/>
  <c r="AP303" i="4"/>
  <c r="AQ303" i="4"/>
  <c r="AR303" i="4"/>
  <c r="AS303" i="4"/>
  <c r="AT303" i="4"/>
  <c r="AU303" i="4"/>
  <c r="AV303" i="4"/>
  <c r="K303" i="4"/>
  <c r="I303" i="4"/>
  <c r="J303" i="4"/>
  <c r="H303" i="4"/>
  <c r="B234" i="4" l="1"/>
  <c r="B78" i="7" s="1"/>
  <c r="O76" i="7"/>
  <c r="B305" i="4"/>
  <c r="AX294" i="4"/>
  <c r="B292" i="4"/>
  <c r="B255" i="4"/>
  <c r="AX240" i="4"/>
  <c r="AX248" i="4"/>
  <c r="B245" i="4"/>
  <c r="B88" i="7" s="1"/>
  <c r="AX267" i="4"/>
  <c r="AX266" i="4"/>
  <c r="AX218" i="4"/>
  <c r="AX217" i="4"/>
  <c r="AX303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Z261" i="4"/>
  <c r="AA261" i="4"/>
  <c r="AB261" i="4"/>
  <c r="AC261" i="4"/>
  <c r="AD261" i="4"/>
  <c r="AE261" i="4"/>
  <c r="AF261" i="4"/>
  <c r="AG261" i="4"/>
  <c r="AH261" i="4"/>
  <c r="AI261" i="4"/>
  <c r="AJ261" i="4"/>
  <c r="AK261" i="4"/>
  <c r="AL261" i="4"/>
  <c r="AM261" i="4"/>
  <c r="AN261" i="4"/>
  <c r="AO261" i="4"/>
  <c r="AP261" i="4"/>
  <c r="AQ261" i="4"/>
  <c r="AR261" i="4"/>
  <c r="AS261" i="4"/>
  <c r="AT261" i="4"/>
  <c r="AU261" i="4"/>
  <c r="AV261" i="4"/>
  <c r="H261" i="4"/>
  <c r="K261" i="4"/>
  <c r="J261" i="4"/>
  <c r="G261" i="4"/>
  <c r="I261" i="4"/>
  <c r="G203" i="4"/>
  <c r="AX202" i="4"/>
  <c r="W154" i="4"/>
  <c r="V155" i="4"/>
  <c r="V156" i="4" s="1"/>
  <c r="AX265" i="4"/>
  <c r="AX264" i="4"/>
  <c r="B206" i="4"/>
  <c r="AX191" i="4"/>
  <c r="B194" i="4" s="1"/>
  <c r="G252" i="4"/>
  <c r="AX251" i="4"/>
  <c r="AX199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AA212" i="4"/>
  <c r="AB212" i="4"/>
  <c r="AC212" i="4"/>
  <c r="AD212" i="4"/>
  <c r="AE212" i="4"/>
  <c r="AF212" i="4"/>
  <c r="AG212" i="4"/>
  <c r="AH212" i="4"/>
  <c r="AI212" i="4"/>
  <c r="AJ212" i="4"/>
  <c r="AK212" i="4"/>
  <c r="AL212" i="4"/>
  <c r="AM212" i="4"/>
  <c r="AN212" i="4"/>
  <c r="AO212" i="4"/>
  <c r="AP212" i="4"/>
  <c r="AQ212" i="4"/>
  <c r="AR212" i="4"/>
  <c r="AS212" i="4"/>
  <c r="AT212" i="4"/>
  <c r="AU212" i="4"/>
  <c r="AV212" i="4"/>
  <c r="K212" i="4"/>
  <c r="I212" i="4"/>
  <c r="H212" i="4"/>
  <c r="J212" i="4"/>
  <c r="G212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AA298" i="4"/>
  <c r="AB298" i="4"/>
  <c r="AC298" i="4"/>
  <c r="AD298" i="4"/>
  <c r="AE298" i="4"/>
  <c r="AF298" i="4"/>
  <c r="AG298" i="4"/>
  <c r="AH298" i="4"/>
  <c r="AI298" i="4"/>
  <c r="AJ298" i="4"/>
  <c r="AK298" i="4"/>
  <c r="AL298" i="4"/>
  <c r="AM298" i="4"/>
  <c r="AN298" i="4"/>
  <c r="AO298" i="4"/>
  <c r="AP298" i="4"/>
  <c r="AQ298" i="4"/>
  <c r="AR298" i="4"/>
  <c r="AS298" i="4"/>
  <c r="AT298" i="4"/>
  <c r="AU298" i="4"/>
  <c r="AV298" i="4"/>
  <c r="G298" i="4"/>
  <c r="I298" i="4"/>
  <c r="J298" i="4"/>
  <c r="H298" i="4"/>
  <c r="K298" i="4"/>
  <c r="AX216" i="4"/>
  <c r="AX215" i="4"/>
  <c r="B243" i="4" l="1"/>
  <c r="B86" i="7" s="1"/>
  <c r="O83" i="7"/>
  <c r="B303" i="4"/>
  <c r="B300" i="4"/>
  <c r="AX261" i="4"/>
  <c r="B263" i="4"/>
  <c r="B96" i="7" s="1"/>
  <c r="B214" i="4"/>
  <c r="X154" i="4"/>
  <c r="W155" i="4"/>
  <c r="W156" i="4" s="1"/>
  <c r="B250" i="4"/>
  <c r="B90" i="7" s="1"/>
  <c r="AX252" i="4"/>
  <c r="AX212" i="4"/>
  <c r="B201" i="4"/>
  <c r="AX203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Z256" i="4"/>
  <c r="AA256" i="4"/>
  <c r="AB256" i="4"/>
  <c r="AC256" i="4"/>
  <c r="AD256" i="4"/>
  <c r="AE256" i="4"/>
  <c r="AF256" i="4"/>
  <c r="AG256" i="4"/>
  <c r="AH256" i="4"/>
  <c r="AI256" i="4"/>
  <c r="AJ256" i="4"/>
  <c r="AK256" i="4"/>
  <c r="AL256" i="4"/>
  <c r="AM256" i="4"/>
  <c r="AN256" i="4"/>
  <c r="AO256" i="4"/>
  <c r="AP256" i="4"/>
  <c r="AQ256" i="4"/>
  <c r="AR256" i="4"/>
  <c r="AS256" i="4"/>
  <c r="AT256" i="4"/>
  <c r="AU256" i="4"/>
  <c r="AV256" i="4"/>
  <c r="K256" i="4"/>
  <c r="H256" i="4"/>
  <c r="G256" i="4"/>
  <c r="J256" i="4"/>
  <c r="I256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Z207" i="4"/>
  <c r="AA207" i="4"/>
  <c r="AB207" i="4"/>
  <c r="AC207" i="4"/>
  <c r="AD207" i="4"/>
  <c r="AE207" i="4"/>
  <c r="AF207" i="4"/>
  <c r="AG207" i="4"/>
  <c r="AH207" i="4"/>
  <c r="AI207" i="4"/>
  <c r="AJ207" i="4"/>
  <c r="AK207" i="4"/>
  <c r="AL207" i="4"/>
  <c r="AM207" i="4"/>
  <c r="AN207" i="4"/>
  <c r="AO207" i="4"/>
  <c r="AP207" i="4"/>
  <c r="AQ207" i="4"/>
  <c r="AR207" i="4"/>
  <c r="AS207" i="4"/>
  <c r="AT207" i="4"/>
  <c r="AU207" i="4"/>
  <c r="AV207" i="4"/>
  <c r="K207" i="4"/>
  <c r="G207" i="4"/>
  <c r="H207" i="4"/>
  <c r="I207" i="4"/>
  <c r="J207" i="4"/>
  <c r="AX298" i="4"/>
  <c r="B298" i="4" l="1"/>
  <c r="B296" i="4"/>
  <c r="B261" i="4"/>
  <c r="B258" i="4"/>
  <c r="B94" i="7" s="1"/>
  <c r="B212" i="4"/>
  <c r="B209" i="4"/>
  <c r="AX207" i="4"/>
  <c r="AX256" i="4"/>
  <c r="Y154" i="4"/>
  <c r="X155" i="4"/>
  <c r="X156" i="4" s="1"/>
  <c r="B256" i="4" l="1"/>
  <c r="B254" i="4"/>
  <c r="B92" i="7" s="1"/>
  <c r="B207" i="4"/>
  <c r="B205" i="4"/>
  <c r="Z154" i="4"/>
  <c r="Y155" i="4"/>
  <c r="Y156" i="4" s="1"/>
  <c r="AA154" i="4" l="1"/>
  <c r="Z155" i="4"/>
  <c r="Z156" i="4" s="1"/>
  <c r="AB154" i="4" l="1"/>
  <c r="AA155" i="4"/>
  <c r="AA156" i="4" s="1"/>
  <c r="AC154" i="4" l="1"/>
  <c r="AB155" i="4"/>
  <c r="AB156" i="4" s="1"/>
  <c r="AD154" i="4" l="1"/>
  <c r="AC155" i="4"/>
  <c r="AC156" i="4" s="1"/>
  <c r="AE154" i="4" l="1"/>
  <c r="AD155" i="4"/>
  <c r="AD156" i="4" s="1"/>
  <c r="AF154" i="4" l="1"/>
  <c r="AE155" i="4"/>
  <c r="AE156" i="4" s="1"/>
  <c r="AG154" i="4" l="1"/>
  <c r="AF155" i="4"/>
  <c r="AF156" i="4" s="1"/>
  <c r="AH154" i="4" l="1"/>
  <c r="AG155" i="4"/>
  <c r="AG156" i="4" s="1"/>
  <c r="AI154" i="4" l="1"/>
  <c r="AH155" i="4"/>
  <c r="AH156" i="4" s="1"/>
  <c r="AJ154" i="4" l="1"/>
  <c r="AI155" i="4"/>
  <c r="AI156" i="4" s="1"/>
  <c r="AK154" i="4" l="1"/>
  <c r="AJ155" i="4"/>
  <c r="AJ156" i="4" s="1"/>
  <c r="AL154" i="4" l="1"/>
  <c r="AK155" i="4"/>
  <c r="AK156" i="4" s="1"/>
  <c r="AM154" i="4" l="1"/>
  <c r="AL155" i="4"/>
  <c r="AL156" i="4" s="1"/>
  <c r="AN154" i="4" l="1"/>
  <c r="AM155" i="4"/>
  <c r="AM156" i="4" s="1"/>
  <c r="AO154" i="4" l="1"/>
  <c r="AN155" i="4"/>
  <c r="AN156" i="4" s="1"/>
  <c r="AP154" i="4" l="1"/>
  <c r="AO155" i="4"/>
  <c r="AO156" i="4" s="1"/>
  <c r="AQ154" i="4" l="1"/>
  <c r="AP155" i="4"/>
  <c r="AP156" i="4" s="1"/>
  <c r="AR154" i="4" l="1"/>
  <c r="AQ155" i="4"/>
  <c r="AQ156" i="4" s="1"/>
  <c r="AS154" i="4" l="1"/>
  <c r="AR155" i="4"/>
  <c r="AR156" i="4" s="1"/>
  <c r="AT154" i="4" l="1"/>
  <c r="AS155" i="4"/>
  <c r="AS156" i="4" s="1"/>
  <c r="AU154" i="4" l="1"/>
  <c r="AT155" i="4"/>
  <c r="AT156" i="4" s="1"/>
  <c r="AV154" i="4" l="1"/>
  <c r="AU155" i="4"/>
  <c r="AU156" i="4" s="1"/>
  <c r="AV155" i="4" l="1"/>
  <c r="AV156" i="4" s="1"/>
</calcChain>
</file>

<file path=xl/sharedStrings.xml><?xml version="1.0" encoding="utf-8"?>
<sst xmlns="http://schemas.openxmlformats.org/spreadsheetml/2006/main" count="4959" uniqueCount="2349">
  <si>
    <t>ИТОГО</t>
  </si>
  <si>
    <t>%</t>
  </si>
  <si>
    <t>лет</t>
  </si>
  <si>
    <t>период</t>
  </si>
  <si>
    <t>ID</t>
  </si>
  <si>
    <t>Flags</t>
  </si>
  <si>
    <t>Cur</t>
  </si>
  <si>
    <t>Дата начала проекта</t>
  </si>
  <si>
    <t>Шаг планирования</t>
  </si>
  <si>
    <t>Длительность шага планирования</t>
  </si>
  <si>
    <t>Основная валюта расчетов</t>
  </si>
  <si>
    <t>Вторая валюта</t>
  </si>
  <si>
    <t>Третья валюта</t>
  </si>
  <si>
    <t>Язык интерфейса и отчетности</t>
  </si>
  <si>
    <t>Включена</t>
  </si>
  <si>
    <t>Русский</t>
  </si>
  <si>
    <t>$</t>
  </si>
  <si>
    <t>EUR</t>
  </si>
  <si>
    <t>Год начала проекта</t>
  </si>
  <si>
    <t>Месяц начала проекта</t>
  </si>
  <si>
    <t>Дата начала периода</t>
  </si>
  <si>
    <t>ДАТА НАЧАЛА И ДЛИТЕЛЬНОСТЬ</t>
  </si>
  <si>
    <t>Год периода</t>
  </si>
  <si>
    <t>Месяц начала периода</t>
  </si>
  <si>
    <t>Номер периода</t>
  </si>
  <si>
    <t>Длительность периода в днях</t>
  </si>
  <si>
    <t>Название периода для заголовков таблиц</t>
  </si>
  <si>
    <t>Неполный период (1 - да)?</t>
  </si>
  <si>
    <t>Коэффициент для учета неполного периода</t>
  </si>
  <si>
    <t>НАСТРОЙКА ВИДА ТАБЛИЦ</t>
  </si>
  <si>
    <t>ВАЛЮТЫ, КУРСЫ, ИНФЛЯЦИЯ</t>
  </si>
  <si>
    <t>Предполагаемый темп годового роста цен</t>
  </si>
  <si>
    <t>То же, в пересчете на период, равный шагу проекта</t>
  </si>
  <si>
    <t>Учитывать</t>
  </si>
  <si>
    <t>Темпы роста курса к основной валюте</t>
  </si>
  <si>
    <t>% в год</t>
  </si>
  <si>
    <t>Стиль оформления листов</t>
  </si>
  <si>
    <t>English</t>
  </si>
  <si>
    <t>Deutch</t>
  </si>
  <si>
    <t>Название проекта</t>
  </si>
  <si>
    <t>Проект без названия</t>
  </si>
  <si>
    <t>Темпы роста цен, базовые</t>
  </si>
  <si>
    <t>Продажи</t>
  </si>
  <si>
    <t>Материалы и комплектующие</t>
  </si>
  <si>
    <t>Прочие переменные затраты</t>
  </si>
  <si>
    <t>Постоянные производственные издержки</t>
  </si>
  <si>
    <t>Постоянные административные издержки</t>
  </si>
  <si>
    <t>Постоянные маркетинговые издержки</t>
  </si>
  <si>
    <t>Персонал</t>
  </si>
  <si>
    <t>Детализация; темпы роста цен в отдельных категориях:</t>
  </si>
  <si>
    <t>Учет инфляции при планировании цен</t>
  </si>
  <si>
    <t>Альт-Инвест</t>
  </si>
  <si>
    <t>ПАРАМЕТРЫ НАЛОГОВ</t>
  </si>
  <si>
    <t>Ставка налога, федеральная составляющая</t>
  </si>
  <si>
    <t>Ставка налога, местная составляющая</t>
  </si>
  <si>
    <t>Суммарная ставка налога на прибыль</t>
  </si>
  <si>
    <t>мес.</t>
  </si>
  <si>
    <t>НАЛОГ НА ПРИБЫЛЬ</t>
  </si>
  <si>
    <t>НАЛОГ НА ИМУЩЕСТВО</t>
  </si>
  <si>
    <t>Ставка налога для недвижимости</t>
  </si>
  <si>
    <t>Ставка налога для оборудования</t>
  </si>
  <si>
    <t>НАЛОГ С ОБОРОТА (УСН)</t>
  </si>
  <si>
    <t>Стандартная ставка налога</t>
  </si>
  <si>
    <t>НАЛОГ НА ДОБАВЛЕННУЮ СТОИМОСТЬ</t>
  </si>
  <si>
    <t>периодов</t>
  </si>
  <si>
    <t>Ставка страхования от несчастных случаев</t>
  </si>
  <si>
    <t>прямое возмещение через</t>
  </si>
  <si>
    <t>Способ зачета переплаченного НДС:</t>
  </si>
  <si>
    <t>НАЛОГ С ДОХОДА, УМЕНЬШЕННОГО НА РАСХОДЫ (УСН, ЕСХН)</t>
  </si>
  <si>
    <t>СТАВКИ ДИСКОНТИРОВАНИЯ</t>
  </si>
  <si>
    <t>Расчет средневзвешенной ставки:</t>
  </si>
  <si>
    <t xml:space="preserve">WACC = Re * We + Rd * Wd * (1-T) = </t>
  </si>
  <si>
    <t>Доля собственного капитала в расчете ставки, We</t>
  </si>
  <si>
    <t>Доля заемного капитала в расчете ставки, Wd</t>
  </si>
  <si>
    <t>Ставка налога на прибыль, T</t>
  </si>
  <si>
    <t>Ставка для собственного капитала, Re</t>
  </si>
  <si>
    <t>Долгосрочные темпы роста в постпрогнозный период</t>
  </si>
  <si>
    <t>зачитывать при будущих расчетах</t>
  </si>
  <si>
    <t>Валюта, используемая при расчете эффективности</t>
  </si>
  <si>
    <t>Ставка реинвестирования доходов (для расчета MIRR)</t>
  </si>
  <si>
    <t>Выключена</t>
  </si>
  <si>
    <t>Включена (с паролем)</t>
  </si>
  <si>
    <t>Сборка дистрибутива выполнена?</t>
  </si>
  <si>
    <t>Дата сборки</t>
  </si>
  <si>
    <t>Это демоверсия?</t>
  </si>
  <si>
    <t>Это версия СУММ?</t>
  </si>
  <si>
    <t>Технические флаги</t>
  </si>
  <si>
    <t>Параметры</t>
  </si>
  <si>
    <t>Старт</t>
  </si>
  <si>
    <t>Результаты</t>
  </si>
  <si>
    <t>Сценарии</t>
  </si>
  <si>
    <t>Графики</t>
  </si>
  <si>
    <t>Отчет</t>
  </si>
  <si>
    <t>Цветовые схемы</t>
  </si>
  <si>
    <t>Оттенки серого</t>
  </si>
  <si>
    <t>Текущие настройки</t>
  </si>
  <si>
    <t>Заголовок</t>
  </si>
  <si>
    <t>Редакт.</t>
  </si>
  <si>
    <t>Пароль защиты</t>
  </si>
  <si>
    <t>Флаги сборки</t>
  </si>
  <si>
    <t>Сумм?</t>
  </si>
  <si>
    <t>Базовый язык интерфейса?</t>
  </si>
  <si>
    <t>Будет собрана версия:</t>
  </si>
  <si>
    <t>Отмена</t>
  </si>
  <si>
    <t>Пароль:</t>
  </si>
  <si>
    <t>Показывать вводимый текст</t>
  </si>
  <si>
    <t>Английский</t>
  </si>
  <si>
    <t>Немецкий</t>
  </si>
  <si>
    <t>Фиксированные строки, используемые в макросах (и иногда на листах тоже). Строки для листов начинаются после зеленого заголовка</t>
  </si>
  <si>
    <t>Внешний вид модели</t>
  </si>
  <si>
    <t>Язык интерфейса и отчетных форм</t>
  </si>
  <si>
    <t>Цвета, используемые в модели</t>
  </si>
  <si>
    <t>Удалить из проекта макросы и формулы...</t>
  </si>
  <si>
    <t>Проверяются до 8 колонок</t>
  </si>
  <si>
    <t>Настройки пользователя</t>
  </si>
  <si>
    <t>Загрузить готовый стиль оформления:</t>
  </si>
  <si>
    <t>Стандартный</t>
  </si>
  <si>
    <t>С этого места начинаются строки, которые могут применяться ТОЛЬКО на листах</t>
  </si>
  <si>
    <t>Main</t>
  </si>
  <si>
    <t>Start</t>
  </si>
  <si>
    <t>Project</t>
  </si>
  <si>
    <t>Results</t>
  </si>
  <si>
    <t>Charts</t>
  </si>
  <si>
    <t>Report</t>
  </si>
  <si>
    <t>Изменить</t>
  </si>
  <si>
    <t>Edit</t>
  </si>
  <si>
    <t>Удалить все формулы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</si>
  <si>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</si>
  <si>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</si>
  <si>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</si>
  <si>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</si>
  <si>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</si>
  <si>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</si>
  <si>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</si>
  <si>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</si>
  <si>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</si>
  <si>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</si>
  <si>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</si>
  <si>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</si>
  <si>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Дата начала и длительность</t>
  </si>
  <si>
    <t>Начало проекта</t>
  </si>
  <si>
    <t>Число периодов</t>
  </si>
  <si>
    <t>Длительность периода</t>
  </si>
  <si>
    <t>Alt-Invest</t>
  </si>
  <si>
    <t>Cancel</t>
  </si>
  <si>
    <t>Password:</t>
  </si>
  <si>
    <t>Display password</t>
  </si>
  <si>
    <t>Do not forget your password. You cannot unlock the model without it.</t>
  </si>
  <si>
    <t>Russian</t>
  </si>
  <si>
    <t>German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</si>
  <si>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</si>
  <si>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</si>
  <si>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</si>
  <si>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</si>
  <si>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</si>
  <si>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</si>
  <si>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</si>
  <si>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</si>
  <si>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</si>
  <si>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</si>
  <si>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</si>
  <si>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</si>
  <si>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Start date and duration</t>
  </si>
  <si>
    <t>Project start</t>
  </si>
  <si>
    <t>Number of periods</t>
  </si>
  <si>
    <t>Planning step</t>
  </si>
  <si>
    <t>Первый период проекта будет иметь неполную длину.</t>
  </si>
  <si>
    <t>кв.</t>
  </si>
  <si>
    <t>дн.</t>
  </si>
  <si>
    <t>Длительность периода в месяцах</t>
  </si>
  <si>
    <t>Дата конца периода</t>
  </si>
  <si>
    <t>янв</t>
  </si>
  <si>
    <t>фев</t>
  </si>
  <si>
    <t>мар</t>
  </si>
  <si>
    <t>апр</t>
  </si>
  <si>
    <t>май</t>
  </si>
  <si>
    <t>июн</t>
  </si>
  <si>
    <t>июл</t>
  </si>
  <si>
    <t>авг</t>
  </si>
  <si>
    <t>сен</t>
  </si>
  <si>
    <t>окт</t>
  </si>
  <si>
    <t>ноя</t>
  </si>
  <si>
    <t>дек</t>
  </si>
  <si>
    <t>Евро</t>
  </si>
  <si>
    <t>Австралийские доллары</t>
  </si>
  <si>
    <t>Датские кроны</t>
  </si>
  <si>
    <t>Доллары США</t>
  </si>
  <si>
    <t>Индийские рупии</t>
  </si>
  <si>
    <t>Казахские тенге</t>
  </si>
  <si>
    <t>Канадские доллары</t>
  </si>
  <si>
    <t>Китайские юани</t>
  </si>
  <si>
    <t>Молдавские леи</t>
  </si>
  <si>
    <t>Норвежские кроны</t>
  </si>
  <si>
    <t>Польские злотые</t>
  </si>
  <si>
    <t>Турецкие лиры</t>
  </si>
  <si>
    <t>Украинские гривны</t>
  </si>
  <si>
    <t>Фунты стерлингов</t>
  </si>
  <si>
    <t>Чешские кроны</t>
  </si>
  <si>
    <t>Швейцарские франки</t>
  </si>
  <si>
    <t>Японские йены</t>
  </si>
  <si>
    <t>Российские рубли</t>
  </si>
  <si>
    <t>не использовать</t>
  </si>
  <si>
    <t>Венгерский форинт</t>
  </si>
  <si>
    <t>Румынский лей</t>
  </si>
  <si>
    <t>Валюты и инфляция</t>
  </si>
  <si>
    <t>Основная валюта</t>
  </si>
  <si>
    <t>Валюта отчетности</t>
  </si>
  <si>
    <t>Учет инфляции в расчетах</t>
  </si>
  <si>
    <t>Учитывать (цены будут расти с инфляцией)</t>
  </si>
  <si>
    <t>Не учитывать (постоянные цены)</t>
  </si>
  <si>
    <t>Горизонт планирования проекта</t>
  </si>
  <si>
    <t>AUD</t>
  </si>
  <si>
    <t>HUF</t>
  </si>
  <si>
    <t>DKK</t>
  </si>
  <si>
    <t>INR</t>
  </si>
  <si>
    <t>KZT</t>
  </si>
  <si>
    <t>CAD</t>
  </si>
  <si>
    <t>CNY</t>
  </si>
  <si>
    <t>MDL</t>
  </si>
  <si>
    <t>NOK</t>
  </si>
  <si>
    <t>PLN</t>
  </si>
  <si>
    <t>руб.</t>
  </si>
  <si>
    <t>RON</t>
  </si>
  <si>
    <t>TRY</t>
  </si>
  <si>
    <t>грн.</t>
  </si>
  <si>
    <t>GBP</t>
  </si>
  <si>
    <t>CZK</t>
  </si>
  <si>
    <t>CHF</t>
  </si>
  <si>
    <t>JPY</t>
  </si>
  <si>
    <t>тыс. ***</t>
  </si>
  <si>
    <t>млн. ***</t>
  </si>
  <si>
    <t>Инвестиционная фаза</t>
  </si>
  <si>
    <t>Инвестиционная фаза проекта</t>
  </si>
  <si>
    <t>Инвестфаза</t>
  </si>
  <si>
    <t>Цвет заголовков таблиц</t>
  </si>
  <si>
    <t>Цвет заголовков таблиц (для инвестиционного периода)</t>
  </si>
  <si>
    <t>Налоги</t>
  </si>
  <si>
    <t>Планирование возврата переплаченного НДС</t>
  </si>
  <si>
    <t>Зачитывать при будущих расчетах</t>
  </si>
  <si>
    <t>Возврат переплаченных сумм из бюджета</t>
  </si>
  <si>
    <t>Налог на добавленную стоимость</t>
  </si>
  <si>
    <t>Налог на прибыль</t>
  </si>
  <si>
    <t>Налог на имущество</t>
  </si>
  <si>
    <t>Налог с оборота (для упрощенной системы)</t>
  </si>
  <si>
    <t>Периодичность выплаты налога, месяцев</t>
  </si>
  <si>
    <t>Ставка налога</t>
  </si>
  <si>
    <t>Налог с дохода, уменьшенного на расходы (УСН, ЕСХН)</t>
  </si>
  <si>
    <t>возврат из бюджета</t>
  </si>
  <si>
    <t>ИНВЕСТИЦИИ В ОСНОВНЫЕ СРЕДСТВА</t>
  </si>
  <si>
    <t>Земля</t>
  </si>
  <si>
    <t>Здания и сооружения</t>
  </si>
  <si>
    <t>Оборудование</t>
  </si>
  <si>
    <t>Нематериальные активы</t>
  </si>
  <si>
    <t>Итого: Земля</t>
  </si>
  <si>
    <t>Добавить...</t>
  </si>
  <si>
    <t>Удалить</t>
  </si>
  <si>
    <t>Закрыть</t>
  </si>
  <si>
    <t>Валюта</t>
  </si>
  <si>
    <t>Добавить</t>
  </si>
  <si>
    <t>Массовое добавление:</t>
  </si>
  <si>
    <t>элементов</t>
  </si>
  <si>
    <t>Название единицы измерения:</t>
  </si>
  <si>
    <t>Валюта:</t>
  </si>
  <si>
    <t>Вы действительно хотите удалить выделенные пункты?</t>
  </si>
  <si>
    <t>Полный список всех разделов и таблиц:</t>
  </si>
  <si>
    <t>Листы модели:</t>
  </si>
  <si>
    <t>Версия модели:</t>
  </si>
  <si>
    <t>Дата выпуска:</t>
  </si>
  <si>
    <t>Номер лицензии:</t>
  </si>
  <si>
    <t>Навигатор</t>
  </si>
  <si>
    <t>ФИНАНСОВЫЕ ВЛОЖЕНИЯ</t>
  </si>
  <si>
    <t>Долгосрочные вложения</t>
  </si>
  <si>
    <t>Краткосрочные вложения</t>
  </si>
  <si>
    <t>Добавить из списка</t>
  </si>
  <si>
    <t>Таблица</t>
  </si>
  <si>
    <t>Раздел</t>
  </si>
  <si>
    <t>Счетчик уникальных номеров</t>
  </si>
  <si>
    <t>Составить отчет…</t>
  </si>
  <si>
    <t>Печать…</t>
  </si>
  <si>
    <t>Экспорт в новый файл MS Excel…</t>
  </si>
  <si>
    <t>Печать отчета</t>
  </si>
  <si>
    <t>Повторять первую колонку на каждой странице</t>
  </si>
  <si>
    <t>Просмотр</t>
  </si>
  <si>
    <t>&lt;пусто&gt;</t>
  </si>
  <si>
    <t>[Имя файла]</t>
  </si>
  <si>
    <t>Стр. &amp;P из &amp;N</t>
  </si>
  <si>
    <t>Сохранить ссылки на файл проекта</t>
  </si>
  <si>
    <t>Добавить данные в отчет</t>
  </si>
  <si>
    <t>Очистить лист</t>
  </si>
  <si>
    <t>Сжать интервалы данных:</t>
  </si>
  <si>
    <t>по кварталам с</t>
  </si>
  <si>
    <t>г.</t>
  </si>
  <si>
    <t>по годам с</t>
  </si>
  <si>
    <t>Выберите разделы и таблицы, которые надо добавить в отчет:</t>
  </si>
  <si>
    <t>Шаблон земельного участка</t>
  </si>
  <si>
    <t>Шаблон здания</t>
  </si>
  <si>
    <t>Шаблон оборудования</t>
  </si>
  <si>
    <t>Шаблон нематериальных активов</t>
  </si>
  <si>
    <t>Итого: Здания и сооружения, с НДС</t>
  </si>
  <si>
    <t>Итого: Оборудование, с НДС и пошлинами</t>
  </si>
  <si>
    <t>Итого: Нематериальные активы, с НДС</t>
  </si>
  <si>
    <t>график оплаты</t>
  </si>
  <si>
    <t>ранее осуществленные инвестиции</t>
  </si>
  <si>
    <t>график ввода в эксплуатацию</t>
  </si>
  <si>
    <t>выручка от продажи актива</t>
  </si>
  <si>
    <t>суммы в осн. валюте: график оплаты</t>
  </si>
  <si>
    <t>ранее осуществленные инвестици</t>
  </si>
  <si>
    <t>незавершенные инвестиции</t>
  </si>
  <si>
    <t>кредиторская задолженность</t>
  </si>
  <si>
    <t>балансовая стоимость</t>
  </si>
  <si>
    <t>прибыль/убыток от продажи актива</t>
  </si>
  <si>
    <t>график оплаты, без НДС</t>
  </si>
  <si>
    <t>ранее осуществленные инвестиции, без НДС</t>
  </si>
  <si>
    <t>график ввода в эксплуатацию, без НДС</t>
  </si>
  <si>
    <t>суммы в осн. валюте: график оплаты, без НДС</t>
  </si>
  <si>
    <t xml:space="preserve">срок полезного использования </t>
  </si>
  <si>
    <t>амортизация (бухгалтерская)</t>
  </si>
  <si>
    <t>балансовая стоимость (бухгалтерская)</t>
  </si>
  <si>
    <t>ставка НДС</t>
  </si>
  <si>
    <t>выплаченный НДС</t>
  </si>
  <si>
    <t>зачтенный НДС</t>
  </si>
  <si>
    <t>амортизация (налоговая)</t>
  </si>
  <si>
    <t>балансовая стоимость (налоговая)</t>
  </si>
  <si>
    <t>выручка от продажи актива, без НДС</t>
  </si>
  <si>
    <t>прибыль/убыток от продажи актива (бухгалтерская)</t>
  </si>
  <si>
    <t>прибыль/убыток от продажи актива (налоговая)</t>
  </si>
  <si>
    <t>НДС к выручке от продажи актива</t>
  </si>
  <si>
    <t>амортизационная премия для налоговой амортизации</t>
  </si>
  <si>
    <t>импорт оборудования</t>
  </si>
  <si>
    <t>пересечение границы при импорте</t>
  </si>
  <si>
    <t>импортная пошлина</t>
  </si>
  <si>
    <t>выручка от продажи актива (без НДС)</t>
  </si>
  <si>
    <t>Суммарные инвестиции, с НДС и пошлинами</t>
  </si>
  <si>
    <t>Земельный участок</t>
  </si>
  <si>
    <t>Подготовка территории строительства</t>
  </si>
  <si>
    <t>Проектирование здания</t>
  </si>
  <si>
    <t>Строительство здания</t>
  </si>
  <si>
    <t>Внутренняя отделка здания</t>
  </si>
  <si>
    <t>Коммуникации</t>
  </si>
  <si>
    <t>Благоустройство территории</t>
  </si>
  <si>
    <t>Основное оборудование</t>
  </si>
  <si>
    <t>Вспомогательное оборудование</t>
  </si>
  <si>
    <t>Оборудование склада</t>
  </si>
  <si>
    <t>Транспорт</t>
  </si>
  <si>
    <t>Офисная мебель, компьютеры, оргтехника</t>
  </si>
  <si>
    <t>Получение лицензии</t>
  </si>
  <si>
    <t>Разработка сайта</t>
  </si>
  <si>
    <t>Система бухгалтерского учета</t>
  </si>
  <si>
    <t>Система взаимодействия с клиентами (CRM)</t>
  </si>
  <si>
    <t>Программы для рабочих мест сотрудников</t>
  </si>
  <si>
    <t>Синие заголовки, зеленые ячейки</t>
  </si>
  <si>
    <t>Красные заголовки и розовые ячейки</t>
  </si>
  <si>
    <t>Синие заголовки, выделить инвестиционную фазу</t>
  </si>
  <si>
    <t>Оттенки серого, выделить инвестиционную фазу</t>
  </si>
  <si>
    <t>Красные заголовки, выделить инвестиционную фазу</t>
  </si>
  <si>
    <t>Шаблон долгосрочных вложений</t>
  </si>
  <si>
    <t>Шаблон краткосрочных вложений</t>
  </si>
  <si>
    <t>увеличение финансовых вложений</t>
  </si>
  <si>
    <t>снижение финансовых вложений (возврат)</t>
  </si>
  <si>
    <t xml:space="preserve">доход </t>
  </si>
  <si>
    <t>финансовые вложения на конец периода</t>
  </si>
  <si>
    <t>финансовые вложения на начало периода</t>
  </si>
  <si>
    <t>на начало периода (без учета изменения курса)</t>
  </si>
  <si>
    <t>на конец периода (без учета изменения курса)</t>
  </si>
  <si>
    <t>Display options</t>
  </si>
  <si>
    <t>Language of the model and dialogs</t>
  </si>
  <si>
    <t>Colors used in the model</t>
  </si>
  <si>
    <t>Load color scheme from the library:</t>
  </si>
  <si>
    <t>Table headers color</t>
  </si>
  <si>
    <t>Editable cells color</t>
  </si>
  <si>
    <t>Remove all macros and/or formulas…</t>
  </si>
  <si>
    <t>Standard</t>
  </si>
  <si>
    <t>Blue headers, green editable cells</t>
  </si>
  <si>
    <t>Gray scale</t>
  </si>
  <si>
    <t>Red headers, rose editable cells</t>
  </si>
  <si>
    <t>Green headers, highlight the investment stage</t>
  </si>
  <si>
    <t>Blue headers, highlight the investment stage</t>
  </si>
  <si>
    <t>Gray scale, highlight the investment stage</t>
  </si>
  <si>
    <t>Red headers, highlight the investment stage</t>
  </si>
  <si>
    <t>Custom settings</t>
  </si>
  <si>
    <t>Create report…</t>
  </si>
  <si>
    <t>Print…</t>
  </si>
  <si>
    <t>mon</t>
  </si>
  <si>
    <t>q.</t>
  </si>
  <si>
    <t>years</t>
  </si>
  <si>
    <t>d.</t>
  </si>
  <si>
    <t>First period will have partial length</t>
  </si>
  <si>
    <t>Australian dollar</t>
  </si>
  <si>
    <t>Hungarian forint</t>
  </si>
  <si>
    <t>Danish krone</t>
  </si>
  <si>
    <t>United States dollar</t>
  </si>
  <si>
    <t>Euro</t>
  </si>
  <si>
    <t>Indian rupee</t>
  </si>
  <si>
    <t>Kazakhstani tenge</t>
  </si>
  <si>
    <t>Canadian dollar</t>
  </si>
  <si>
    <t>Chinese renminbi</t>
  </si>
  <si>
    <t>Moldovan leu</t>
  </si>
  <si>
    <t>Norwegian krone</t>
  </si>
  <si>
    <t>Polish zloty</t>
  </si>
  <si>
    <t>Russian ruble</t>
  </si>
  <si>
    <t>Romanian leu</t>
  </si>
  <si>
    <t>Turkish new lira</t>
  </si>
  <si>
    <t>Ukrainian hryvnia</t>
  </si>
  <si>
    <t>British pound</t>
  </si>
  <si>
    <t>Czech koruna</t>
  </si>
  <si>
    <t>Swiss franc</t>
  </si>
  <si>
    <t>Japanese yen</t>
  </si>
  <si>
    <t>do not use</t>
  </si>
  <si>
    <t>Currencies and inflation</t>
  </si>
  <si>
    <t>Main currency</t>
  </si>
  <si>
    <t>Second currency</t>
  </si>
  <si>
    <t>Third currency</t>
  </si>
  <si>
    <t>Currency of reports</t>
  </si>
  <si>
    <t>*** 000</t>
  </si>
  <si>
    <t>***M</t>
  </si>
  <si>
    <t>RUR</t>
  </si>
  <si>
    <t>Inflation adjustment</t>
  </si>
  <si>
    <t>Forecast prices (inflation adjustment)</t>
  </si>
  <si>
    <t>Constant prices (without inflation adjustment)</t>
  </si>
  <si>
    <t>UAH</t>
  </si>
  <si>
    <t>Investment stage</t>
  </si>
  <si>
    <t>periods</t>
  </si>
  <si>
    <t>Table headers color (for the investment stage)</t>
  </si>
  <si>
    <t>Taxes</t>
  </si>
  <si>
    <t>Offset method for overpaid VAT</t>
  </si>
  <si>
    <t>Used to offset future payments</t>
  </si>
  <si>
    <t>Returned by tax authorities</t>
  </si>
  <si>
    <t>Value added tax</t>
  </si>
  <si>
    <t>Income tax</t>
  </si>
  <si>
    <t>Payroll taxes</t>
  </si>
  <si>
    <t>Property tax</t>
  </si>
  <si>
    <t>Sales tax</t>
  </si>
  <si>
    <t>Income tax, cash basis</t>
  </si>
  <si>
    <t>Add…</t>
  </si>
  <si>
    <t>Insert space</t>
  </si>
  <si>
    <t>Delete</t>
  </si>
  <si>
    <t>Close</t>
  </si>
  <si>
    <t>Item name</t>
  </si>
  <si>
    <t>Currency</t>
  </si>
  <si>
    <t>Add</t>
  </si>
  <si>
    <t>Name:</t>
  </si>
  <si>
    <t>Create multiple copies of the item:</t>
  </si>
  <si>
    <t>copies</t>
  </si>
  <si>
    <t>Enter prices and volumes</t>
  </si>
  <si>
    <t>Unit name</t>
  </si>
  <si>
    <t>Currency:</t>
  </si>
  <si>
    <t>Nothing to delete. The list is empty</t>
  </si>
  <si>
    <t>Nothing to delete. No item is selected</t>
  </si>
  <si>
    <t>Do you really want to delete selected items?</t>
  </si>
  <si>
    <t>List of all tables:</t>
  </si>
  <si>
    <t>Version:</t>
  </si>
  <si>
    <t>Build date:</t>
  </si>
  <si>
    <t>License number:</t>
  </si>
  <si>
    <t>Navigator</t>
  </si>
  <si>
    <t>Add from the list</t>
  </si>
  <si>
    <t>Добавить из списка…</t>
  </si>
  <si>
    <t>Choose sample items to add them to the project</t>
  </si>
  <si>
    <t>Section</t>
  </si>
  <si>
    <t>Print report</t>
  </si>
  <si>
    <t>Repeat first column on every page</t>
  </si>
  <si>
    <t>Preview</t>
  </si>
  <si>
    <t>&lt;empty&gt;</t>
  </si>
  <si>
    <t>[Date], [Time]</t>
  </si>
  <si>
    <t>[File name]</t>
  </si>
  <si>
    <t>Page &amp;P of &amp;N</t>
  </si>
  <si>
    <t>Page [No.] of [Number]</t>
  </si>
  <si>
    <t>Report will be copied to a new Excel file</t>
  </si>
  <si>
    <t>Copy to a new Excel file</t>
  </si>
  <si>
    <t>Copy to a new Excel file…</t>
  </si>
  <si>
    <t>Retain links to the project file</t>
  </si>
  <si>
    <t>Add data to the report</t>
  </si>
  <si>
    <t>Select table to add to the report</t>
  </si>
  <si>
    <t>Clear report</t>
  </si>
  <si>
    <t>Condense periods</t>
  </si>
  <si>
    <t>by years from</t>
  </si>
  <si>
    <t>by quart. from</t>
  </si>
  <si>
    <t>Sheets:</t>
  </si>
  <si>
    <t>Номер версии</t>
  </si>
  <si>
    <t>ставка на расчетный период</t>
  </si>
  <si>
    <t>Не учитывать</t>
  </si>
  <si>
    <t>Курс к основной валюте</t>
  </si>
  <si>
    <t>Protected with password</t>
  </si>
  <si>
    <t>Protected</t>
  </si>
  <si>
    <t>Not protected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</si>
  <si>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</si>
  <si>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</si>
  <si>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</si>
  <si>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</si>
  <si>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</si>
  <si>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</si>
  <si>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</si>
  <si>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</si>
  <si>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</si>
  <si>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</si>
  <si>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</si>
  <si>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offset to future liabilities</t>
  </si>
  <si>
    <t>repaid</t>
  </si>
  <si>
    <t>Project name</t>
  </si>
  <si>
    <t>No name</t>
  </si>
  <si>
    <t>DISPLAY OPTIONS</t>
  </si>
  <si>
    <t>Language of the interface and reports</t>
  </si>
  <si>
    <t>Protection of the data</t>
  </si>
  <si>
    <t>Color scheme</t>
  </si>
  <si>
    <t>START DATE AND DURATION</t>
  </si>
  <si>
    <t>Project start date</t>
  </si>
  <si>
    <t>Project duration</t>
  </si>
  <si>
    <t>Duration of the investment stage</t>
  </si>
  <si>
    <t>Planning step duration</t>
  </si>
  <si>
    <t>Project start year</t>
  </si>
  <si>
    <t>Project start month</t>
  </si>
  <si>
    <t>Period number</t>
  </si>
  <si>
    <t>Period start date</t>
  </si>
  <si>
    <t>Period end date</t>
  </si>
  <si>
    <t>Period year</t>
  </si>
  <si>
    <t>Period start month</t>
  </si>
  <si>
    <t>Duration of the period, days</t>
  </si>
  <si>
    <t>Duration of the period, months</t>
  </si>
  <si>
    <t>Partial period (1 - yes)?</t>
  </si>
  <si>
    <t>Partial period factor</t>
  </si>
  <si>
    <t>Period name for the headers</t>
  </si>
  <si>
    <t>ПРОДАЖИ</t>
  </si>
  <si>
    <t>ПОСТОЯННЫЕ ИЗДЕРЖКИ</t>
  </si>
  <si>
    <t>Производственные издержки</t>
  </si>
  <si>
    <t>Коммерческие издержки</t>
  </si>
  <si>
    <t>Управленческие издержки</t>
  </si>
  <si>
    <t>Итого: Производственные издержки, с НДС</t>
  </si>
  <si>
    <t>Всего постоянных издержек, с НДС</t>
  </si>
  <si>
    <t>период появления затрат</t>
  </si>
  <si>
    <t>темп изменения цен</t>
  </si>
  <si>
    <t>коэффициент изменения цен</t>
  </si>
  <si>
    <t>НДС начисленный</t>
  </si>
  <si>
    <t>ед.</t>
  </si>
  <si>
    <t>Стоимость объекта аренды (без НДС)</t>
  </si>
  <si>
    <t>Период начала аренды</t>
  </si>
  <si>
    <t>Срок аренды</t>
  </si>
  <si>
    <t>Ставка доходности лизинговой компании</t>
  </si>
  <si>
    <t>Авансовый платеж по аренде</t>
  </si>
  <si>
    <t>дней</t>
  </si>
  <si>
    <t>График арендных платежей (без НДС)</t>
  </si>
  <si>
    <t>Шаблон без графика платежей</t>
  </si>
  <si>
    <t>Шаблон с графиком платежей</t>
  </si>
  <si>
    <t>Известен плановый график платежей по лизингу</t>
  </si>
  <si>
    <t>расчет затрат с учетом инфляции, без НДС</t>
  </si>
  <si>
    <t>месяц</t>
  </si>
  <si>
    <t>квартал</t>
  </si>
  <si>
    <t>год</t>
  </si>
  <si>
    <t>month</t>
  </si>
  <si>
    <t>quarter</t>
  </si>
  <si>
    <t>year</t>
  </si>
  <si>
    <t>объем продаж за период</t>
  </si>
  <si>
    <t>выручка от реализации, без НДС</t>
  </si>
  <si>
    <t>дебиторская задолженность</t>
  </si>
  <si>
    <t xml:space="preserve">авансы полученные </t>
  </si>
  <si>
    <t>акцизы, на единицу</t>
  </si>
  <si>
    <t>акцизы начисленные</t>
  </si>
  <si>
    <t>средний период предоплаты</t>
  </si>
  <si>
    <t>средний период отсрочки платежа</t>
  </si>
  <si>
    <t>ПЕРСОНАЛ</t>
  </si>
  <si>
    <t>численность</t>
  </si>
  <si>
    <t>человек</t>
  </si>
  <si>
    <t>средний оклад, в месяц</t>
  </si>
  <si>
    <t>заработная плата</t>
  </si>
  <si>
    <t>за период</t>
  </si>
  <si>
    <t>заработная плата сотрудников, в месяц</t>
  </si>
  <si>
    <t>Производственный персонал</t>
  </si>
  <si>
    <t>Коммерческий персонал</t>
  </si>
  <si>
    <t>Административный персонал</t>
  </si>
  <si>
    <t>затраты в запасах готовой продукции</t>
  </si>
  <si>
    <t>периодичность отгрузки</t>
  </si>
  <si>
    <t>затраты в незавершенном производстве</t>
  </si>
  <si>
    <t>длительность производственного цикла</t>
  </si>
  <si>
    <t>списано на продажи</t>
  </si>
  <si>
    <t>задолженность по заработной плате</t>
  </si>
  <si>
    <t>периодичность выплаты заработной платы</t>
  </si>
  <si>
    <t>задолженность перед внебюджетными фондами</t>
  </si>
  <si>
    <t>оплата расходов на заработную плату</t>
  </si>
  <si>
    <t>СОБСТВЕННЫЙ КАПИТАЛ</t>
  </si>
  <si>
    <t>Наименование</t>
  </si>
  <si>
    <t>вложение собственных средств</t>
  </si>
  <si>
    <t>Итого: Вложение собственных средств</t>
  </si>
  <si>
    <t>КРЕДИТЫ</t>
  </si>
  <si>
    <t>Долгосрочные кредиты</t>
  </si>
  <si>
    <t>Краткосрочные кредиты</t>
  </si>
  <si>
    <t>ставка процентов по кредиту</t>
  </si>
  <si>
    <t>отсрочка выплаты процентов</t>
  </si>
  <si>
    <t>капитализация невыплаченных процентов</t>
  </si>
  <si>
    <t>поступление денег от кредита</t>
  </si>
  <si>
    <t>погашение кредита</t>
  </si>
  <si>
    <t>начисленные проценты</t>
  </si>
  <si>
    <t>выплаченные проценты</t>
  </si>
  <si>
    <t>задолженность по кредиту</t>
  </si>
  <si>
    <t>период начала кредитования</t>
  </si>
  <si>
    <t>отнесение процентов на стоимость основных средств</t>
  </si>
  <si>
    <t>период ввода основных средств</t>
  </si>
  <si>
    <t>срок амортизации основных средств</t>
  </si>
  <si>
    <t>списание процентов на затраты</t>
  </si>
  <si>
    <t>Шаблон долгосрочного кредита</t>
  </si>
  <si>
    <t>Шаблон краткосрочного кредита</t>
  </si>
  <si>
    <t>Итого:</t>
  </si>
  <si>
    <t>Автоматический подбор кредита</t>
  </si>
  <si>
    <t>Подобрать график поступления и возврата кредитных средств для плановых периодов в интервале:</t>
  </si>
  <si>
    <t>от</t>
  </si>
  <si>
    <t>до</t>
  </si>
  <si>
    <t>периода</t>
  </si>
  <si>
    <t>Минимальный остаток на счете:</t>
  </si>
  <si>
    <t>При выплатах обеспечивать коэффициент покрытия долга не ниже, чем:</t>
  </si>
  <si>
    <t>Подобрать кредит...</t>
  </si>
  <si>
    <t>СЫРЬЕ И МАТЕРИАЛЬНЫЕ ЗАТРАТЫ</t>
  </si>
  <si>
    <t>запасы сырья и материалов</t>
  </si>
  <si>
    <t>периодичность закупки</t>
  </si>
  <si>
    <t>общий расход за период, без НДС</t>
  </si>
  <si>
    <t>период отсрочки платежа</t>
  </si>
  <si>
    <t>авансы уплаченные</t>
  </si>
  <si>
    <t>период предоплаты</t>
  </si>
  <si>
    <t>ставка импортной пошлины</t>
  </si>
  <si>
    <t>пошлины начисленные</t>
  </si>
  <si>
    <t>END::SETUP</t>
  </si>
  <si>
    <t>END::TAX</t>
  </si>
  <si>
    <t>END::CURRENCY</t>
  </si>
  <si>
    <t>END::DISCOUNT</t>
  </si>
  <si>
    <t>Установить защиту модели</t>
  </si>
  <si>
    <t>END::GENERAL</t>
  </si>
  <si>
    <t>Цвет редактируемых ячеек</t>
  </si>
  <si>
    <t>Зеленые заголовки, выделить инвестиционную фазу</t>
  </si>
  <si>
    <t>Защитить модель от изменения…</t>
  </si>
  <si>
    <t>Снять защиту модели…</t>
  </si>
  <si>
    <t>Неправильный пароль.</t>
  </si>
  <si>
    <t>Incorrect password.</t>
  </si>
  <si>
    <t>Удалить макросы и формулы</t>
  </si>
  <si>
    <t>Снять защиту модели</t>
  </si>
  <si>
    <t>Защита модели</t>
  </si>
  <si>
    <t>PeriodBeg</t>
  </si>
  <si>
    <t>PeriodEnd</t>
  </si>
  <si>
    <t>PeriodYear</t>
  </si>
  <si>
    <t>PeriodMonth</t>
  </si>
  <si>
    <t>PeriodTitle</t>
  </si>
  <si>
    <t>PeriodLen</t>
  </si>
  <si>
    <t>Известна только стоимость объекта и процентные ставки лизинга</t>
  </si>
  <si>
    <t>график оплаты (без НДС)</t>
  </si>
  <si>
    <t>в том числе НДС</t>
  </si>
  <si>
    <t>Cur1</t>
  </si>
  <si>
    <t>Row=6</t>
  </si>
  <si>
    <t>Cur2</t>
  </si>
  <si>
    <t>Cur3</t>
  </si>
  <si>
    <t>Tax1</t>
  </si>
  <si>
    <t>Tax2</t>
  </si>
  <si>
    <t>Row=7</t>
  </si>
  <si>
    <t>Tax3</t>
  </si>
  <si>
    <t>Row=10</t>
  </si>
  <si>
    <t>Tax4</t>
  </si>
  <si>
    <t>Tax5</t>
  </si>
  <si>
    <t>Row=5</t>
  </si>
  <si>
    <t>Tax6</t>
  </si>
  <si>
    <t>СЦЕНАРИИ ПРОЕКТА</t>
  </si>
  <si>
    <t>END::SCEN</t>
  </si>
  <si>
    <t>Текущий сценарий</t>
  </si>
  <si>
    <t>END::LOAN</t>
  </si>
  <si>
    <t>Section=2</t>
  </si>
  <si>
    <t>ОТЧЕТ О ПРИБЫЛЯХ И УБЫТКАХ</t>
  </si>
  <si>
    <t>Выручка</t>
  </si>
  <si>
    <t>Себестоимость:</t>
  </si>
  <si>
    <t>Суммарная себестоимость</t>
  </si>
  <si>
    <t>Валовая прибыль</t>
  </si>
  <si>
    <t>EBITDA</t>
  </si>
  <si>
    <t>Прибыль (убыток) от операционной деятельности</t>
  </si>
  <si>
    <t>Прибыль до налогообложения</t>
  </si>
  <si>
    <t>Чистая прибыль (убыток)</t>
  </si>
  <si>
    <t>ОТЧЕТ О ДВИЖЕНИИ ДЕНЕЖНЫХ СРЕДСТВ</t>
  </si>
  <si>
    <t>Денежные потоки от операционной деятельности</t>
  </si>
  <si>
    <t>Денежные потоки от инвестиционной деятельности</t>
  </si>
  <si>
    <t>Денежные потоки от финансовой деятельности</t>
  </si>
  <si>
    <t>Суммарный денежный поток за период</t>
  </si>
  <si>
    <t>Денежные средства на начало периода</t>
  </si>
  <si>
    <t>Денежные средства на конец периода</t>
  </si>
  <si>
    <t>БАЛАНС</t>
  </si>
  <si>
    <t>Суммарные оборотные активы</t>
  </si>
  <si>
    <t>Суммарные внеоборотные активы</t>
  </si>
  <si>
    <t>ИТОГО АКТИВОВ</t>
  </si>
  <si>
    <t>Суммарные краткосрочные обязательства</t>
  </si>
  <si>
    <t>Суммарные долгосрочные обязательства</t>
  </si>
  <si>
    <t>Суммарный собственный капитал</t>
  </si>
  <si>
    <t>ИТОГО ПАССИВОВ</t>
  </si>
  <si>
    <t>ПОКАЗАТЕЛИ ДОЛГА</t>
  </si>
  <si>
    <t>TD / EBITDA</t>
  </si>
  <si>
    <t>Покрытие выплаты долга, DSCR</t>
  </si>
  <si>
    <t>Отношение Долг / Собственный капитал</t>
  </si>
  <si>
    <t>Доля кредитов в источниках финансирования</t>
  </si>
  <si>
    <t>РЕНТАБЕЛЬНОСТЬ И ОБОРАЧИВАЕМОСТЬ</t>
  </si>
  <si>
    <t>Рентабельность продаж по чистой прибыли, NPM</t>
  </si>
  <si>
    <t>Рентабельность продаж по EBITDA</t>
  </si>
  <si>
    <t>Рентабельность собственного капитала, ROE</t>
  </si>
  <si>
    <t>Рентабельность инвестированного капитала, ROIC</t>
  </si>
  <si>
    <t>Рентабельность суммарных активов, ROTA</t>
  </si>
  <si>
    <t>Рентабельность внеоборотных активов, ROFA</t>
  </si>
  <si>
    <t>Период сбора дебиторской задолженности</t>
  </si>
  <si>
    <t>Период хранения запасов продукции</t>
  </si>
  <si>
    <t>Период хранения сырья и материалов</t>
  </si>
  <si>
    <t>Оборачиваемость внеоборотных активов</t>
  </si>
  <si>
    <t>раз</t>
  </si>
  <si>
    <t>Ставка дисконтирования</t>
  </si>
  <si>
    <t>Скорректированные проценты по кредитам, * (1 - налог)</t>
  </si>
  <si>
    <t>Свободный денежный поток компании, FCFF</t>
  </si>
  <si>
    <t>Дисконтированный денежный поток</t>
  </si>
  <si>
    <t>Дисконтированный поток нарастающим итогом</t>
  </si>
  <si>
    <t>Чистая приведенная стоимость, NPV</t>
  </si>
  <si>
    <t>Внутренняя норма рентабельности, IRR</t>
  </si>
  <si>
    <t>Дисконтированный срок окупаемости, PBP</t>
  </si>
  <si>
    <t>Модифицированная IRR, MIRR</t>
  </si>
  <si>
    <t>END::ROI</t>
  </si>
  <si>
    <t>Верхний колонтитул</t>
  </si>
  <si>
    <t>Нижний колонтитул</t>
  </si>
  <si>
    <t>Слева</t>
  </si>
  <si>
    <t>Справа</t>
  </si>
  <si>
    <t>[Дата] [Время]</t>
  </si>
  <si>
    <t>Экспорт отчета в новый файл Excel</t>
  </si>
  <si>
    <t>Отчет будет перенесен в новый файл Excel</t>
  </si>
  <si>
    <t>Header</t>
  </si>
  <si>
    <t>Footer</t>
  </si>
  <si>
    <t>Left</t>
  </si>
  <si>
    <t>Right</t>
  </si>
  <si>
    <t>END::BALANCE</t>
  </si>
  <si>
    <t>END::PROFIT</t>
  </si>
  <si>
    <t>END::CASH</t>
  </si>
  <si>
    <t>HeaderL=2;HeaderR=3;FooterL=4;FooterR=5;Repeat=0;</t>
  </si>
  <si>
    <t>END::BRA</t>
  </si>
  <si>
    <t>TOTAL</t>
  </si>
  <si>
    <t>END::EQUITY</t>
  </si>
  <si>
    <t>DATA1</t>
  </si>
  <si>
    <t>DATA2</t>
  </si>
  <si>
    <t>DATA</t>
  </si>
  <si>
    <t>Шаблон</t>
  </si>
  <si>
    <t>сырье и материалы</t>
  </si>
  <si>
    <t>прочие производственные расходы</t>
  </si>
  <si>
    <t>Административные расходы</t>
  </si>
  <si>
    <t>Коммерческие расходы</t>
  </si>
  <si>
    <t>Налоги и сборы</t>
  </si>
  <si>
    <t>Лизинговые платежи</t>
  </si>
  <si>
    <t>Амортизация</t>
  </si>
  <si>
    <t>Доходы от реализации внеоборотных активов</t>
  </si>
  <si>
    <t>Прочие доходы</t>
  </si>
  <si>
    <t>Прочие расходы</t>
  </si>
  <si>
    <t>Выплаченные дивиденды</t>
  </si>
  <si>
    <t>END::FIXED</t>
  </si>
  <si>
    <t>DATA3</t>
  </si>
  <si>
    <t>Необходимо выбрать пункты для удаления.</t>
  </si>
  <si>
    <t>Поступления кредитов</t>
  </si>
  <si>
    <t>Учитывать рыночную стоимость начальных активов?</t>
  </si>
  <si>
    <t>Учитывать продленную стоимость?</t>
  </si>
  <si>
    <t>END::FCFF</t>
  </si>
  <si>
    <t>END::FCFE</t>
  </si>
  <si>
    <t>END::CFADS</t>
  </si>
  <si>
    <t>Поступления собственного капитала</t>
  </si>
  <si>
    <t>END::TAXR</t>
  </si>
  <si>
    <t>Mode=sum</t>
  </si>
  <si>
    <t>Mode=end</t>
  </si>
  <si>
    <t>Mode=beg</t>
  </si>
  <si>
    <t>Mode=avg</t>
  </si>
  <si>
    <t>Init=1;Mode=avg</t>
  </si>
  <si>
    <t>pay</t>
  </si>
  <si>
    <t>credit</t>
  </si>
  <si>
    <t>inprogress</t>
  </si>
  <si>
    <t>sale</t>
  </si>
  <si>
    <t>depracc</t>
  </si>
  <si>
    <t>valacc</t>
  </si>
  <si>
    <t>vatpaid</t>
  </si>
  <si>
    <t>vataccrued</t>
  </si>
  <si>
    <t>deptax</t>
  </si>
  <si>
    <t>valtax</t>
  </si>
  <si>
    <t>profitacc</t>
  </si>
  <si>
    <t>profittax</t>
  </si>
  <si>
    <t>vatsale</t>
  </si>
  <si>
    <t>tariff</t>
  </si>
  <si>
    <t>раз в год</t>
  </si>
  <si>
    <t>Налог с оборота</t>
  </si>
  <si>
    <t>Налог с дохода, уменьшенного на расходы</t>
  </si>
  <si>
    <t>Суммарные налоговые и социальные выплаты</t>
  </si>
  <si>
    <t>Валюта отчетности и ее курс к основной валюте</t>
  </si>
  <si>
    <t>НАЛОГОВЫЕ ПЛАТЕЖИ</t>
  </si>
  <si>
    <t>Акционерный капитал (с учетом начального баланса)</t>
  </si>
  <si>
    <t>END::FINANCE</t>
  </si>
  <si>
    <t>END::LEASE</t>
  </si>
  <si>
    <t>Section=3</t>
  </si>
  <si>
    <t>END::EXPENSE</t>
  </si>
  <si>
    <t>Шаблон издержки без единиц</t>
  </si>
  <si>
    <t>Шаблон издержки с единицами</t>
  </si>
  <si>
    <t>Шаблон персонала без численности</t>
  </si>
  <si>
    <t>Шаблон персонала с численностью</t>
  </si>
  <si>
    <t>END::STAFF</t>
  </si>
  <si>
    <t>salary</t>
  </si>
  <si>
    <t>vat</t>
  </si>
  <si>
    <t>сумма без НДС</t>
  </si>
  <si>
    <t>Итого: Коммерческие издержки, с НДС</t>
  </si>
  <si>
    <t>Итого: Управленческие издержки, с НДС</t>
  </si>
  <si>
    <t>Шаблон продажи с единицами</t>
  </si>
  <si>
    <t>Шаблон продажи без единиц</t>
  </si>
  <si>
    <t>коэффициент загрузки</t>
  </si>
  <si>
    <t>Настройки печати</t>
  </si>
  <si>
    <t>Section=3;Default=1</t>
  </si>
  <si>
    <t>Section=4;Default=1</t>
  </si>
  <si>
    <t>FIXED</t>
  </si>
  <si>
    <t>день</t>
  </si>
  <si>
    <t>day</t>
  </si>
  <si>
    <t>Список</t>
  </si>
  <si>
    <t>Item list</t>
  </si>
  <si>
    <t>Разделитель</t>
  </si>
  <si>
    <t>Add item</t>
  </si>
  <si>
    <t>&lt;название&gt;</t>
  </si>
  <si>
    <t>&lt;name&gt;</t>
  </si>
  <si>
    <t>Необходимо указать наименование пункта.</t>
  </si>
  <si>
    <t>Использовать детализацию "физический объем * цена"</t>
  </si>
  <si>
    <t>Использовать детализацию "численность * оклад"</t>
  </si>
  <si>
    <t>Наименование статьи</t>
  </si>
  <si>
    <t>Выберите стандартные статьи, которые Вы хотите добавить в проект</t>
  </si>
  <si>
    <t>EXPENSE</t>
  </si>
  <si>
    <t>Необходимо выбрать кредит для подбора графика.</t>
  </si>
  <si>
    <t>Наименование:</t>
  </si>
  <si>
    <t>Сейчас модель не использует сценарии</t>
  </si>
  <si>
    <t>Сценарий</t>
  </si>
  <si>
    <t>Настройка сценариев</t>
  </si>
  <si>
    <t>Использовать несколько сценариев</t>
  </si>
  <si>
    <t>Количество сценариев:</t>
  </si>
  <si>
    <t>Необходимо выбрать хотя бы один параметр.</t>
  </si>
  <si>
    <t>Все параметры будут удалены?</t>
  </si>
  <si>
    <t>Слишком много параметров.</t>
  </si>
  <si>
    <t>Список параметров пуст.</t>
  </si>
  <si>
    <t>Необходимо выбрать параметры для удаления.</t>
  </si>
  <si>
    <t>Вы действительно хотите удалить выбранные параметры?</t>
  </si>
  <si>
    <t>y.</t>
  </si>
  <si>
    <t>Добавить параметр</t>
  </si>
  <si>
    <t>Где находится параметр:</t>
  </si>
  <si>
    <t>Название параметра:</t>
  </si>
  <si>
    <t>Тип параметра:</t>
  </si>
  <si>
    <t>Константа (значение в колонке B)</t>
  </si>
  <si>
    <t>Ряд (значения в колонках периодов)</t>
  </si>
  <si>
    <t>Выбранные Вами данные теперь будут редактироваться на листе Сценарии и для каждого сценария можно будет указать свое значение.</t>
  </si>
  <si>
    <t>Неправильная ссылка.</t>
  </si>
  <si>
    <t>Необходимо выбрать одну строку.</t>
  </si>
  <si>
    <t>Параметр не выбран.</t>
  </si>
  <si>
    <t>Необходимо указать название параметра.</t>
  </si>
  <si>
    <t>Выбранный параметр не является константой.</t>
  </si>
  <si>
    <t>Выбранный параметр не является рядом.</t>
  </si>
  <si>
    <t>Вариант</t>
  </si>
  <si>
    <t>Variant</t>
  </si>
  <si>
    <t>Параметры, которые устанавливаются для каждого сценария:</t>
  </si>
  <si>
    <t>Шаблон материала с единицами</t>
  </si>
  <si>
    <t>END::MATERIAL</t>
  </si>
  <si>
    <t>Итого: Материальные затраты</t>
  </si>
  <si>
    <t>Шаблон материала без единиц</t>
  </si>
  <si>
    <t>price</t>
  </si>
  <si>
    <t>count</t>
  </si>
  <si>
    <t>wage</t>
  </si>
  <si>
    <t>END::PRODUCT</t>
  </si>
  <si>
    <t>Привязать объем расхода к производству продуктов:</t>
  </si>
  <si>
    <t>Count=0;Item=0;</t>
  </si>
  <si>
    <t>текст</t>
  </si>
  <si>
    <t>Пересчитать</t>
  </si>
  <si>
    <t>ГРАФИК ЧУВСТВИТЕЛЬНОСТИ</t>
  </si>
  <si>
    <t>Столбцы:</t>
  </si>
  <si>
    <t>Объем продаж</t>
  </si>
  <si>
    <t>с шагом</t>
  </si>
  <si>
    <t>Результат:</t>
  </si>
  <si>
    <t>Таблица данных</t>
  </si>
  <si>
    <t>Настройки анализа чувствительности</t>
  </si>
  <si>
    <t>Исходные параметры:</t>
  </si>
  <si>
    <t>Название параметра</t>
  </si>
  <si>
    <t>Имя области</t>
  </si>
  <si>
    <t>Проценты?</t>
  </si>
  <si>
    <t>Цены продаж</t>
  </si>
  <si>
    <t>Sens_Price</t>
  </si>
  <si>
    <t>Инвестиции в основные средства</t>
  </si>
  <si>
    <t>Sens_Invest</t>
  </si>
  <si>
    <t>Sens_Discount</t>
  </si>
  <si>
    <t>Результаты анализа:</t>
  </si>
  <si>
    <t>Суммарная прибыль</t>
  </si>
  <si>
    <t>Sens_Profit</t>
  </si>
  <si>
    <t>Sens_NPV1</t>
  </si>
  <si>
    <t>График: EBITDA</t>
  </si>
  <si>
    <t>CHART::EBITDA</t>
  </si>
  <si>
    <t>Sens_IRR1</t>
  </si>
  <si>
    <t>CHART::SENS</t>
  </si>
  <si>
    <t>Настроить</t>
  </si>
  <si>
    <t>Setup</t>
  </si>
  <si>
    <t>Recalc</t>
  </si>
  <si>
    <t>Управлять?</t>
  </si>
  <si>
    <t>TABLE::GENERAL</t>
  </si>
  <si>
    <t>TABLE::SETUP</t>
  </si>
  <si>
    <t>TABLE::CURRENCY</t>
  </si>
  <si>
    <t>TABLE::TAX</t>
  </si>
  <si>
    <t>TABLE::DISCOUNT</t>
  </si>
  <si>
    <t>TABLE::FIXED</t>
  </si>
  <si>
    <t>TABLE::LEASE</t>
  </si>
  <si>
    <t>TABLE::FINANCE</t>
  </si>
  <si>
    <t>TABLE::PRODUCT</t>
  </si>
  <si>
    <t>TABLE::MATERIAL</t>
  </si>
  <si>
    <t>TABLE::STAFF</t>
  </si>
  <si>
    <t>TABLE::EXPENSE</t>
  </si>
  <si>
    <t>TABLE::EQUITY</t>
  </si>
  <si>
    <t>TABLE::LOAN</t>
  </si>
  <si>
    <t>TABLE::PROFIT</t>
  </si>
  <si>
    <t>TABLE::CASH</t>
  </si>
  <si>
    <t>TABLE::BALANCE</t>
  </si>
  <si>
    <t>TABLE::BRA</t>
  </si>
  <si>
    <t>TABLE::ROI</t>
  </si>
  <si>
    <t>TABLE::FCFF</t>
  </si>
  <si>
    <t>TABLE::FCFE</t>
  </si>
  <si>
    <t>TABLE::CFADS</t>
  </si>
  <si>
    <t>TABLE::TAXR</t>
  </si>
  <si>
    <t>TABLE::SCEN</t>
  </si>
  <si>
    <t>Листы проекта</t>
  </si>
  <si>
    <t>Продукты…</t>
  </si>
  <si>
    <t>Необходимо выбрать материал!</t>
  </si>
  <si>
    <t>В списке нет ни одного пункта.</t>
  </si>
  <si>
    <t>Настройка анализа чувствительности</t>
  </si>
  <si>
    <t>unit</t>
  </si>
  <si>
    <t>Расход материала</t>
  </si>
  <si>
    <t>Данные для каждого из сценариев</t>
  </si>
  <si>
    <t>Изменяемый параметр для столбцов:</t>
  </si>
  <si>
    <t>Изменяемый параметр для линий:</t>
  </si>
  <si>
    <t>Параметр, который будет использован как результат:</t>
  </si>
  <si>
    <t>Использовать несколько линий</t>
  </si>
  <si>
    <t>Неправильные настройки изменяемого параметра для столбцов!</t>
  </si>
  <si>
    <t>Неправильные настройки изменяемого параметра для линий!</t>
  </si>
  <si>
    <t>Неправильные настройки результирующего параметра!</t>
  </si>
  <si>
    <t>Книга Excel (*.xlsx),*.xlsx, Все файлы (*.*),*.*</t>
  </si>
  <si>
    <t>Сохранить проект как</t>
  </si>
  <si>
    <t>Внимание! Последние изменения в файле не сохранены. Мы рекомендуем Вам сначала сохранить рабочий файл, так как после нажатия ОК макросы и кнопки будут удалены.</t>
  </si>
  <si>
    <t>Файл не удалось сохранить, но все запрошенные данные были удалены из модели. Не сохраняйте ее под именем рабочей модели, так как это приведет к потере данных! Просто закройте модель без сохранения.</t>
  </si>
  <si>
    <t>Remove all macros and formulas</t>
  </si>
  <si>
    <t>Внимание! После нажатия ОК все макросы и кнопки будут удалены из модели. Вам будет предложено сохранить файл под новым именем.</t>
  </si>
  <si>
    <t>Не забудьте введенный пароль. Без него разблокировать модель будет невозможно!</t>
  </si>
  <si>
    <t>TABLE::STFIXED</t>
  </si>
  <si>
    <t>TABLE::STBAL</t>
  </si>
  <si>
    <t>TABLE::STLOANS</t>
  </si>
  <si>
    <t>Контроль сходимости баланса</t>
  </si>
  <si>
    <t>END::STBAL</t>
  </si>
  <si>
    <t>END::STLOANS</t>
  </si>
  <si>
    <t>Земельные участки</t>
  </si>
  <si>
    <t>График постановки на баланс:</t>
  </si>
  <si>
    <t>Оборудование и прочие активы</t>
  </si>
  <si>
    <t>Долгосрочные финансовые вложения</t>
  </si>
  <si>
    <t>первоначальная стоимость</t>
  </si>
  <si>
    <t>срок амортизации</t>
  </si>
  <si>
    <t>амортизация</t>
  </si>
  <si>
    <t>накопленная амортизация</t>
  </si>
  <si>
    <t>остаточная балансовая стоимость</t>
  </si>
  <si>
    <t>Незавершенные капвложения на начало периода</t>
  </si>
  <si>
    <t>Незавершенные капвложения на конец периода</t>
  </si>
  <si>
    <t>END::STFIXED</t>
  </si>
  <si>
    <t>Проект</t>
  </si>
  <si>
    <t>startdebt</t>
  </si>
  <si>
    <t>qty</t>
  </si>
  <si>
    <t>Идентификатор языка (если 0, то не доступен):</t>
  </si>
  <si>
    <t>PL01</t>
  </si>
  <si>
    <t>CF01</t>
  </si>
  <si>
    <t>BL01</t>
  </si>
  <si>
    <t>прибыль (убыток) от курсовой разницы</t>
  </si>
  <si>
    <t>Итого: Долгосрочные вложения на конец периода</t>
  </si>
  <si>
    <t>Итого: Краткосрочные вложения на конец периода</t>
  </si>
  <si>
    <t>Проценты к уплате</t>
  </si>
  <si>
    <t>PL02</t>
  </si>
  <si>
    <t>PL03</t>
  </si>
  <si>
    <t>PL04</t>
  </si>
  <si>
    <t>PL05</t>
  </si>
  <si>
    <t>PL07</t>
  </si>
  <si>
    <t>PL08</t>
  </si>
  <si>
    <t>PL09</t>
  </si>
  <si>
    <t>PL10</t>
  </si>
  <si>
    <t>PL11</t>
  </si>
  <si>
    <t>PL12</t>
  </si>
  <si>
    <t>PL13</t>
  </si>
  <si>
    <t>PL14</t>
  </si>
  <si>
    <t>PL15</t>
  </si>
  <si>
    <t>PL16</t>
  </si>
  <si>
    <t>PL17</t>
  </si>
  <si>
    <t>PL18</t>
  </si>
  <si>
    <t>PL19</t>
  </si>
  <si>
    <t>PL20</t>
  </si>
  <si>
    <t>PL21</t>
  </si>
  <si>
    <t>PL22</t>
  </si>
  <si>
    <t>PL23</t>
  </si>
  <si>
    <t>PL24</t>
  </si>
  <si>
    <t>TABLE::TAXPAY</t>
  </si>
  <si>
    <t>END::TAXPAY</t>
  </si>
  <si>
    <t>БЮДЖЕТНАЯ ЭФФЕКТИВНОСТЬ</t>
  </si>
  <si>
    <t>Поступления от продаж, с НДС</t>
  </si>
  <si>
    <t>Дебиторская задолженность</t>
  </si>
  <si>
    <t>Авансы полученные</t>
  </si>
  <si>
    <t>Выручка в отчете о прибылях и убытках, без НДС</t>
  </si>
  <si>
    <t>Акцизы начисленные</t>
  </si>
  <si>
    <t>TABLE::NWC</t>
  </si>
  <si>
    <t>ОБОРОТНЫЙ КАПИТАЛ</t>
  </si>
  <si>
    <t>END::NWC</t>
  </si>
  <si>
    <t>income</t>
  </si>
  <si>
    <t>cash</t>
  </si>
  <si>
    <t>receivable</t>
  </si>
  <si>
    <t>advance</t>
  </si>
  <si>
    <t>excise</t>
  </si>
  <si>
    <t>коэффициент прироста цен к предыдущему периоду</t>
  </si>
  <si>
    <t>коэффициент изменения цен к началу проекта</t>
  </si>
  <si>
    <t>объем продаж за период, без учета инфляции</t>
  </si>
  <si>
    <t>НДС уплаченный на сырье и материалы</t>
  </si>
  <si>
    <t>Итого, баланс расчетов по НДС</t>
  </si>
  <si>
    <t>Акцизы на проданные товары</t>
  </si>
  <si>
    <t>Оплата материалов и комплектующих, с НДС</t>
  </si>
  <si>
    <t>Незавершенное производство</t>
  </si>
  <si>
    <t>Запасы готовой продукции</t>
  </si>
  <si>
    <t>Кредиторская задолженность</t>
  </si>
  <si>
    <t>Авансы уплаченные</t>
  </si>
  <si>
    <t>Начисленные импортные пошлины</t>
  </si>
  <si>
    <t>Суммарные затраты в отчете о прибылях и убытках</t>
  </si>
  <si>
    <t>Затраты, без НДС и пошлин</t>
  </si>
  <si>
    <t>duties</t>
  </si>
  <si>
    <t>rawmat</t>
  </si>
  <si>
    <t>finished</t>
  </si>
  <si>
    <t>payable</t>
  </si>
  <si>
    <t>затраты на проданный товар, без НДС</t>
  </si>
  <si>
    <t>ставка акцизов, в процентах</t>
  </si>
  <si>
    <t>физический расход на проданные товары за период</t>
  </si>
  <si>
    <t>средний период оборачиваемости</t>
  </si>
  <si>
    <t>Запасы материалов и комплектующих</t>
  </si>
  <si>
    <t>Периоды?</t>
  </si>
  <si>
    <t>Задолженность по заработной плате</t>
  </si>
  <si>
    <t>Численность персонала</t>
  </si>
  <si>
    <t>производственный персонал</t>
  </si>
  <si>
    <t>Административный и коммерческий персонал</t>
  </si>
  <si>
    <t>НДС уплаченный с постоянными издержками</t>
  </si>
  <si>
    <t>оплата постоянных издержек, с НДС</t>
  </si>
  <si>
    <t>CF02</t>
  </si>
  <si>
    <t>CF03</t>
  </si>
  <si>
    <t>CF04</t>
  </si>
  <si>
    <t>CF05</t>
  </si>
  <si>
    <t>CF06</t>
  </si>
  <si>
    <t>CF07</t>
  </si>
  <si>
    <t>CF08</t>
  </si>
  <si>
    <t>CF09</t>
  </si>
  <si>
    <t>Выплата основного долга</t>
  </si>
  <si>
    <t>Проценты начисленные</t>
  </si>
  <si>
    <t>Проценты уплаченные</t>
  </si>
  <si>
    <t>Долгосрочные кредиты на конец периода</t>
  </si>
  <si>
    <t>Краткосрочные кредиты на конец периода</t>
  </si>
  <si>
    <t>out</t>
  </si>
  <si>
    <t>balance</t>
  </si>
  <si>
    <t>asasset</t>
  </si>
  <si>
    <t>Амортизация процентов в основных средствах</t>
  </si>
  <si>
    <t>intdepr</t>
  </si>
  <si>
    <t>Итого: Задолженность на конец периода</t>
  </si>
  <si>
    <t>списано на продажи в отчете о прибылях и убытках</t>
  </si>
  <si>
    <t>Программа не активирована. Изменение параметров проекта невозможно.</t>
  </si>
  <si>
    <t>Total=sum;Data=DATA1.pay;Mode=sum</t>
  </si>
  <si>
    <t>Total=sum;Data=DATA1.inprogress;Mode=end</t>
  </si>
  <si>
    <t>Total=sum;Data=DATA1.credit;Mode=end</t>
  </si>
  <si>
    <t>Total=sum;Data=DATA1.cost;Mode=end</t>
  </si>
  <si>
    <t>Total=sum;Data=DATA1.sale;Mode=sum</t>
  </si>
  <si>
    <t>Total=sum;Data=DATA1.profitacc;Mode=sum</t>
  </si>
  <si>
    <t>Total=sum;Data=DATA2.pay;Mode=sum</t>
  </si>
  <si>
    <t>Total=sum;Data=DATA2.inprogress;Mode=end</t>
  </si>
  <si>
    <t>Total=sum;Data=DATA2.credit;Mode=end</t>
  </si>
  <si>
    <t>Total=sum;Data=DATA2.depracc;Mode=sum</t>
  </si>
  <si>
    <t>Total=sum;Data=DATA2.valacc;Mode=end</t>
  </si>
  <si>
    <t>Total=sum;Data=DATA2.vatpaid;Mode=sum</t>
  </si>
  <si>
    <t>Total=sum;Data=DATA2.vataccrued;Mode=sum</t>
  </si>
  <si>
    <t>Total=sum;Data=DATA2.deptax;Mode=sum</t>
  </si>
  <si>
    <t>Total=sum;Data=DATA2.valtax;Mode=end</t>
  </si>
  <si>
    <t>Total=sum;Data=DATA2.sale;Mode=sum</t>
  </si>
  <si>
    <t>Total=sum;Data=DATA2.profitacc;Mode=sum</t>
  </si>
  <si>
    <t>Total=sum;Data=DATA2.profittax;Mode=sum</t>
  </si>
  <si>
    <t>Total=sum;Data=DATA2.vatsale;Mode=sum</t>
  </si>
  <si>
    <t>Total=sum;Data=DATA3.pay;Mode=sum</t>
  </si>
  <si>
    <t>Total=sum;Data=DATA3.tariff;Mode=sum</t>
  </si>
  <si>
    <t>Total=sum;Data=DATA3.inprogress;Mode=end</t>
  </si>
  <si>
    <t>Total=sum;Data=DATA3.credit;Mode=end</t>
  </si>
  <si>
    <t>Total=sum;Data=DATA3.depracc;Mode=sum</t>
  </si>
  <si>
    <t>Total=sum;Data=DATA3.valacc;Mode=end</t>
  </si>
  <si>
    <t>Total=sum;Data=DATA3.vatpaid;Mode=sum</t>
  </si>
  <si>
    <t>Total=sum;Data=DATA3.vataccrued;Mode=sum</t>
  </si>
  <si>
    <t>Total=sum;Data=DATA3.deptax;Mode=sum</t>
  </si>
  <si>
    <t>Total=sum;Data=DATA3.valtax;Mode=end</t>
  </si>
  <si>
    <t>Total=sum;Data=DATA3.sale;Mode=sum</t>
  </si>
  <si>
    <t>Total=sum;Data=DATA3.profitacc;Mode=sum</t>
  </si>
  <si>
    <t>Total=sum;Data=DATA3.profittax;Mode=sum</t>
  </si>
  <si>
    <t>Total=sum;Data=DATA3.vatsale;Mode=sum</t>
  </si>
  <si>
    <t>Total=sum;Data=DATA4.pay;Mode=sum</t>
  </si>
  <si>
    <t>Total=sum;Data=DATA4.inprogress;Mode=end</t>
  </si>
  <si>
    <t>Total=sum;Data=DATA4.credit;Mode=end</t>
  </si>
  <si>
    <t>Total=sum;Data=DATA4.depracc;Mode=sum</t>
  </si>
  <si>
    <t>Total=sum;Data=DATA4.valacc;Mode=end</t>
  </si>
  <si>
    <t>Total=sum;Data=DATA4.vatpaid;Mode=sum</t>
  </si>
  <si>
    <t>Total=sum;Data=DATA4.vataccrued;Mode=sum</t>
  </si>
  <si>
    <t>Total=sum;Data=DATA4.sale;Mode=sum</t>
  </si>
  <si>
    <t>Total=sum;Data=DATA4.profitacc;Mode=sum</t>
  </si>
  <si>
    <t>Total=sum;Data=DATA4.vatsale;Mode=sum</t>
  </si>
  <si>
    <t>Total=sum;Data=DATA1.increase;Mode=sum</t>
  </si>
  <si>
    <t>Total=sum;Data=DATA1.decrease;Mode=sum</t>
  </si>
  <si>
    <t>Total=sum;Data=DATA1.interest;Mode=sum</t>
  </si>
  <si>
    <t>Total=sum;Data=DATA1.end;Mode=end</t>
  </si>
  <si>
    <t>Total=sum;Data=DATA2.increase;Mode=sum</t>
  </si>
  <si>
    <t>Total=sum;Data=DATA2.decrease;Mode=sum</t>
  </si>
  <si>
    <t>Total=sum;Data=DATA2.interest;Mode=sum</t>
  </si>
  <si>
    <t>Total=sum;Data=DATA2.end;Mode=end</t>
  </si>
  <si>
    <t>Total=sum;Data=income;Mode=sum</t>
  </si>
  <si>
    <t>Total=sum;Data=cash;Mode=sum</t>
  </si>
  <si>
    <t>Total=sum;Data=receivable;Mode=end</t>
  </si>
  <si>
    <t>Total=sum;Data=advance;Mode=end</t>
  </si>
  <si>
    <t>Total=sum;Data=excise;Mode=sum</t>
  </si>
  <si>
    <t>Total=sum;Data=duties;Mode=sum</t>
  </si>
  <si>
    <t>Total=sum;Data=rawmat;Mode=end</t>
  </si>
  <si>
    <t>Total=sum;Data=finished;Mode=end</t>
  </si>
  <si>
    <t>Total=sum;Data=inprogress;Mode=end</t>
  </si>
  <si>
    <t>Total=sum;Data=payable;Mode=end</t>
  </si>
  <si>
    <t>Total=sum;Data=DATA1.salary;Mode=sum</t>
  </si>
  <si>
    <t>Total=sum;Data=DATA2.salary;Mode=sum</t>
  </si>
  <si>
    <t>Total=sum;Data=DATA3.salary;Mode=sum</t>
  </si>
  <si>
    <t>Total=sum;Data=count;Mode=avg</t>
  </si>
  <si>
    <t>Total=sum;Data=DATA1.vat;Mode=sum</t>
  </si>
  <si>
    <t>Total=sum;Data=DATA2.vat;Mode=sum</t>
  </si>
  <si>
    <t>Total=sum;Data=DATA3.vat;Mode=sum</t>
  </si>
  <si>
    <t>Total=sum;Data=sum;Mode=sum</t>
  </si>
  <si>
    <t>Total=sum;Data=out;Mode=sum</t>
  </si>
  <si>
    <t>Total=sum;Data=DATA1.balance;Mode=end</t>
  </si>
  <si>
    <t>Total=sum;Data=DATA2.balance;Mode=end</t>
  </si>
  <si>
    <t>Total=sum;Data=DATA1.asasset;Mode=end</t>
  </si>
  <si>
    <t>Total=sum;Data=DATA1.intdepr;Mode=sum</t>
  </si>
  <si>
    <t>Total=sum;Data=vat;Mode=sum</t>
  </si>
  <si>
    <t>Row=8</t>
  </si>
  <si>
    <t>Прочие долгосрочные кредиты</t>
  </si>
  <si>
    <t>Прочие краткосрочные кредиты</t>
  </si>
  <si>
    <t>Долгосрочные кредиты на начало периода</t>
  </si>
  <si>
    <t>Краткосрочные кредиты на начало периода</t>
  </si>
  <si>
    <t>Total=sum;Data=DATA1.startdebt;Mode=beg</t>
  </si>
  <si>
    <t>Total=sum;Data=DATA2.startdebt;Mode=beg</t>
  </si>
  <si>
    <t>CHART::SALES</t>
  </si>
  <si>
    <t>CHART::INVEST</t>
  </si>
  <si>
    <t>CHART::CASH</t>
  </si>
  <si>
    <t>График: Задолженность по кредитам</t>
  </si>
  <si>
    <t>CHART::DEBT</t>
  </si>
  <si>
    <t>CHART::PBPFCFF</t>
  </si>
  <si>
    <t>CHART::PBPFCFE</t>
  </si>
  <si>
    <t>График окупаемости (FCFF)</t>
  </si>
  <si>
    <t>График окупаемости (FCFE)</t>
  </si>
  <si>
    <t>График окупаемости (CFADS)</t>
  </si>
  <si>
    <t>CHART::PBPCFADS</t>
  </si>
  <si>
    <t>График: Денежные средства на конец периода</t>
  </si>
  <si>
    <t>График: Инвестиционные денежные потоки</t>
  </si>
  <si>
    <t>Чистая приведенная стоимость потоков проекта</t>
  </si>
  <si>
    <t>Учет активов начального баланса</t>
  </si>
  <si>
    <t>Учет продленной стоимости</t>
  </si>
  <si>
    <t>Флаг периода окупаемости (число целых лет)</t>
  </si>
  <si>
    <t>Стоимость чистых активов стартового баланса</t>
  </si>
  <si>
    <t>Рыночная стоимость (для анализа эффективности)</t>
  </si>
  <si>
    <t>Продленная стоимость, на конец проекта</t>
  </si>
  <si>
    <t>NOPLAT</t>
  </si>
  <si>
    <t>Расчет окупаемости в месяцах</t>
  </si>
  <si>
    <t>Сырье и материалы</t>
  </si>
  <si>
    <t>Операционные расходы</t>
  </si>
  <si>
    <t>Расходы на персонал</t>
  </si>
  <si>
    <t>Амортизация, лизинг и проценты</t>
  </si>
  <si>
    <t>Оборачиваемость суммарных активов</t>
  </si>
  <si>
    <t>Структура затрат:</t>
  </si>
  <si>
    <t>НДС полученный при продаже основных средств</t>
  </si>
  <si>
    <t>НДС полученный с доходами от продаж</t>
  </si>
  <si>
    <t>Средняя стоимость зданий и сооружений</t>
  </si>
  <si>
    <t>Средняя стоимость оборудования</t>
  </si>
  <si>
    <t>Начисленный налог на имущество</t>
  </si>
  <si>
    <t>ЭФФЕКТИВНОСТЬ ДЛЯ ПРОЕКТА (FCFF)</t>
  </si>
  <si>
    <t>ЭФФЕКТИВНОСТЬ ДЛЯ АКЦИОНЕРОВ (FCFE)</t>
  </si>
  <si>
    <t>Свободный денежный поток акционеров, FCFE</t>
  </si>
  <si>
    <t>ЭФФЕКТИВНОСТЬ ДЛЯ БАНКА (CFADS)</t>
  </si>
  <si>
    <t>Денежный поток, доступный для погашения долга (CFADS)</t>
  </si>
  <si>
    <t>Флаг периода окупаемости (число целых периодов)</t>
  </si>
  <si>
    <t>Расчет выполняется в номинальных ценах</t>
  </si>
  <si>
    <t>В расчете используются реальные ставки (без инфляции)</t>
  </si>
  <si>
    <t>ФИНАНСОВАЯ АРЕНДА (ЛИЗИНГ)</t>
  </si>
  <si>
    <t>НДС к платежам в оттоках денежных средств</t>
  </si>
  <si>
    <t>НДС к начисленным платежам</t>
  </si>
  <si>
    <t>платеж по аренде в затратах (без НДС)</t>
  </si>
  <si>
    <t>платеж по аренде в оттоках денежных средств (без НДС)</t>
  </si>
  <si>
    <t>стоимость объекта аренды (без НДС)</t>
  </si>
  <si>
    <t>балансовая стоимость объекта аренды</t>
  </si>
  <si>
    <t>количество дней аренды в периоде</t>
  </si>
  <si>
    <t>финансовый расход</t>
  </si>
  <si>
    <t>задолженность по аренде</t>
  </si>
  <si>
    <t>авансы выплаченные</t>
  </si>
  <si>
    <t>поток для расчета ставки доходности</t>
  </si>
  <si>
    <t>даты для расчета ставки доходности</t>
  </si>
  <si>
    <t>ставка доходности лизинговой компании</t>
  </si>
  <si>
    <t>платеж по аренде в оттоках денежных средств, без НДС</t>
  </si>
  <si>
    <t>платеж по аренде начисленный, без НДС</t>
  </si>
  <si>
    <t>амортизация объекта аренды</t>
  </si>
  <si>
    <t>Итого: Лизинговые платежи, с НДС</t>
  </si>
  <si>
    <t>Total=sum;Data=cashpmt;Mode=sum</t>
  </si>
  <si>
    <t>Total=sum;Data=VATcash;Mode=sum</t>
  </si>
  <si>
    <t>Total=sum;Data=leasexpense;Mode=sum</t>
  </si>
  <si>
    <t>Total=sum;Data=VATexpense;Mode=sum</t>
  </si>
  <si>
    <t>Total=sum;Data=balanceval;Mode=sum</t>
  </si>
  <si>
    <t>Total=sum;Data=depreciation;Mode=sum</t>
  </si>
  <si>
    <t>depreciation</t>
  </si>
  <si>
    <t>Total=sum;Data=finexpence;Mode=sum</t>
  </si>
  <si>
    <t>Total=sum;Data=payable;Mode=sum</t>
  </si>
  <si>
    <t>Total=sum;Data=advpaid;Mode=sum</t>
  </si>
  <si>
    <t>Справочно: Остаток денег на счете</t>
  </si>
  <si>
    <t>Импортная пошлина на оборудование</t>
  </si>
  <si>
    <t>НДС уплаченный по инвестициям</t>
  </si>
  <si>
    <t>НДС зачтенный по инвестициям</t>
  </si>
  <si>
    <t>Отложенный возврат НДС</t>
  </si>
  <si>
    <t>Начисленный НДС</t>
  </si>
  <si>
    <t>НДС как актив по инвестициям</t>
  </si>
  <si>
    <t>Начисленные социальные взносы</t>
  </si>
  <si>
    <t>СОЦИАЛЬНЫЕ ВЗНОСЫ</t>
  </si>
  <si>
    <t>Ставка взносов в пенсионный фонд</t>
  </si>
  <si>
    <t>Ставка взносов на медицинское страхование</t>
  </si>
  <si>
    <t>Ставка взносов в фонд социального страхования</t>
  </si>
  <si>
    <t>Ставка других социальных взносов</t>
  </si>
  <si>
    <t>Суммарная ставка социальных взносов</t>
  </si>
  <si>
    <t>социальные взносы</t>
  </si>
  <si>
    <t>оплата социальных взносов</t>
  </si>
  <si>
    <t>периодичность социальных взносов</t>
  </si>
  <si>
    <t>Затраты на коммерческий персонал, с соц. взносами</t>
  </si>
  <si>
    <t>Затраты на производственный персонал, с соц. взносами</t>
  </si>
  <si>
    <t>Затраты на административный персонал, с соц. взносами</t>
  </si>
  <si>
    <t>Итого: затраты на персонал, с соц. взносами</t>
  </si>
  <si>
    <t>Начисленный налог на прибыль</t>
  </si>
  <si>
    <t>Доходы, не облагаемые налогом</t>
  </si>
  <si>
    <t>Убытки предыдущих периодов</t>
  </si>
  <si>
    <t>Списание убытков предыдущих периодов</t>
  </si>
  <si>
    <t>Прибыль для налогообложения</t>
  </si>
  <si>
    <t>Начисленный налог с оборота (УСН)</t>
  </si>
  <si>
    <t>Облагаемая база</t>
  </si>
  <si>
    <t>НДС уплаченный по финансовой аренде</t>
  </si>
  <si>
    <t>НДС зачтенный по финансовой аренде</t>
  </si>
  <si>
    <t>Импортная пошлина на сырье и материалы</t>
  </si>
  <si>
    <t>уплаченный НДС</t>
  </si>
  <si>
    <t>задолженность по налогу</t>
  </si>
  <si>
    <t>Начисленные налоговые платежи</t>
  </si>
  <si>
    <t>Уплаченные налоговые платежи</t>
  </si>
  <si>
    <t>уплаченный налог на имущество</t>
  </si>
  <si>
    <t>задолженность по взносам</t>
  </si>
  <si>
    <t>уплаченные социальные взносы</t>
  </si>
  <si>
    <t>Задолженность перед бюджетом и внебюджетными фондами</t>
  </si>
  <si>
    <t>уплаченный налог на прибыль</t>
  </si>
  <si>
    <t>уплаченный налог с оборота</t>
  </si>
  <si>
    <t>уплаченный налог с дохода, уменьшенного на расходы</t>
  </si>
  <si>
    <t>Облагаемая база до списания убытков</t>
  </si>
  <si>
    <t>Минимальный налог (% от доходов)</t>
  </si>
  <si>
    <t>задолженность учредителей по взносам в уставный капитал</t>
  </si>
  <si>
    <t>СТАРТОВЫЙ БАЛАНС</t>
  </si>
  <si>
    <t>СУЩЕСТВУЮЩИЕ ОСНОВНЫЕ СРЕДСТВА</t>
  </si>
  <si>
    <t>СУЩЕСТВУЮЩИЕ КРЕДИТЫ</t>
  </si>
  <si>
    <t>возврат финансовых вложений</t>
  </si>
  <si>
    <t>задолженность по кредиту на начало планирования</t>
  </si>
  <si>
    <t>коэффициент дисконта на начало периода</t>
  </si>
  <si>
    <t>Курсовые разницы</t>
  </si>
  <si>
    <t>величина из плана продаж</t>
  </si>
  <si>
    <t>величина из стартового баланса</t>
  </si>
  <si>
    <t>влияние стартового баланса на денежные средства</t>
  </si>
  <si>
    <t>величина из плана затрат</t>
  </si>
  <si>
    <t>величина из плана продаж и затрат</t>
  </si>
  <si>
    <t>расход за период, без учета инфляции, без НДС</t>
  </si>
  <si>
    <t>оплата расходов, c НДС</t>
  </si>
  <si>
    <t>Оплата, c НДС, без пошлин</t>
  </si>
  <si>
    <t>поступление денежных средств, с НДС</t>
  </si>
  <si>
    <t>НДС полученный с авансов</t>
  </si>
  <si>
    <t>Ранее осуществленные инвестиции, с НДС</t>
  </si>
  <si>
    <t>start</t>
  </si>
  <si>
    <t>Total=sum;Data=start;Mode=sum</t>
  </si>
  <si>
    <t>НДС к ранее осуществленным инвестициям</t>
  </si>
  <si>
    <t>Total=sum;Data=vatstart;Mode=sum</t>
  </si>
  <si>
    <t>vatstart</t>
  </si>
  <si>
    <t>Зачет НДС из активов стартового баланса</t>
  </si>
  <si>
    <t>курсовые разницы</t>
  </si>
  <si>
    <t>Total=sum;Data=exch;Mode=sum</t>
  </si>
  <si>
    <t>exch</t>
  </si>
  <si>
    <t>СУЩЕСТВУЮЩИЕ ФИНАНСОВЫЕ ВЛОЖЕНИЯ</t>
  </si>
  <si>
    <t>TABLE::STFIN</t>
  </si>
  <si>
    <t>END::STFIN</t>
  </si>
  <si>
    <t>Краткосрочные финансовые вложения</t>
  </si>
  <si>
    <t>Кредиторская задолженность перед поставщиками</t>
  </si>
  <si>
    <t>Кредиторская задолженность за внеоборотные активы</t>
  </si>
  <si>
    <t>величина из плана инвестиций</t>
  </si>
  <si>
    <t>Protect model…</t>
  </si>
  <si>
    <t>Unprotect model…</t>
  </si>
  <si>
    <t>Protect model</t>
  </si>
  <si>
    <t>Unprotect model</t>
  </si>
  <si>
    <t>Remove all formulas</t>
  </si>
  <si>
    <t>Important! You are removing all macros and buttons from the model. After that, the file will be saved under a new name.</t>
  </si>
  <si>
    <t>Important! Some changes in the file were not saved. We recommend to save the file before removing macros and buttons</t>
  </si>
  <si>
    <t>Save project as</t>
  </si>
  <si>
    <t>Excel workbook (*.xlsx),*.xlsx, All files (*.*),*.*</t>
  </si>
  <si>
    <t>The program is not activated. You cannot change parameters of the model</t>
  </si>
  <si>
    <t>Please choose item name</t>
  </si>
  <si>
    <t>Products…</t>
  </si>
  <si>
    <t>Please choose component</t>
  </si>
  <si>
    <t>Fit the loan…</t>
  </si>
  <si>
    <t>Select the loan to fit</t>
  </si>
  <si>
    <t>Use the price of the lease object and interest rate</t>
  </si>
  <si>
    <t>Use payment schedule</t>
  </si>
  <si>
    <t>Enter headcount and salary</t>
  </si>
  <si>
    <t>Link to the production volume:</t>
  </si>
  <si>
    <t>Volume</t>
  </si>
  <si>
    <t>Fit the loan</t>
  </si>
  <si>
    <t>Fit the disbursement and repayment schedules for the period:</t>
  </si>
  <si>
    <t>from</t>
  </si>
  <si>
    <t>till</t>
  </si>
  <si>
    <t>period</t>
  </si>
  <si>
    <t>Minimum cash:</t>
  </si>
  <si>
    <t>During the repayment period DSCR should be at least:</t>
  </si>
  <si>
    <t>Land plot</t>
  </si>
  <si>
    <t>Construction site preparation</t>
  </si>
  <si>
    <t>Construction design</t>
  </si>
  <si>
    <t>Buildings</t>
  </si>
  <si>
    <t>Building interior</t>
  </si>
  <si>
    <t>Communications</t>
  </si>
  <si>
    <t>Site improvement</t>
  </si>
  <si>
    <t>Plant</t>
  </si>
  <si>
    <t>Auxiliary equipment</t>
  </si>
  <si>
    <t>Warehouse</t>
  </si>
  <si>
    <t>Transport</t>
  </si>
  <si>
    <t>Office furniture and computers</t>
  </si>
  <si>
    <t>Licenses and permissions</t>
  </si>
  <si>
    <t>Internet site development</t>
  </si>
  <si>
    <t>ERP system implementation</t>
  </si>
  <si>
    <t>CRM system implementation</t>
  </si>
  <si>
    <t>Software</t>
  </si>
  <si>
    <t>Sensitivity analysis setup</t>
  </si>
  <si>
    <t>Parameter in columns</t>
  </si>
  <si>
    <t>Parameter in rows</t>
  </si>
  <si>
    <t>Result of the analysis</t>
  </si>
  <si>
    <t>Create several lines</t>
  </si>
  <si>
    <t>step</t>
  </si>
  <si>
    <t>Incorrect parameter for columns!</t>
  </si>
  <si>
    <t>Incorrect parameter for rows!</t>
  </si>
  <si>
    <t>Incorrect value for the result!</t>
  </si>
  <si>
    <t>Scenarios setup</t>
  </si>
  <si>
    <t>Use scenarios</t>
  </si>
  <si>
    <t>Number of scenarios:</t>
  </si>
  <si>
    <t>Parameters specific for every scenario</t>
  </si>
  <si>
    <t>Delele</t>
  </si>
  <si>
    <t>Please choose at least one parameter</t>
  </si>
  <si>
    <t>Remove all parameters?</t>
  </si>
  <si>
    <t>Too many parameters</t>
  </si>
  <si>
    <t>List of parameters is empty</t>
  </si>
  <si>
    <t>Please select parameters to delete</t>
  </si>
  <si>
    <t>Do you really want to delete selected parameters?</t>
  </si>
  <si>
    <t>Incorrect link</t>
  </si>
  <si>
    <t>Please select one row</t>
  </si>
  <si>
    <t>No parameter selected</t>
  </si>
  <si>
    <t>Enter parameter name</t>
  </si>
  <si>
    <t>The selected parameter is not a constant</t>
  </si>
  <si>
    <t>The selected parameter is not a series</t>
  </si>
  <si>
    <t>Add parameter</t>
  </si>
  <si>
    <t>Parameter location:</t>
  </si>
  <si>
    <t>Parameter name:</t>
  </si>
  <si>
    <t>Parameter type</t>
  </si>
  <si>
    <t>Constant (the value is in B column)</t>
  </si>
  <si>
    <t>Series (the values are in periods)</t>
  </si>
  <si>
    <t>Now you can edit selected data in Scenarios sheet, and you can enter different values for every scenario</t>
  </si>
  <si>
    <t>Аренда производственного помещения</t>
  </si>
  <si>
    <t>Rent of manufacturing facility</t>
  </si>
  <si>
    <t>Коммунальные расходы</t>
  </si>
  <si>
    <t>Utility costs</t>
  </si>
  <si>
    <t>Содержание оборудования</t>
  </si>
  <si>
    <t>Machine maintenance</t>
  </si>
  <si>
    <t>Охрана и безопасность</t>
  </si>
  <si>
    <t>Security</t>
  </si>
  <si>
    <t>Уборка и содержание территории</t>
  </si>
  <si>
    <t>Cleaning and maintenance of the facility</t>
  </si>
  <si>
    <t>Транспортные расходы</t>
  </si>
  <si>
    <t>Transport costs</t>
  </si>
  <si>
    <t>Аренда офиса</t>
  </si>
  <si>
    <t>Office rent</t>
  </si>
  <si>
    <t>Офисные расходы</t>
  </si>
  <si>
    <t>Office expense</t>
  </si>
  <si>
    <t>Телекоммуникации</t>
  </si>
  <si>
    <t>Telecommunications</t>
  </si>
  <si>
    <t>IT расходы</t>
  </si>
  <si>
    <t>IT expenses</t>
  </si>
  <si>
    <t>Командировки</t>
  </si>
  <si>
    <t>Business travel</t>
  </si>
  <si>
    <t>Услуги юристов и консультантов</t>
  </si>
  <si>
    <t>Legal services and consultants</t>
  </si>
  <si>
    <t>Реклама в прессе и интернете</t>
  </si>
  <si>
    <t>Ads in media and the internet</t>
  </si>
  <si>
    <t>Рекламные мероприятия</t>
  </si>
  <si>
    <t>Marketing events</t>
  </si>
  <si>
    <t>Маркетинговые материалы</t>
  </si>
  <si>
    <t>Marketing materials</t>
  </si>
  <si>
    <t>Участие в выставках и конференциях</t>
  </si>
  <si>
    <t>Shows, fairs, conferences</t>
  </si>
  <si>
    <t>Scenarios</t>
  </si>
  <si>
    <t>7.0</t>
  </si>
  <si>
    <t>В демонстрационной версии эта возможность недоступна.</t>
  </si>
  <si>
    <t>Вы используете демонстрационную версию программы. В ней работают почти все функции и промежуточные расчеты, но значения на листе Результаты не меняются.</t>
  </si>
  <si>
    <t>Начальный баланс</t>
  </si>
  <si>
    <t>Денежные средства</t>
  </si>
  <si>
    <t>Авансы уплаченные поставщикам</t>
  </si>
  <si>
    <t>Готовая продукция на складе</t>
  </si>
  <si>
    <t>НДС на приобретенные товары</t>
  </si>
  <si>
    <t>Прочие оборотные активы</t>
  </si>
  <si>
    <t>Незавершенные капиталовложения</t>
  </si>
  <si>
    <t>Прочие внеоборотные активы</t>
  </si>
  <si>
    <t>Расчеты с бюджетом</t>
  </si>
  <si>
    <t>Расчеты с персоналом</t>
  </si>
  <si>
    <t>Полученные авансы покупателей</t>
  </si>
  <si>
    <t>Прочие краткосрочные обязательства</t>
  </si>
  <si>
    <t>Прочие долгосрочные обязательства</t>
  </si>
  <si>
    <t>Акционерный капитал</t>
  </si>
  <si>
    <t>Нераспределенная прибыль</t>
  </si>
  <si>
    <t>Прочий собственный капитал</t>
  </si>
  <si>
    <t>Данные</t>
  </si>
  <si>
    <t>Возврат кредитов</t>
  </si>
  <si>
    <t>Поступления от продаж</t>
  </si>
  <si>
    <t>Оплата материалов и комплектующих</t>
  </si>
  <si>
    <t>Заработная плата</t>
  </si>
  <si>
    <t>Постоянные издержки</t>
  </si>
  <si>
    <t>Выплата процентов по кредитам</t>
  </si>
  <si>
    <t>Прочие поступления</t>
  </si>
  <si>
    <t>Прочие затраты</t>
  </si>
  <si>
    <t>Инвестиции в земельные участки</t>
  </si>
  <si>
    <t>Инвестиции в здания и сооружения</t>
  </si>
  <si>
    <t>Инвестиции в оборудование и прочие активы</t>
  </si>
  <si>
    <t>Инвестиции в нематериальные активы</t>
  </si>
  <si>
    <t>Инвестиции в финансовые активы</t>
  </si>
  <si>
    <t>Выручка от реализации активов</t>
  </si>
  <si>
    <t>Выплата дивидендов</t>
  </si>
  <si>
    <t>Расчеты с бюджетом и внебюджетными фондами</t>
  </si>
  <si>
    <t>Обязательства по финансовой аренде</t>
  </si>
  <si>
    <t>Суммарная задолженность, TD</t>
  </si>
  <si>
    <t>Денежный поток, доступный для погашения долга</t>
  </si>
  <si>
    <t>Выплаты процентов</t>
  </si>
  <si>
    <t>Выплаты основной суммы долга</t>
  </si>
  <si>
    <t>Суммарные привлеченные кредиты</t>
  </si>
  <si>
    <t>Суммарный вклад собственного капитала</t>
  </si>
  <si>
    <t>TABLE::OTHER</t>
  </si>
  <si>
    <t>END::OTHER</t>
  </si>
  <si>
    <t>ПРОЧИЕ ДОХОДЫ И РАСХОДЫ</t>
  </si>
  <si>
    <t>Шаблон прочих доходов</t>
  </si>
  <si>
    <t>Шаблон прочих расходов</t>
  </si>
  <si>
    <t>НДС</t>
  </si>
  <si>
    <t>прочие доходы (без НДС)</t>
  </si>
  <si>
    <t>Итого: прочие доходы (с НДС)</t>
  </si>
  <si>
    <t>Итого: прочие расходы (с НДС)</t>
  </si>
  <si>
    <t>прочие расходы (без НДС)</t>
  </si>
  <si>
    <t>Total=sum;Data=DATA1.income;Mode=sum</t>
  </si>
  <si>
    <t>Total=sum;Data=DATA2.expence;Mode=sum</t>
  </si>
  <si>
    <t>НДС полученный по прочим доходам</t>
  </si>
  <si>
    <t>НДС уплаченный по прочим расходам</t>
  </si>
  <si>
    <t>Социальные взносы</t>
  </si>
  <si>
    <t>accrued</t>
  </si>
  <si>
    <t>Total=sum;Data=accrued;Mode=sum</t>
  </si>
  <si>
    <t>Total=sum;Data=paid;Mode=sum</t>
  </si>
  <si>
    <t>paid</t>
  </si>
  <si>
    <t>taxadv</t>
  </si>
  <si>
    <t>Total=sum;Data=taxadv;Mode=sum</t>
  </si>
  <si>
    <t>taxsoc</t>
  </si>
  <si>
    <t>Total=sum;Data=DATA1.taxsoc;Mode=sum</t>
  </si>
  <si>
    <t>Total=sum;Data=DATA2.taxsoc;Mode=sum</t>
  </si>
  <si>
    <t>Total=sum;Data=DATA3.taxsoc;Mode=sum</t>
  </si>
  <si>
    <t>inflow</t>
  </si>
  <si>
    <t>outflow</t>
  </si>
  <si>
    <t>intaccrued</t>
  </si>
  <si>
    <t>intpaid</t>
  </si>
  <si>
    <t>Total=sum;Data=inflow;Mode=sum</t>
  </si>
  <si>
    <t>Total=sum;Data=outflow;Mode=sum</t>
  </si>
  <si>
    <t>Total=sum;Data=intaccrued;Mode=sum</t>
  </si>
  <si>
    <t>Total=sum;Data=intpaid;Mode=sum</t>
  </si>
  <si>
    <t>Подбор кредита... Период № ***</t>
  </si>
  <si>
    <t>Обратите внимание! При заданных параметрах платежей кредит не будет возвращен к концу расчетного периода.</t>
  </si>
  <si>
    <t>CF10</t>
  </si>
  <si>
    <t>CF11</t>
  </si>
  <si>
    <t>CF12</t>
  </si>
  <si>
    <t>CF13</t>
  </si>
  <si>
    <t>CF14</t>
  </si>
  <si>
    <t>CF15</t>
  </si>
  <si>
    <t>CF16</t>
  </si>
  <si>
    <t>CF17</t>
  </si>
  <si>
    <t>CF18</t>
  </si>
  <si>
    <t>CF19</t>
  </si>
  <si>
    <t>CF20</t>
  </si>
  <si>
    <t>CF21</t>
  </si>
  <si>
    <t>CF22</t>
  </si>
  <si>
    <t>CF23</t>
  </si>
  <si>
    <t>CF24</t>
  </si>
  <si>
    <t>CF25</t>
  </si>
  <si>
    <t>BL02</t>
  </si>
  <si>
    <t>BL03</t>
  </si>
  <si>
    <t>BL04</t>
  </si>
  <si>
    <t>BL05</t>
  </si>
  <si>
    <t>BL06</t>
  </si>
  <si>
    <t>BL07</t>
  </si>
  <si>
    <t>BL08</t>
  </si>
  <si>
    <t>BL09</t>
  </si>
  <si>
    <t>BL10</t>
  </si>
  <si>
    <t>BL11</t>
  </si>
  <si>
    <t>BL12</t>
  </si>
  <si>
    <t>BL13</t>
  </si>
  <si>
    <t>BL14</t>
  </si>
  <si>
    <t>BL15</t>
  </si>
  <si>
    <t>BL16</t>
  </si>
  <si>
    <t>BL17</t>
  </si>
  <si>
    <t>BL18</t>
  </si>
  <si>
    <t>BL19</t>
  </si>
  <si>
    <t>BL20</t>
  </si>
  <si>
    <t>BL21</t>
  </si>
  <si>
    <t>BL22</t>
  </si>
  <si>
    <t>BL23</t>
  </si>
  <si>
    <t>BL24</t>
  </si>
  <si>
    <t>BL25</t>
  </si>
  <si>
    <t>BL26</t>
  </si>
  <si>
    <t>BL27</t>
  </si>
  <si>
    <t>BL28</t>
  </si>
  <si>
    <t>BL29</t>
  </si>
  <si>
    <t>BL30</t>
  </si>
  <si>
    <t>BL31</t>
  </si>
  <si>
    <t>BL32</t>
  </si>
  <si>
    <t>BL33</t>
  </si>
  <si>
    <t>BL34</t>
  </si>
  <si>
    <t>BL35</t>
  </si>
  <si>
    <t>BRA01</t>
  </si>
  <si>
    <t>BRA02</t>
  </si>
  <si>
    <t>BRA03</t>
  </si>
  <si>
    <t>BRA04</t>
  </si>
  <si>
    <t>BRA05</t>
  </si>
  <si>
    <t>BRA06</t>
  </si>
  <si>
    <t>BRA07</t>
  </si>
  <si>
    <t>BRA08</t>
  </si>
  <si>
    <t>BRA09</t>
  </si>
  <si>
    <t>BRA10</t>
  </si>
  <si>
    <t>BRA11</t>
  </si>
  <si>
    <t>rate</t>
  </si>
  <si>
    <t>PL06</t>
  </si>
  <si>
    <t>Анализ чувствительности… Расчет № ***</t>
  </si>
  <si>
    <t xml:space="preserve">  </t>
  </si>
  <si>
    <t>в том числе, не облагаемых налогом</t>
  </si>
  <si>
    <t>в том числе, не облагаемого налогом</t>
  </si>
  <si>
    <t>Начисленный налог с дохода минус расходы (УСН)</t>
  </si>
  <si>
    <t>Mode=max</t>
  </si>
  <si>
    <t xml:space="preserve"> Демо</t>
  </si>
  <si>
    <t xml:space="preserve"> Demo</t>
  </si>
  <si>
    <t>Стоимость активов начального баланса</t>
  </si>
  <si>
    <t>Продленная стоимость проекта</t>
  </si>
  <si>
    <t>в пересчете на шаг планирования</t>
  </si>
  <si>
    <t>расход в единицах за период</t>
  </si>
  <si>
    <t>затраты за период</t>
  </si>
  <si>
    <t>без НДС</t>
  </si>
  <si>
    <t>коэффициент расходов</t>
  </si>
  <si>
    <t>проценты в стоимости основных средств</t>
  </si>
  <si>
    <t>Балансовая стоимость процентов в основных средствах</t>
  </si>
  <si>
    <t>intinv</t>
  </si>
  <si>
    <t>Total=sum;Data=DATA1.intinv;Mode=sum</t>
  </si>
  <si>
    <t>Отнесение процентов на стоимость основных средств</t>
  </si>
  <si>
    <t>Незавершенные инвестиции</t>
  </si>
  <si>
    <t>intprog</t>
  </si>
  <si>
    <t>Total=sum;Data=DATA1.intprog;Mode=end</t>
  </si>
  <si>
    <t>Добавление периодов на листе "***" …</t>
  </si>
  <si>
    <t>Удаление периодов на листе "***" …</t>
  </si>
  <si>
    <t>Итого оборотные активы</t>
  </si>
  <si>
    <t>Итого краткосрочные обязательства</t>
  </si>
  <si>
    <t>Чистый оборотный капитал</t>
  </si>
  <si>
    <t>Изменение чистого оборотного капитала</t>
  </si>
  <si>
    <t>Все операционные затраты</t>
  </si>
  <si>
    <t>Денежный поток для расчета эффективности</t>
  </si>
  <si>
    <t>Ставка дисконтирования для бюджетной эффективности</t>
  </si>
  <si>
    <t>Поступление налогов в бюджет</t>
  </si>
  <si>
    <t>Поступление бюджетного финансирования в проект</t>
  </si>
  <si>
    <t>Возврат бюджетного финансирования</t>
  </si>
  <si>
    <t>Платежи за использование бюджетного финансирования</t>
  </si>
  <si>
    <t>Бюджетное финансирование</t>
  </si>
  <si>
    <t>NPV проекта</t>
  </si>
  <si>
    <t>IRR проекта</t>
  </si>
  <si>
    <t>График: Продажи</t>
  </si>
  <si>
    <t>Линии:</t>
  </si>
  <si>
    <t>FCFF01</t>
  </si>
  <si>
    <t>PBP проекта</t>
  </si>
  <si>
    <t>Sens_IRR2</t>
  </si>
  <si>
    <t>Sens_PBP1</t>
  </si>
  <si>
    <t>NPV для собственников</t>
  </si>
  <si>
    <t>IRR для собственников</t>
  </si>
  <si>
    <t>PBP для собственников</t>
  </si>
  <si>
    <t>NPV для банка</t>
  </si>
  <si>
    <t>IRR для банка</t>
  </si>
  <si>
    <t>PBP для банка</t>
  </si>
  <si>
    <t>Sens_NPV2</t>
  </si>
  <si>
    <t>Sens_PBP2</t>
  </si>
  <si>
    <t>Sens_NPV3</t>
  </si>
  <si>
    <t>Sens_IRR3</t>
  </si>
  <si>
    <t>Sens_PBP3</t>
  </si>
  <si>
    <t>Затраты на сырье и материалы</t>
  </si>
  <si>
    <t>Sens_Mat</t>
  </si>
  <si>
    <t>Затраты на оплату труда</t>
  </si>
  <si>
    <t>Sens_Staff</t>
  </si>
  <si>
    <t>Постоянные расходы - всего</t>
  </si>
  <si>
    <t>Sens_Exp1</t>
  </si>
  <si>
    <t>Sens_Exp2</t>
  </si>
  <si>
    <t>Sens_Exp3</t>
  </si>
  <si>
    <t>Sens_Exp4</t>
  </si>
  <si>
    <t>(с учетом инфляции, номинальная)</t>
  </si>
  <si>
    <t>(без учета инфляции, реальная)</t>
  </si>
  <si>
    <t>TAXR01</t>
  </si>
  <si>
    <t>TAXR02</t>
  </si>
  <si>
    <t>TAXR03</t>
  </si>
  <si>
    <t>TAXR04</t>
  </si>
  <si>
    <t>начисленный налог</t>
  </si>
  <si>
    <t>TAXR05</t>
  </si>
  <si>
    <t>TAXR06</t>
  </si>
  <si>
    <t>TAXR07</t>
  </si>
  <si>
    <t>TAXR08</t>
  </si>
  <si>
    <t>TAXR09</t>
  </si>
  <si>
    <t>TAXR10</t>
  </si>
  <si>
    <t>TAXR11</t>
  </si>
  <si>
    <t>TAXR12</t>
  </si>
  <si>
    <t>TAXR13</t>
  </si>
  <si>
    <t>TAXR14</t>
  </si>
  <si>
    <t>TAXR15</t>
  </si>
  <si>
    <t>TAXR16</t>
  </si>
  <si>
    <t>TAXR17</t>
  </si>
  <si>
    <t>TAXR18</t>
  </si>
  <si>
    <t>CURRENCY, INFLATION</t>
  </si>
  <si>
    <t>Adjust prices for inflation</t>
  </si>
  <si>
    <t>Inflation rate</t>
  </si>
  <si>
    <t>Inflation in specific categories:</t>
  </si>
  <si>
    <t>Sales</t>
  </si>
  <si>
    <t>Raw materials and components</t>
  </si>
  <si>
    <t>Other direct costs</t>
  </si>
  <si>
    <t>Production expenses</t>
  </si>
  <si>
    <t>General and administrative expenses</t>
  </si>
  <si>
    <t>Sales and marketing expenses</t>
  </si>
  <si>
    <t>Wages and salaries</t>
  </si>
  <si>
    <t>Reporting currency and its rate to the main currency</t>
  </si>
  <si>
    <t>Rate to the main currency</t>
  </si>
  <si>
    <t>Annual exchange rate appreciation</t>
  </si>
  <si>
    <t>The above, recalculated per project step</t>
  </si>
  <si>
    <t>Inflation rate for the foreign currency</t>
  </si>
  <si>
    <t>TAX PARAMETERS</t>
  </si>
  <si>
    <t>VALUE ADDED TAX</t>
  </si>
  <si>
    <t>Standard rate</t>
  </si>
  <si>
    <t>Payment period, months</t>
  </si>
  <si>
    <t>returned by tax authorities</t>
  </si>
  <si>
    <t>INCOME TAX</t>
  </si>
  <si>
    <t>Federal income tax rate</t>
  </si>
  <si>
    <t>Local income tax rate</t>
  </si>
  <si>
    <t>Total tax rate</t>
  </si>
  <si>
    <t>SOCIAL INSURANCE PAYMENTS</t>
  </si>
  <si>
    <t>Pension fund contribution rate</t>
  </si>
  <si>
    <t>Medical insurance contribution rate</t>
  </si>
  <si>
    <t>Social insurance contribution rate</t>
  </si>
  <si>
    <t>Accident insurance contribution rate</t>
  </si>
  <si>
    <t>Other social contributions rate</t>
  </si>
  <si>
    <t>Total social contribution rate</t>
  </si>
  <si>
    <t>PROPERTY TAX</t>
  </si>
  <si>
    <t>Tax rate for real estate</t>
  </si>
  <si>
    <t>Tax rate for equipment</t>
  </si>
  <si>
    <t>SALES TAX</t>
  </si>
  <si>
    <t>Tax rate</t>
  </si>
  <si>
    <t>SMALL BUSINESS INCOME TAX</t>
  </si>
  <si>
    <t>DISCOUNT RATE</t>
  </si>
  <si>
    <t>Currency used for project efficiency calculation</t>
  </si>
  <si>
    <t>Nominal prices</t>
  </si>
  <si>
    <t>Discount rate for equity, Re</t>
  </si>
  <si>
    <t>rate per project period</t>
  </si>
  <si>
    <t>discount index at the beginning of period</t>
  </si>
  <si>
    <t>Discount rate for debt, Rd</t>
  </si>
  <si>
    <t>Weighted average rate calculation:</t>
  </si>
  <si>
    <t>Income tax rate, T</t>
  </si>
  <si>
    <t>Percentage of financing that is debt, Wd</t>
  </si>
  <si>
    <t>Percentage of financing that is equity, We</t>
  </si>
  <si>
    <t>Include prior period investments?</t>
  </si>
  <si>
    <t>Add continuing value?</t>
  </si>
  <si>
    <t>Perpetuity growth rate</t>
  </si>
  <si>
    <t>Reinvestment rate for MIRR</t>
  </si>
  <si>
    <t>Do not use</t>
  </si>
  <si>
    <t>Use</t>
  </si>
  <si>
    <t>% p.a.</t>
  </si>
  <si>
    <t>Real prices (net of inflation)</t>
  </si>
  <si>
    <t>Initial balance</t>
  </si>
  <si>
    <t>INITIAL BALANCE SHEET</t>
  </si>
  <si>
    <t>Cash</t>
  </si>
  <si>
    <t>Accounts receivable</t>
  </si>
  <si>
    <t>Advances paid</t>
  </si>
  <si>
    <t>Finished goods</t>
  </si>
  <si>
    <t>Work-in-progress</t>
  </si>
  <si>
    <t>VAT paid</t>
  </si>
  <si>
    <t>Short-term financial assets</t>
  </si>
  <si>
    <t>Other current assets</t>
  </si>
  <si>
    <t>Total current assets</t>
  </si>
  <si>
    <t>Land</t>
  </si>
  <si>
    <t>Buildings and structures</t>
  </si>
  <si>
    <t>Equipment and other assets</t>
  </si>
  <si>
    <t>Intangible assets</t>
  </si>
  <si>
    <t>Long-term financial assets</t>
  </si>
  <si>
    <t>Investments in progress</t>
  </si>
  <si>
    <t>Other fixed assets</t>
  </si>
  <si>
    <t>Total fixed assets</t>
  </si>
  <si>
    <t>TOTAL ASSETS</t>
  </si>
  <si>
    <t>Accounts payable to supplies</t>
  </si>
  <si>
    <t>Accounts payable for fixed assets</t>
  </si>
  <si>
    <t>Taxes payable</t>
  </si>
  <si>
    <t>Wages and salaries payable</t>
  </si>
  <si>
    <t>Advances received</t>
  </si>
  <si>
    <t>Short-term loans</t>
  </si>
  <si>
    <t>Other short-term liabilities</t>
  </si>
  <si>
    <t>Total short-term liabilities</t>
  </si>
  <si>
    <t>Long-term loans</t>
  </si>
  <si>
    <t>Other long-term liabilities</t>
  </si>
  <si>
    <t>Total long-term liabilities</t>
  </si>
  <si>
    <t>Owners' equity</t>
  </si>
  <si>
    <t>Retained earnings</t>
  </si>
  <si>
    <t>Other equity</t>
  </si>
  <si>
    <t>Total equity</t>
  </si>
  <si>
    <t>TOTAL LIABILITIES AND EQUITY</t>
  </si>
  <si>
    <t>Balance check</t>
  </si>
  <si>
    <t>Net assets in the initial balance sheet</t>
  </si>
  <si>
    <t>Unpaid shareholders' equity</t>
  </si>
  <si>
    <t>Market value of the net assets</t>
  </si>
  <si>
    <t>PRESENT PROJECT ASSETS</t>
  </si>
  <si>
    <t>Investments in progress at the beginning of period</t>
  </si>
  <si>
    <t>Recognition of fixed assets:</t>
  </si>
  <si>
    <t>Investments in progress at the end of period</t>
  </si>
  <si>
    <t>book value</t>
  </si>
  <si>
    <t>gross book value</t>
  </si>
  <si>
    <t>depreciation period</t>
  </si>
  <si>
    <t>accumulated depreciation</t>
  </si>
  <si>
    <t>net book value</t>
  </si>
  <si>
    <t>PRESENT FINANCIAL ASSETS</t>
  </si>
  <si>
    <t>sale of assets</t>
  </si>
  <si>
    <t>PRIOR PERIOD LOANS</t>
  </si>
  <si>
    <t>Long-term loan template</t>
  </si>
  <si>
    <t>outstanding debt at the beginning of project</t>
  </si>
  <si>
    <t>interest rate</t>
  </si>
  <si>
    <t>repayment of principal</t>
  </si>
  <si>
    <t>outstanding debt</t>
  </si>
  <si>
    <t>interest accrued</t>
  </si>
  <si>
    <t>interest paid</t>
  </si>
  <si>
    <t>Short-term loan template</t>
  </si>
  <si>
    <t>Total: Outstanding debt</t>
  </si>
  <si>
    <t>Repayment of principal</t>
  </si>
  <si>
    <t>Interest accrued</t>
  </si>
  <si>
    <t>Interest paid</t>
  </si>
  <si>
    <t>Long-term loans at the beginning of period</t>
  </si>
  <si>
    <t>Short-term loans at the beginning of period</t>
  </si>
  <si>
    <t>Long-term loans at the end of period</t>
  </si>
  <si>
    <t>Short-term loans at the end of period</t>
  </si>
  <si>
    <t>Gain (loss) from exchange rate fluctuations</t>
  </si>
  <si>
    <t>Other long-term loans</t>
  </si>
  <si>
    <t>Other short-term loans</t>
  </si>
  <si>
    <t>SALES</t>
  </si>
  <si>
    <t>Discount rate for budget efficiency analysis</t>
  </si>
  <si>
    <t>PROFIT AND LOSS STATEMENT</t>
  </si>
  <si>
    <t>Sales revenue</t>
  </si>
  <si>
    <t>Cost of sales</t>
  </si>
  <si>
    <t>raw materials and components</t>
  </si>
  <si>
    <t>wages and salaries of production personnel</t>
  </si>
  <si>
    <t>other direct costs</t>
  </si>
  <si>
    <t>Total cost of sales</t>
  </si>
  <si>
    <t>Gross profit</t>
  </si>
  <si>
    <t>Wages and salaries of admin. and marketing personnel</t>
  </si>
  <si>
    <t>Taxes, excl. income tax</t>
  </si>
  <si>
    <t>Leasing expenses</t>
  </si>
  <si>
    <t>Depreciation</t>
  </si>
  <si>
    <t>Interest</t>
  </si>
  <si>
    <t>Operating profit (loss)</t>
  </si>
  <si>
    <t>Gain (loss) from sale of fixed assets</t>
  </si>
  <si>
    <t>Other income</t>
  </si>
  <si>
    <t>Other loss</t>
  </si>
  <si>
    <t>Profit (loss) before tax</t>
  </si>
  <si>
    <t>Net profit (loss)</t>
  </si>
  <si>
    <t>Dividends</t>
  </si>
  <si>
    <t>Retained earnings (per period)</t>
  </si>
  <si>
    <t>CASH FLOW STATEMENT</t>
  </si>
  <si>
    <t>Cash received from customers</t>
  </si>
  <si>
    <t>Cash paid to suppliers</t>
  </si>
  <si>
    <t>Cash paid to employees</t>
  </si>
  <si>
    <t>Operating expenses</t>
  </si>
  <si>
    <t>Lease payments</t>
  </si>
  <si>
    <t>Other inflows</t>
  </si>
  <si>
    <t>Other outflows</t>
  </si>
  <si>
    <t>Cash flow from operating activities</t>
  </si>
  <si>
    <t>Investment in land</t>
  </si>
  <si>
    <t>Investment in buildings and structures</t>
  </si>
  <si>
    <t>Investment in equipment and other assets</t>
  </si>
  <si>
    <t>Investment in intangible assets</t>
  </si>
  <si>
    <t>Investment in financial assets</t>
  </si>
  <si>
    <t>Proceeds from sale of fixed assets</t>
  </si>
  <si>
    <t>Cash flow from investing activities</t>
  </si>
  <si>
    <t>Equity inflow</t>
  </si>
  <si>
    <t>Proceeds from borrowing</t>
  </si>
  <si>
    <t>Repayment of debt</t>
  </si>
  <si>
    <t>Dividends paid</t>
  </si>
  <si>
    <t>Cash flow from financing activities</t>
  </si>
  <si>
    <t>Change in cash</t>
  </si>
  <si>
    <t>Cash at the beginning of period</t>
  </si>
  <si>
    <t>Cash at the end of period</t>
  </si>
  <si>
    <t>BALANCE SHEET</t>
  </si>
  <si>
    <t>Lease liabilities</t>
  </si>
  <si>
    <t>DEBT RATIOS</t>
  </si>
  <si>
    <t>Total debt, TD</t>
  </si>
  <si>
    <t>Cash flow available for debt service, CFADS</t>
  </si>
  <si>
    <t>Debt service coverage ratio, DSCR</t>
  </si>
  <si>
    <t>Total debt / Equity</t>
  </si>
  <si>
    <t>Total loans raised</t>
  </si>
  <si>
    <t>Total equity raised</t>
  </si>
  <si>
    <t>Debt ratio</t>
  </si>
  <si>
    <t>PROFITABILITY AND TURNOVER</t>
  </si>
  <si>
    <t>Cost structure:</t>
  </si>
  <si>
    <t>Sales revenue = 100%</t>
  </si>
  <si>
    <t>Other cost items</t>
  </si>
  <si>
    <t>Net profit margin, NPM</t>
  </si>
  <si>
    <t>EBITDA margin</t>
  </si>
  <si>
    <t>Return on equity, ROE</t>
  </si>
  <si>
    <t>Return on invested capital, ROIC</t>
  </si>
  <si>
    <t>Return on assets, ROA</t>
  </si>
  <si>
    <t>Return on fixed assets, ROFA</t>
  </si>
  <si>
    <t>Accounts receivable collection period, CP</t>
  </si>
  <si>
    <t>Finished goods turnover days</t>
  </si>
  <si>
    <t>Turnover days for raw materials</t>
  </si>
  <si>
    <t>Fixed assets turnover</t>
  </si>
  <si>
    <t>Total assets turnover</t>
  </si>
  <si>
    <t>Total expenses</t>
  </si>
  <si>
    <t>PROJECT EFFICIENCY (FCFF)</t>
  </si>
  <si>
    <t>Discount rate</t>
  </si>
  <si>
    <t>discount rate per period</t>
  </si>
  <si>
    <t>discount ratio at the beginning of period</t>
  </si>
  <si>
    <t>Free cash flow to the firm, FCFF</t>
  </si>
  <si>
    <t>Adjusted interest paid, * (1 - tax)</t>
  </si>
  <si>
    <t>Discounted free cash flow</t>
  </si>
  <si>
    <t>Discounted free cash flow, cumulative</t>
  </si>
  <si>
    <t>Present value of the project's cash flow</t>
  </si>
  <si>
    <t>Initial project's balance</t>
  </si>
  <si>
    <t>Continuing value</t>
  </si>
  <si>
    <t>Continuing value, at the end of the project</t>
  </si>
  <si>
    <t>Net present value, NPV</t>
  </si>
  <si>
    <t>Internal rate of return, IRR</t>
  </si>
  <si>
    <t>Modified IRR, MIRR</t>
  </si>
  <si>
    <t>Discounted payback period, PBP</t>
  </si>
  <si>
    <t>Payback period flag (number of full years)</t>
  </si>
  <si>
    <t>Payback period calculation</t>
  </si>
  <si>
    <t>Cash flow for the efficiency calculation</t>
  </si>
  <si>
    <t>(nominal, including inflation)</t>
  </si>
  <si>
    <t>(real, net of inflation)</t>
  </si>
  <si>
    <t>PROJECT EFFICIENCY (FCFE)</t>
  </si>
  <si>
    <t>Free cash flow to equity, FCFE</t>
  </si>
  <si>
    <t>RETURN ON LENDER(S)</t>
  </si>
  <si>
    <t>Cash flow available to debt service, CFADS</t>
  </si>
  <si>
    <t>TAX PAYMENTS</t>
  </si>
  <si>
    <t>Value added tax, VAT</t>
  </si>
  <si>
    <t>Social insurance contribution</t>
  </si>
  <si>
    <t>Small business income tax</t>
  </si>
  <si>
    <t>Total</t>
  </si>
  <si>
    <t>Tax payments</t>
  </si>
  <si>
    <t>Chart: Sales revenue</t>
  </si>
  <si>
    <t>Chart: EBITDA</t>
  </si>
  <si>
    <t>Chart: Cash flows from investing activities</t>
  </si>
  <si>
    <t>Chart: Cash at the end of period</t>
  </si>
  <si>
    <t>Chart: Outstanding debt</t>
  </si>
  <si>
    <t>Payback chart, FCFF</t>
  </si>
  <si>
    <t>Payback chart, FCFE</t>
  </si>
  <si>
    <t>Payback chart, CFADS</t>
  </si>
  <si>
    <t>SENSITIVITY ANALYSIS</t>
  </si>
  <si>
    <t>Columns:</t>
  </si>
  <si>
    <t>Lines:</t>
  </si>
  <si>
    <t>Result:</t>
  </si>
  <si>
    <t>Data table</t>
  </si>
  <si>
    <t>Sensitivity analysis settings</t>
  </si>
  <si>
    <t>Inputs:</t>
  </si>
  <si>
    <t>Output:</t>
  </si>
  <si>
    <t>Parameter</t>
  </si>
  <si>
    <t>Range name</t>
  </si>
  <si>
    <t>Percents?</t>
  </si>
  <si>
    <t>Sale prices</t>
  </si>
  <si>
    <t>Investment in fixed assets</t>
  </si>
  <si>
    <t>Cost of raw materials and components</t>
  </si>
  <si>
    <t>Total operating expenses</t>
  </si>
  <si>
    <t>Total profit</t>
  </si>
  <si>
    <t>NPV (FCFF)</t>
  </si>
  <si>
    <t>IRR (FCFF)</t>
  </si>
  <si>
    <t>PBP (FCFF)</t>
  </si>
  <si>
    <t>NPV (FCFE)</t>
  </si>
  <si>
    <t>IRR (FCFE)</t>
  </si>
  <si>
    <t>PBP (FCFE)</t>
  </si>
  <si>
    <t>NPV (CFADS)</t>
  </si>
  <si>
    <t>IRR (CFADS)</t>
  </si>
  <si>
    <t>PBP (CFADS)</t>
  </si>
  <si>
    <t>SCENARIO ANALYSIS</t>
  </si>
  <si>
    <t>The model does not use scenarios</t>
  </si>
  <si>
    <t>Current scenario</t>
  </si>
  <si>
    <t>Data for the scenarios</t>
  </si>
  <si>
    <t>accrued tax</t>
  </si>
  <si>
    <t>State financing</t>
  </si>
  <si>
    <t>State financing inflow</t>
  </si>
  <si>
    <t>Repayment of debt to state</t>
  </si>
  <si>
    <t>Payments for state financing</t>
  </si>
  <si>
    <t>Ставка для заемного капитала, Rd</t>
  </si>
  <si>
    <t>Sales template w/o units</t>
  </si>
  <si>
    <t>capacity utilization</t>
  </si>
  <si>
    <t>sales per period, w/o inflation</t>
  </si>
  <si>
    <t>sales revenue, net of VAT</t>
  </si>
  <si>
    <t>accounts receivable</t>
  </si>
  <si>
    <t>average accounts receivable term</t>
  </si>
  <si>
    <t>advances received</t>
  </si>
  <si>
    <t>average advance payment term</t>
  </si>
  <si>
    <t>payments, including VAT</t>
  </si>
  <si>
    <t>inflation rate</t>
  </si>
  <si>
    <t>VAT rate</t>
  </si>
  <si>
    <t>excise rate</t>
  </si>
  <si>
    <t>price index to the beginning of project</t>
  </si>
  <si>
    <t>excise accrued</t>
  </si>
  <si>
    <t>VAT accrued</t>
  </si>
  <si>
    <t>VAT on advances</t>
  </si>
  <si>
    <t>Sales template with units</t>
  </si>
  <si>
    <t>sales per period, units</t>
  </si>
  <si>
    <t>excise per unit</t>
  </si>
  <si>
    <t>Total:</t>
  </si>
  <si>
    <t>Sales revenue in profit and loss statement, net of VAT</t>
  </si>
  <si>
    <t>Proceeds from sales, including VAT</t>
  </si>
  <si>
    <t>Excise accrued</t>
  </si>
  <si>
    <t>RAW MATERIALS AND COMPONENTS</t>
  </si>
  <si>
    <t>Cost item template w/o units</t>
  </si>
  <si>
    <t>expenses per period, net of inflation and VAT</t>
  </si>
  <si>
    <t>cost of sales, net of VAT</t>
  </si>
  <si>
    <t>stock of raw materials and component</t>
  </si>
  <si>
    <t>average days in stock</t>
  </si>
  <si>
    <t>remainder cost in inventory of finished goods</t>
  </si>
  <si>
    <t>average days in inventory of finished goods</t>
  </si>
  <si>
    <t>remainder cost in work-in-progress</t>
  </si>
  <si>
    <t>production cycle</t>
  </si>
  <si>
    <t>cost per period, net of VAT</t>
  </si>
  <si>
    <t>accounts payable</t>
  </si>
  <si>
    <t>average days in accounts payable</t>
  </si>
  <si>
    <t>advances paid</t>
  </si>
  <si>
    <t>average days in advances</t>
  </si>
  <si>
    <t>cost payments, including VAT</t>
  </si>
  <si>
    <t>import duty rate</t>
  </si>
  <si>
    <t>import duties accrued</t>
  </si>
  <si>
    <t>Cost item template with units</t>
  </si>
  <si>
    <t>use per period, units</t>
  </si>
  <si>
    <t>price index to the previous period</t>
  </si>
  <si>
    <t>Total: Raw materials and components</t>
  </si>
  <si>
    <t>Total costs in profit and loss statement</t>
  </si>
  <si>
    <t>Cash paid to suppliers, including VAT</t>
  </si>
  <si>
    <t>Costs, net of VAT and duties</t>
  </si>
  <si>
    <t>Cash paid, net of duties, including VAT</t>
  </si>
  <si>
    <t>Duties accrued</t>
  </si>
  <si>
    <t>Stock of raw materials and components</t>
  </si>
  <si>
    <t>Inventory of finished goods</t>
  </si>
  <si>
    <t>PERSONNEL</t>
  </si>
  <si>
    <t>Position template w/o headcount</t>
  </si>
  <si>
    <t>wages and salaries per month</t>
  </si>
  <si>
    <t>workload</t>
  </si>
  <si>
    <t>wages and salaries</t>
  </si>
  <si>
    <t>social insurance contribution</t>
  </si>
  <si>
    <t>price change coefficient</t>
  </si>
  <si>
    <t>Position template with headcount</t>
  </si>
  <si>
    <t>headcount</t>
  </si>
  <si>
    <t>average salary per month</t>
  </si>
  <si>
    <t>Production personnel</t>
  </si>
  <si>
    <t>Sales and marketing personnel</t>
  </si>
  <si>
    <t>Administrative personnel</t>
  </si>
  <si>
    <t>Wages and salaries including social insurance</t>
  </si>
  <si>
    <t>remainder expenses in finished goods stock</t>
  </si>
  <si>
    <t>remainder expenses in work-in-progress</t>
  </si>
  <si>
    <t>expenses written off against sales</t>
  </si>
  <si>
    <t>Administrative personnel expenses, incl. social insurance</t>
  </si>
  <si>
    <t>Sales personnel expenses, incl. social insurance</t>
  </si>
  <si>
    <t>Total: wages, salaries, social insurance</t>
  </si>
  <si>
    <t>Personnel headcount</t>
  </si>
  <si>
    <t>payment period for salaries</t>
  </si>
  <si>
    <t>wages and salaries payable</t>
  </si>
  <si>
    <t>payment period for social insurance</t>
  </si>
  <si>
    <t>social insurance contribution payable</t>
  </si>
  <si>
    <t>cash paid to employees</t>
  </si>
  <si>
    <t>cash paid to social funds</t>
  </si>
  <si>
    <t>OPERATING EXPENSES</t>
  </si>
  <si>
    <t>Template w/o units</t>
  </si>
  <si>
    <t>first period of the expense</t>
  </si>
  <si>
    <t>expenses per period</t>
  </si>
  <si>
    <t>net of VAT</t>
  </si>
  <si>
    <t>expenses with inflation, net of VAT</t>
  </si>
  <si>
    <t>Template with units</t>
  </si>
  <si>
    <t>use in units</t>
  </si>
  <si>
    <t>Total: Production expenses including VAT</t>
  </si>
  <si>
    <t>expenses net of VAT</t>
  </si>
  <si>
    <t>average days in advances paid</t>
  </si>
  <si>
    <t>cash paid for expenses, including VAT</t>
  </si>
  <si>
    <t>Total: Sales and marketing expenses including VAT</t>
  </si>
  <si>
    <t>Total: General and administrative expenses including VAT</t>
  </si>
  <si>
    <t>Total operating expenses including VAT</t>
  </si>
  <si>
    <t>WORKING CAPITAL</t>
  </si>
  <si>
    <t>average days</t>
  </si>
  <si>
    <t>forecasted value</t>
  </si>
  <si>
    <t>value form the initial balance sheet</t>
  </si>
  <si>
    <t>change in cash</t>
  </si>
  <si>
    <t>Accounts payable to suppliers</t>
  </si>
  <si>
    <t>Social insurance contribution payable</t>
  </si>
  <si>
    <t>Net working capital</t>
  </si>
  <si>
    <t>Change in net working capital</t>
  </si>
  <si>
    <t>FIXED ASSETS</t>
  </si>
  <si>
    <t>Land template</t>
  </si>
  <si>
    <t>payments</t>
  </si>
  <si>
    <t>prior period investments</t>
  </si>
  <si>
    <t>recognition of fixed asset</t>
  </si>
  <si>
    <t>sale of asset</t>
  </si>
  <si>
    <t>main currency: payments</t>
  </si>
  <si>
    <t>investments in progress</t>
  </si>
  <si>
    <t>gain (loss) from sale of asset</t>
  </si>
  <si>
    <t>gain (loss) from exchange rate fluctuations</t>
  </si>
  <si>
    <t>Building template</t>
  </si>
  <si>
    <t>payments, net of VAT</t>
  </si>
  <si>
    <t>prior period investments, net of VAT</t>
  </si>
  <si>
    <t>recognition of fixed asset, net of VAT</t>
  </si>
  <si>
    <t>depreciation premium</t>
  </si>
  <si>
    <t>sale of asset, net of VAT</t>
  </si>
  <si>
    <t>main currency: payments, net of VAT</t>
  </si>
  <si>
    <t>VAT on prior period investments</t>
  </si>
  <si>
    <t>depreciation (accounting)</t>
  </si>
  <si>
    <t>net book value (accounting)</t>
  </si>
  <si>
    <t>VAT recognised</t>
  </si>
  <si>
    <t>depreciation (tax)</t>
  </si>
  <si>
    <t>net book value (tax)</t>
  </si>
  <si>
    <t>gain (loss) from sale of asset (accounting)</t>
  </si>
  <si>
    <t>gain (loss) from sale of asset (tax)</t>
  </si>
  <si>
    <t>VAT on revenue from sale of asset</t>
  </si>
  <si>
    <t>Equipment template</t>
  </si>
  <si>
    <t>import equipment</t>
  </si>
  <si>
    <t>period of importing</t>
  </si>
  <si>
    <t>import custom duty</t>
  </si>
  <si>
    <t>Intangible asset template</t>
  </si>
  <si>
    <t>recognition of asset, net of VAT</t>
  </si>
  <si>
    <t>Equipment</t>
  </si>
  <si>
    <t>Total: Land</t>
  </si>
  <si>
    <t>Total: Buildings and structures, including VAT</t>
  </si>
  <si>
    <t>Total: Equipment, including duties and VAT</t>
  </si>
  <si>
    <t>Total: Intangible assets, including VAT</t>
  </si>
  <si>
    <t>Total investments including duties and VAT</t>
  </si>
  <si>
    <t>VAT</t>
  </si>
  <si>
    <t>Prior period investments including VAT</t>
  </si>
  <si>
    <t>LEASING</t>
  </si>
  <si>
    <t>Template w/o payment schedule</t>
  </si>
  <si>
    <t>Equipment cost, net of VAT</t>
  </si>
  <si>
    <t>No. of period in which equipment operation started</t>
  </si>
  <si>
    <t>Leasing term</t>
  </si>
  <si>
    <t>Lessor's renumeration</t>
  </si>
  <si>
    <t>Advance payment</t>
  </si>
  <si>
    <t>leasing expenses, accrued, net of VAT</t>
  </si>
  <si>
    <t>cash paid for leasing, net of VAT</t>
  </si>
  <si>
    <t>value, net of VAT</t>
  </si>
  <si>
    <t>days of leasing in the period</t>
  </si>
  <si>
    <t>financial expense</t>
  </si>
  <si>
    <t>leasing liability</t>
  </si>
  <si>
    <t>VAT on cash paid</t>
  </si>
  <si>
    <t>VAT on accrued expenses</t>
  </si>
  <si>
    <t>Template with payment schedule</t>
  </si>
  <si>
    <t>Payments, net of VAT</t>
  </si>
  <si>
    <t>cash flow used for the renumeration rate calculation</t>
  </si>
  <si>
    <t>dates for the renumeration rate calculation</t>
  </si>
  <si>
    <t>lessor's renumeration</t>
  </si>
  <si>
    <t>Total: Leasing payments, including VAT</t>
  </si>
  <si>
    <t>cash payments net of VAT</t>
  </si>
  <si>
    <t>FINANCIAL INVESTMENTS</t>
  </si>
  <si>
    <t>Long-term investment template</t>
  </si>
  <si>
    <t>purchase of asset</t>
  </si>
  <si>
    <t>financial assets at the end of period</t>
  </si>
  <si>
    <t>financial assets at the beginning of period</t>
  </si>
  <si>
    <t>Short-term investment template</t>
  </si>
  <si>
    <t>Long-term investments</t>
  </si>
  <si>
    <t>Short-term investments</t>
  </si>
  <si>
    <t>Total: Long-term investments at the end of period</t>
  </si>
  <si>
    <t>the above, net of exchange rate fluctuations</t>
  </si>
  <si>
    <t>at the beginning of period, net of exch. rate fluctuations</t>
  </si>
  <si>
    <t>Total: Short-term investments at the end of period</t>
  </si>
  <si>
    <t>OTHER INCOME AND LOSS</t>
  </si>
  <si>
    <t>Other income template</t>
  </si>
  <si>
    <t>other income, net of VAT</t>
  </si>
  <si>
    <t>Other loss template</t>
  </si>
  <si>
    <t>other loss, net of VAT</t>
  </si>
  <si>
    <t>Total: other income, including VAT</t>
  </si>
  <si>
    <t>other income net of VAT</t>
  </si>
  <si>
    <t>Total: other loss, including VAT</t>
  </si>
  <si>
    <t>other loss net of VAT</t>
  </si>
  <si>
    <t>EQUITY</t>
  </si>
  <si>
    <t>Template</t>
  </si>
  <si>
    <t>owner's contribution</t>
  </si>
  <si>
    <t>Total: owners' contribution</t>
  </si>
  <si>
    <t>Shareholders' capital</t>
  </si>
  <si>
    <t>LOANS</t>
  </si>
  <si>
    <t>grace period on interest payments</t>
  </si>
  <si>
    <t>capitalization of interest</t>
  </si>
  <si>
    <t>proceeds from loan disbursement</t>
  </si>
  <si>
    <t>the first period of loan</t>
  </si>
  <si>
    <t>add interest to the cost of fixed assets</t>
  </si>
  <si>
    <t>interest in fixed assets</t>
  </si>
  <si>
    <t>period of recognition of the fixed assets</t>
  </si>
  <si>
    <t>accrued interest amortization</t>
  </si>
  <si>
    <t>Total: Outstanding debt at the end of period</t>
  </si>
  <si>
    <t>Proceeds from loan disbursement</t>
  </si>
  <si>
    <t>Interest added to the cost of fixed assets</t>
  </si>
  <si>
    <t>Net book value of interest in the fixed assets</t>
  </si>
  <si>
    <t>Amortization of interest</t>
  </si>
  <si>
    <t>Excise paid</t>
  </si>
  <si>
    <t>Custom import duty on raw materials and components</t>
  </si>
  <si>
    <t>Custom import duty on equipment</t>
  </si>
  <si>
    <t>VAT payable</t>
  </si>
  <si>
    <t>VAT received on sales</t>
  </si>
  <si>
    <t>VAT received on sale of assets</t>
  </si>
  <si>
    <t>VAT paid on raw materials and components</t>
  </si>
  <si>
    <t>VAT paid on operating expenses</t>
  </si>
  <si>
    <t>VAT paid on leasing</t>
  </si>
  <si>
    <t>VAT paid on fixed assets</t>
  </si>
  <si>
    <t>VAT recognized on leasing</t>
  </si>
  <si>
    <t>VAT recognized on investments in fixed assets</t>
  </si>
  <si>
    <t>Recognition of VAT from the initial balance</t>
  </si>
  <si>
    <t>Total: VAT balance</t>
  </si>
  <si>
    <t>VAT as asset</t>
  </si>
  <si>
    <t>VAT overpaid</t>
  </si>
  <si>
    <t>Property tax accrued</t>
  </si>
  <si>
    <t>tax payable</t>
  </si>
  <si>
    <t>tax payment</t>
  </si>
  <si>
    <t>Average value of buldings and structures</t>
  </si>
  <si>
    <t>including exempt from property tax</t>
  </si>
  <si>
    <t>Average value of equipment</t>
  </si>
  <si>
    <t>Social insurance contribution accrued</t>
  </si>
  <si>
    <t>contribution payable</t>
  </si>
  <si>
    <t>contribution paid</t>
  </si>
  <si>
    <t>Income tax accrued</t>
  </si>
  <si>
    <t>income tax payable</t>
  </si>
  <si>
    <t>income tax paid</t>
  </si>
  <si>
    <t>Profit exempt from tax</t>
  </si>
  <si>
    <t>Prior period losses</t>
  </si>
  <si>
    <t>Prior period losses recognized</t>
  </si>
  <si>
    <t>Taxable profit</t>
  </si>
  <si>
    <t>Sales tax accrued</t>
  </si>
  <si>
    <t>sales tax payable</t>
  </si>
  <si>
    <t>sales tax paid</t>
  </si>
  <si>
    <t>Taxable revenue</t>
  </si>
  <si>
    <t>Small business profit tax</t>
  </si>
  <si>
    <t>tax paid</t>
  </si>
  <si>
    <t>taxable profit before recognition of prior period losses</t>
  </si>
  <si>
    <t>Recognition of prior period losses</t>
  </si>
  <si>
    <t>Minimum tax as percentage of sales</t>
  </si>
  <si>
    <t>Tax accrued</t>
  </si>
  <si>
    <t>Tax paid</t>
  </si>
  <si>
    <t>Задолженность перед бюджетом и фондами</t>
  </si>
  <si>
    <t>days</t>
  </si>
  <si>
    <t>Да</t>
  </si>
  <si>
    <t>Нет</t>
  </si>
  <si>
    <t>Yes</t>
  </si>
  <si>
    <t>No</t>
  </si>
  <si>
    <t>times</t>
  </si>
  <si>
    <t>times p.a.</t>
  </si>
  <si>
    <t>per period</t>
  </si>
  <si>
    <t>Импорт</t>
  </si>
  <si>
    <t>Не импорт</t>
  </si>
  <si>
    <t>Import</t>
  </si>
  <si>
    <t>Not import</t>
  </si>
  <si>
    <t>persons</t>
  </si>
  <si>
    <t>Adding periods to the sheet "***" …</t>
  </si>
  <si>
    <t>Deleting periods from the sheet "***" …</t>
  </si>
  <si>
    <t>This function is unavailable in the demo version.</t>
  </si>
  <si>
    <t>You are using demo version. It works like the full version, but does not calculate the results.</t>
  </si>
  <si>
    <t>Filling the schedule of payments…</t>
  </si>
  <si>
    <t>Warning! A loan with these parameters cannot be paid before the end of the project</t>
  </si>
  <si>
    <t>Sensitivity analysis … Calculation # ***</t>
  </si>
  <si>
    <t>Стр. [# стр] из [Число стр.]</t>
  </si>
  <si>
    <t>Нераспределенная чистая прибыль за период</t>
  </si>
  <si>
    <t>цена за единицу (</t>
  </si>
  <si>
    <t>), без НДС</t>
  </si>
  <si>
    <t>), net of VAT</t>
  </si>
  <si>
    <t>price per unit (</t>
  </si>
  <si>
    <t>Подождите пожалуйста. Идет пересчет формул…</t>
  </si>
  <si>
    <t>Please wait. Recalculating all formulas…</t>
  </si>
  <si>
    <t>Confirm password:</t>
  </si>
  <si>
    <t>Подтверждение пароля:</t>
  </si>
  <si>
    <t>You are using trial version.</t>
  </si>
  <si>
    <t>В пробной версии эта возможность недоступна.</t>
  </si>
  <si>
    <t>This function is unavailable in the trial version.</t>
  </si>
  <si>
    <t>Установить параметры VBA?</t>
  </si>
  <si>
    <t>Вы используете пробную версию программы.</t>
  </si>
  <si>
    <t>Fixed costs / COGS</t>
  </si>
  <si>
    <t>Доля постоянных затрат</t>
  </si>
  <si>
    <t>Break-even point</t>
  </si>
  <si>
    <t>"Margin of safety"</t>
  </si>
  <si>
    <t>Точка безубыточности</t>
  </si>
  <si>
    <t>"Запас прочности"</t>
  </si>
  <si>
    <t>Коэффициент текущей ликвидности</t>
  </si>
  <si>
    <t>Current ratio (CR)</t>
  </si>
  <si>
    <t>EBITDA (year)</t>
  </si>
  <si>
    <t>EBITDA (в годовом выражении)</t>
  </si>
  <si>
    <t>коэффициент реинвестирования</t>
  </si>
  <si>
    <t>reinvestment index at the beginning of period</t>
  </si>
  <si>
    <t>Modified Cash Flow</t>
  </si>
  <si>
    <t>Модифицированный денежный поток</t>
  </si>
  <si>
    <t>Норма доходности дисконтированных затрат (PI)</t>
  </si>
  <si>
    <t>Profitability Index (PI)</t>
  </si>
  <si>
    <t xml:space="preserve">    inflows</t>
  </si>
  <si>
    <t xml:space="preserve">    discounted inflows</t>
  </si>
  <si>
    <t xml:space="preserve">    outflows</t>
  </si>
  <si>
    <t xml:space="preserve">    discounted outflows</t>
  </si>
  <si>
    <t>притоки</t>
  </si>
  <si>
    <t>дисконтированные притоки</t>
  </si>
  <si>
    <t>оттоки</t>
  </si>
  <si>
    <t>дисконтированные оттоки</t>
  </si>
  <si>
    <t>срок кредитования</t>
  </si>
  <si>
    <t>loan term</t>
  </si>
  <si>
    <t>Простой срок окупаемости</t>
  </si>
  <si>
    <t>Simple payback period</t>
  </si>
  <si>
    <t>Недисконтированный поток нарастающим итогом</t>
  </si>
  <si>
    <t>Undiscounted cash flow, cumulative</t>
  </si>
  <si>
    <t>Флаг периода окупаемости</t>
  </si>
  <si>
    <t xml:space="preserve">Payback period flag </t>
  </si>
  <si>
    <t>ДВИЖЕНИЕ ЖИВОТНЫХ И РАСЧЕТ ОБЪЕМОВ МОЛОКА И МЯСА</t>
  </si>
  <si>
    <t>На начало</t>
  </si>
  <si>
    <t>Пополнение</t>
  </si>
  <si>
    <t>Выбытие</t>
  </si>
  <si>
    <t>На конец</t>
  </si>
  <si>
    <t>Кормодни</t>
  </si>
  <si>
    <t>Удой, л/день</t>
  </si>
  <si>
    <t>Молоко, л/год</t>
  </si>
  <si>
    <t>Вес</t>
  </si>
  <si>
    <t>Мясо, кг</t>
  </si>
  <si>
    <t>Покупка</t>
  </si>
  <si>
    <t>Приплод</t>
  </si>
  <si>
    <t>Из младших</t>
  </si>
  <si>
    <t>В старшие</t>
  </si>
  <si>
    <t>Падеж</t>
  </si>
  <si>
    <t>Телка</t>
  </si>
  <si>
    <t>Нетель</t>
  </si>
  <si>
    <t>Первотелка</t>
  </si>
  <si>
    <t>Корова</t>
  </si>
  <si>
    <t>Бычки</t>
  </si>
  <si>
    <t>Кредит 2013 года</t>
  </si>
  <si>
    <t>ID=1;Type=1;Row=7</t>
  </si>
  <si>
    <t>Header=2;Count=1;</t>
  </si>
  <si>
    <t>Продажа</t>
  </si>
  <si>
    <t>TABLE::MILKFARM</t>
  </si>
  <si>
    <t>END::MILKFARM</t>
  </si>
  <si>
    <t>МОЛОЧНАЯ ФЕРМА</t>
  </si>
  <si>
    <t>TABLE::MILKPLANT</t>
  </si>
  <si>
    <t>END::MILKPLANT</t>
  </si>
  <si>
    <t>МОЛОКОЗАВОД</t>
  </si>
  <si>
    <t>РАСТЕНИЕВОДСТВО</t>
  </si>
  <si>
    <t>TABLE::GROWING</t>
  </si>
  <si>
    <t>END::GROWING</t>
  </si>
  <si>
    <t>Валовый надой</t>
  </si>
  <si>
    <t>тонн</t>
  </si>
  <si>
    <t>Нетоварное молоко</t>
  </si>
  <si>
    <t>Выпойка телят</t>
  </si>
  <si>
    <t>Молоко, переданное на переработку в молокозавод</t>
  </si>
  <si>
    <t>Молоко к реализации</t>
  </si>
  <si>
    <t>Реализация молодняка</t>
  </si>
  <si>
    <t>Реализация нетелей</t>
  </si>
  <si>
    <t>Реализация выбракованного стада</t>
  </si>
  <si>
    <t>гол</t>
  </si>
  <si>
    <t>Объем перерабатываемого молока</t>
  </si>
  <si>
    <t>Потери</t>
  </si>
  <si>
    <t>Переработанное молоко</t>
  </si>
  <si>
    <t xml:space="preserve">Молоко  </t>
  </si>
  <si>
    <t xml:space="preserve">Сливки </t>
  </si>
  <si>
    <t xml:space="preserve">Сметана </t>
  </si>
  <si>
    <t>Кефир</t>
  </si>
  <si>
    <t xml:space="preserve">Йогурт </t>
  </si>
  <si>
    <t>ФЕРМА: Товарное молоко</t>
  </si>
  <si>
    <t>ID=2;Type=2;Row=18</t>
  </si>
  <si>
    <t>тн</t>
  </si>
  <si>
    <t>ID=3;Type=2;Row=18</t>
  </si>
  <si>
    <t>ID=4;Type=2;Row=18</t>
  </si>
  <si>
    <t>ID=5;Type=2;Row=18</t>
  </si>
  <si>
    <t>ID=6;Type=2;Row=18</t>
  </si>
  <si>
    <t>ФЕРМА: Нетоварное молоко</t>
  </si>
  <si>
    <t>ФЕРМА: Реализация молодняка</t>
  </si>
  <si>
    <t>ФЕРМА: Реализация выбракованного стада</t>
  </si>
  <si>
    <t>ФЕРМА: Реализация нетелей</t>
  </si>
  <si>
    <t>Пшеница</t>
  </si>
  <si>
    <t>Посевная площадь</t>
  </si>
  <si>
    <t>Средняя урожайность</t>
  </si>
  <si>
    <t>Валовый сбор</t>
  </si>
  <si>
    <t>Семенной фонд</t>
  </si>
  <si>
    <t>га</t>
  </si>
  <si>
    <t>ц / га</t>
  </si>
  <si>
    <t>ц</t>
  </si>
  <si>
    <t>Продукция к реализации</t>
  </si>
  <si>
    <t>Ячмень</t>
  </si>
  <si>
    <t>Горох</t>
  </si>
  <si>
    <t>Type=0;Row=1</t>
  </si>
  <si>
    <t>МОЛОКОЗАВОД: Молоко</t>
  </si>
  <si>
    <t>ID=7;Type=2;Row=18</t>
  </si>
  <si>
    <t>ID=8;Type=2;Row=18</t>
  </si>
  <si>
    <t>ID=9;Type=2;Row=18</t>
  </si>
  <si>
    <t>ID=10;Type=2;Row=18</t>
  </si>
  <si>
    <t>ID=11;Type=2;Row=18</t>
  </si>
  <si>
    <t>РАСТ: Пшеница</t>
  </si>
  <si>
    <t>ID=12;Type=2;Row=18</t>
  </si>
  <si>
    <t>ID=13;Type=2;Row=18</t>
  </si>
  <si>
    <t>ID=14;Type=2;Row=18</t>
  </si>
  <si>
    <t>Header=1;Count=15;</t>
  </si>
  <si>
    <t>МОЛОКОЗАВОД: Сливки</t>
  </si>
  <si>
    <t>МОЛОКОЗАВОД: Сметана</t>
  </si>
  <si>
    <t>МОЛОКОЗАВОД: Кефир</t>
  </si>
  <si>
    <t>МОЛОКОЗАВОД: Йогурт</t>
  </si>
  <si>
    <t>РАСТ: Ячмень</t>
  </si>
  <si>
    <t>РАСТ: Горох</t>
  </si>
  <si>
    <t>Санпропускник, площадки для выгула</t>
  </si>
  <si>
    <t>ID=15;Type=2;Row=24</t>
  </si>
  <si>
    <t>Нетели</t>
  </si>
  <si>
    <t>ID=16;Type=3;Row=28</t>
  </si>
  <si>
    <t>Оборудование для молокозавода</t>
  </si>
  <si>
    <t>ID=17;Type=3;Row=28</t>
  </si>
  <si>
    <t>Header=2;Count=2;</t>
  </si>
  <si>
    <t>Субсидии</t>
  </si>
  <si>
    <t>ID=18;Type=1;Row=4</t>
  </si>
  <si>
    <t>Весь персонал фермы</t>
  </si>
  <si>
    <t>ID=19;Type=2;Row=7</t>
  </si>
  <si>
    <t>Упаковка и прочие прямые расходы молокозавода</t>
  </si>
  <si>
    <t>Product=7;Mode=sum</t>
  </si>
  <si>
    <t>Product=8;Mode=sum</t>
  </si>
  <si>
    <t>Product=9;Mode=sum</t>
  </si>
  <si>
    <t>Product=10;Mode=sum</t>
  </si>
  <si>
    <t>Product=11;Mode=sum</t>
  </si>
  <si>
    <t>ID=20;Type=1;Row=26;Product=5;</t>
  </si>
  <si>
    <t>ID=21;Type=2;Row=22;Product=0</t>
  </si>
  <si>
    <t>дн</t>
  </si>
  <si>
    <t>Расход грубых кормов (силос, сено, …)</t>
  </si>
  <si>
    <t>Расход концентрированных кормов</t>
  </si>
  <si>
    <t>Всего</t>
  </si>
  <si>
    <t>кг</t>
  </si>
  <si>
    <t>На день</t>
  </si>
  <si>
    <t>Кормодней для содержания стада</t>
  </si>
  <si>
    <t>Расходы на концентрированные корма</t>
  </si>
  <si>
    <t>Удобрения и средства защиты растений</t>
  </si>
  <si>
    <t>ID=22;Type=1;Row=21;Product=0</t>
  </si>
  <si>
    <t>ГСМ</t>
  </si>
  <si>
    <t>ID=23;Type=2;Row=22;Product=0</t>
  </si>
  <si>
    <t>ID=24;Type=1;Row=8</t>
  </si>
  <si>
    <t>ID=25;Type=1;Row=8</t>
  </si>
  <si>
    <t>ID=26;Type=1;Row=8</t>
  </si>
  <si>
    <t>Header=2;Count=3;</t>
  </si>
  <si>
    <t>Расходы на содержание и эксплуатацию оборудования</t>
  </si>
  <si>
    <t>Электроэнергия</t>
  </si>
  <si>
    <t>Обслуживание техники растениеводства</t>
  </si>
  <si>
    <t>ID=27;Type=1;Row=8</t>
  </si>
  <si>
    <t>ID=28;Type=1;Row=8</t>
  </si>
  <si>
    <t>ID=29;Type=1;Row=8</t>
  </si>
  <si>
    <t>Управленческие расходы</t>
  </si>
  <si>
    <t>Реклама и маркетинг</t>
  </si>
  <si>
    <t>ID=30;Type=1;Row=19</t>
  </si>
  <si>
    <t>ID=31;Type=1;Row=19</t>
  </si>
  <si>
    <t>Реструктуризация долга</t>
  </si>
  <si>
    <t>Дополнительный кредит</t>
  </si>
  <si>
    <t>Section=2;Rest=0;Cover=140;</t>
  </si>
  <si>
    <t>Покупка семян</t>
  </si>
  <si>
    <t>ID=32;Type=1;Row=21;Product=0</t>
  </si>
  <si>
    <t>Header=1;Count=5;</t>
  </si>
  <si>
    <t>Агро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</si>
</sst>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0"/>
    <numFmt numFmtId="165" formatCode="0.0%"/>
    <numFmt numFmtId="166" formatCode="0.0000"/>
    <numFmt numFmtId="167" formatCode="0.0"/>
    <numFmt numFmtId="168" formatCode="#,##0.0"/>
  </numFmts>
  <fonts count="31" x14ac:knownFonts="1"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8"/>
      <color theme="1" tint="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 tint="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10"/>
      <color theme="1" tint="0.49998474074526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i/>
      <sz val="8"/>
      <color theme="1" tint="0.499984740745262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i/>
      <sz val="10"/>
      <color theme="0" tint="-0.499984740745262"/>
      <name val="Calibri"/>
      <family val="2"/>
      <charset val="204"/>
      <scheme val="minor"/>
    </font>
    <font>
      <b/>
      <sz val="10"/>
      <color theme="1" tint="0.499984740745262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i/>
      <sz val="10"/>
      <color indexed="8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i/>
      <sz val="10"/>
      <color indexed="8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F0F0F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tted">
        <color auto="1"/>
      </top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392">
    <xf numFmtId="0" fontId="0" fillId="0" borderId="0" xfId="0"/>
    <xf numFmtId="0" fontId="0" fillId="3" borderId="0" xfId="0" applyFill="1"/>
    <xf numFmtId="0" fontId="0" fillId="0" borderId="0" xfId="0" applyFont="1"/>
    <xf numFmtId="0" fontId="0" fillId="0" borderId="2" xfId="0" applyBorder="1"/>
    <xf numFmtId="0" fontId="0" fillId="5" borderId="0" xfId="0" applyFill="1"/>
    <xf numFmtId="0" fontId="1" fillId="0" borderId="0" xfId="0" applyFont="1"/>
    <xf numFmtId="0" fontId="0" fillId="6" borderId="0" xfId="0" applyFill="1"/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14" fontId="0" fillId="3" borderId="0" xfId="0" applyNumberFormat="1" applyFill="1" applyAlignment="1">
      <alignment horizontal="center"/>
    </xf>
    <xf numFmtId="0" fontId="0" fillId="0" borderId="2" xfId="0" applyFill="1" applyBorder="1" applyAlignment="1">
      <alignment horizontal="center"/>
    </xf>
    <xf numFmtId="0" fontId="1" fillId="0" borderId="2" xfId="0" applyFont="1" applyBorder="1"/>
    <xf numFmtId="0" fontId="0" fillId="7" borderId="0" xfId="0" applyFill="1"/>
    <xf numFmtId="0" fontId="0" fillId="0" borderId="0" xfId="0" applyAlignment="1">
      <alignment horizontal="right"/>
    </xf>
    <xf numFmtId="0" fontId="0" fillId="0" borderId="2" xfId="0" applyBorder="1" applyAlignment="1">
      <alignment horizontal="center"/>
    </xf>
    <xf numFmtId="0" fontId="0" fillId="2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0" borderId="0" xfId="0" applyFill="1"/>
    <xf numFmtId="0" fontId="0" fillId="11" borderId="0" xfId="0" applyFill="1"/>
    <xf numFmtId="0" fontId="0" fillId="12" borderId="0" xfId="0" applyFill="1"/>
    <xf numFmtId="0" fontId="0" fillId="0" borderId="0" xfId="0" applyAlignment="1"/>
    <xf numFmtId="0" fontId="0" fillId="3" borderId="0" xfId="0" applyFill="1" applyAlignment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3" fillId="8" borderId="0" xfId="0" applyFont="1" applyFill="1"/>
    <xf numFmtId="0" fontId="0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15" borderId="0" xfId="0" applyFont="1" applyFill="1"/>
    <xf numFmtId="0" fontId="0" fillId="12" borderId="0" xfId="0" applyFont="1" applyFill="1"/>
    <xf numFmtId="0" fontId="0" fillId="11" borderId="0" xfId="0" applyFont="1" applyFill="1"/>
    <xf numFmtId="0" fontId="0" fillId="8" borderId="0" xfId="0" applyFont="1" applyFill="1"/>
    <xf numFmtId="0" fontId="2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11" xfId="0" applyFont="1" applyBorder="1"/>
    <xf numFmtId="3" fontId="5" fillId="0" borderId="0" xfId="0" applyNumberFormat="1" applyFont="1" applyBorder="1" applyAlignment="1">
      <alignment horizontal="right"/>
    </xf>
    <xf numFmtId="3" fontId="7" fillId="0" borderId="0" xfId="0" applyNumberFormat="1" applyFont="1" applyFill="1" applyBorder="1" applyAlignment="1">
      <alignment horizontal="right"/>
    </xf>
    <xf numFmtId="168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Fill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3" fontId="5" fillId="0" borderId="4" xfId="0" applyNumberFormat="1" applyFont="1" applyBorder="1"/>
    <xf numFmtId="3" fontId="5" fillId="0" borderId="2" xfId="0" applyNumberFormat="1" applyFont="1" applyBorder="1" applyAlignment="1">
      <alignment horizontal="right"/>
    </xf>
    <xf numFmtId="3" fontId="5" fillId="0" borderId="2" xfId="0" applyNumberFormat="1" applyFont="1" applyFill="1" applyBorder="1" applyAlignment="1">
      <alignment horizontal="right"/>
    </xf>
    <xf numFmtId="168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0" fontId="8" fillId="0" borderId="0" xfId="0" applyFont="1" applyFill="1" applyAlignment="1">
      <alignment horizontal="center"/>
    </xf>
    <xf numFmtId="49" fontId="8" fillId="0" borderId="0" xfId="0" applyNumberFormat="1" applyFont="1" applyFill="1" applyAlignment="1">
      <alignment horizontal="center"/>
    </xf>
    <xf numFmtId="0" fontId="9" fillId="0" borderId="0" xfId="0" applyFont="1" applyFill="1"/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10" fillId="0" borderId="0" xfId="0" applyFont="1"/>
    <xf numFmtId="0" fontId="5" fillId="0" borderId="0" xfId="0" applyFont="1" applyFill="1" applyBorder="1"/>
    <xf numFmtId="0" fontId="5" fillId="15" borderId="1" xfId="0" applyNumberFormat="1" applyFont="1" applyFill="1" applyBorder="1" applyAlignment="1">
      <alignment horizontal="left" vertical="center" indent="3"/>
    </xf>
    <xf numFmtId="0" fontId="6" fillId="15" borderId="1" xfId="0" applyNumberFormat="1" applyFont="1" applyFill="1" applyBorder="1" applyAlignment="1">
      <alignment vertical="center"/>
    </xf>
    <xf numFmtId="0" fontId="5" fillId="15" borderId="1" xfId="0" applyNumberFormat="1" applyFont="1" applyFill="1" applyBorder="1" applyAlignment="1">
      <alignment vertical="center"/>
    </xf>
    <xf numFmtId="0" fontId="10" fillId="15" borderId="1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5" fillId="0" borderId="2" xfId="0" applyFont="1" applyBorder="1" applyAlignment="1">
      <alignment horizontal="left"/>
    </xf>
    <xf numFmtId="0" fontId="10" fillId="0" borderId="2" xfId="0" applyFont="1" applyBorder="1"/>
    <xf numFmtId="0" fontId="5" fillId="15" borderId="1" xfId="0" applyNumberFormat="1" applyFont="1" applyFill="1" applyBorder="1" applyAlignment="1">
      <alignment horizontal="center" vertical="center"/>
    </xf>
    <xf numFmtId="1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NumberFormat="1" applyFont="1" applyBorder="1" applyAlignment="1">
      <alignment horizontal="center"/>
    </xf>
    <xf numFmtId="14" fontId="5" fillId="0" borderId="0" xfId="0" applyNumberFormat="1" applyFont="1"/>
    <xf numFmtId="2" fontId="5" fillId="0" borderId="0" xfId="0" applyNumberFormat="1" applyFont="1"/>
    <xf numFmtId="0" fontId="5" fillId="0" borderId="0" xfId="0" applyNumberFormat="1" applyFont="1" applyAlignment="1">
      <alignment horizontal="right"/>
    </xf>
    <xf numFmtId="0" fontId="5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5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Fill="1" applyAlignment="1">
      <alignment horizontal="left" indent="1"/>
    </xf>
    <xf numFmtId="9" fontId="8" fillId="0" borderId="0" xfId="0" applyNumberFormat="1" applyFont="1" applyAlignment="1">
      <alignment horizontal="center"/>
    </xf>
    <xf numFmtId="2" fontId="11" fillId="0" borderId="0" xfId="0" applyNumberFormat="1" applyFont="1" applyFill="1"/>
    <xf numFmtId="2" fontId="10" fillId="0" borderId="0" xfId="0" applyNumberFormat="1" applyFont="1" applyFill="1"/>
    <xf numFmtId="0" fontId="12" fillId="0" borderId="0" xfId="0" applyFont="1"/>
    <xf numFmtId="165" fontId="11" fillId="11" borderId="0" xfId="0" applyNumberFormat="1" applyFont="1" applyFill="1" applyProtection="1">
      <protection locked="0"/>
    </xf>
    <xf numFmtId="165" fontId="5" fillId="0" borderId="0" xfId="0" applyNumberFormat="1" applyFont="1"/>
    <xf numFmtId="0" fontId="13" fillId="0" borderId="0" xfId="0" applyFont="1" applyAlignment="1">
      <alignment horizontal="center"/>
    </xf>
    <xf numFmtId="166" fontId="5" fillId="0" borderId="0" xfId="0" applyNumberFormat="1" applyFont="1"/>
    <xf numFmtId="0" fontId="6" fillId="0" borderId="0" xfId="0" applyFont="1" applyAlignment="1">
      <alignment horizontal="left"/>
    </xf>
    <xf numFmtId="165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Alignment="1">
      <alignment horizontal="left"/>
    </xf>
    <xf numFmtId="0" fontId="5" fillId="0" borderId="0" xfId="0" applyFont="1" applyAlignment="1">
      <alignment horizontal="right"/>
    </xf>
    <xf numFmtId="165" fontId="5" fillId="0" borderId="0" xfId="0" applyNumberFormat="1" applyFont="1" applyFill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 indent="1"/>
    </xf>
    <xf numFmtId="0" fontId="10" fillId="0" borderId="0" xfId="0" applyFont="1" applyBorder="1"/>
    <xf numFmtId="0" fontId="5" fillId="0" borderId="0" xfId="0" applyFont="1" applyBorder="1" applyAlignment="1">
      <alignment horizontal="left" indent="1"/>
    </xf>
    <xf numFmtId="0" fontId="5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165" fontId="5" fillId="0" borderId="0" xfId="0" applyNumberFormat="1" applyFont="1" applyBorder="1"/>
    <xf numFmtId="166" fontId="5" fillId="0" borderId="0" xfId="0" applyNumberFormat="1" applyFont="1" applyBorder="1"/>
    <xf numFmtId="0" fontId="5" fillId="0" borderId="2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9" fillId="0" borderId="0" xfId="0" applyFont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165" fontId="5" fillId="0" borderId="2" xfId="0" applyNumberFormat="1" applyFont="1" applyFill="1" applyBorder="1" applyAlignment="1">
      <alignment horizontal="center"/>
    </xf>
    <xf numFmtId="0" fontId="5" fillId="0" borderId="2" xfId="0" applyFont="1" applyFill="1" applyBorder="1"/>
    <xf numFmtId="0" fontId="10" fillId="0" borderId="2" xfId="0" applyFont="1" applyFill="1" applyBorder="1"/>
    <xf numFmtId="0" fontId="10" fillId="0" borderId="0" xfId="0" applyFont="1" applyFill="1"/>
    <xf numFmtId="0" fontId="14" fillId="0" borderId="0" xfId="0" applyFont="1" applyFill="1" applyAlignment="1">
      <alignment horizontal="center"/>
    </xf>
    <xf numFmtId="0" fontId="14" fillId="0" borderId="0" xfId="0" applyFont="1" applyFill="1"/>
    <xf numFmtId="0" fontId="15" fillId="0" borderId="0" xfId="0" applyFont="1" applyFill="1" applyBorder="1"/>
    <xf numFmtId="0" fontId="5" fillId="15" borderId="1" xfId="0" applyFont="1" applyFill="1" applyBorder="1" applyAlignment="1">
      <alignment horizontal="left" vertical="center" indent="3"/>
    </xf>
    <xf numFmtId="0" fontId="6" fillId="15" borderId="1" xfId="0" applyFont="1" applyFill="1" applyBorder="1" applyAlignment="1">
      <alignment vertical="center"/>
    </xf>
    <xf numFmtId="0" fontId="5" fillId="15" borderId="1" xfId="0" applyFont="1" applyFill="1" applyBorder="1" applyAlignment="1">
      <alignment vertical="center"/>
    </xf>
    <xf numFmtId="0" fontId="10" fillId="15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6" fillId="0" borderId="3" xfId="0" applyFont="1" applyBorder="1" applyAlignment="1">
      <alignment horizontal="left"/>
    </xf>
    <xf numFmtId="3" fontId="11" fillId="0" borderId="3" xfId="0" applyNumberFormat="1" applyFont="1" applyBorder="1" applyAlignment="1">
      <alignment horizontal="right"/>
    </xf>
    <xf numFmtId="0" fontId="9" fillId="0" borderId="3" xfId="0" applyFont="1" applyBorder="1" applyAlignment="1">
      <alignment horizontal="center" vertical="center"/>
    </xf>
    <xf numFmtId="0" fontId="10" fillId="0" borderId="3" xfId="0" applyFont="1" applyBorder="1"/>
    <xf numFmtId="3" fontId="11" fillId="0" borderId="0" xfId="0" applyNumberFormat="1" applyFont="1" applyAlignment="1">
      <alignment horizontal="right"/>
    </xf>
    <xf numFmtId="0" fontId="9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left"/>
    </xf>
    <xf numFmtId="3" fontId="13" fillId="0" borderId="2" xfId="0" applyNumberFormat="1" applyFont="1" applyBorder="1" applyAlignment="1">
      <alignment horizontal="right"/>
    </xf>
    <xf numFmtId="0" fontId="9" fillId="0" borderId="2" xfId="0" applyFont="1" applyBorder="1" applyAlignment="1">
      <alignment horizontal="center" vertical="center"/>
    </xf>
    <xf numFmtId="0" fontId="16" fillId="0" borderId="0" xfId="0" applyFont="1" applyAlignment="1">
      <alignment horizontal="left"/>
    </xf>
    <xf numFmtId="3" fontId="16" fillId="0" borderId="0" xfId="0" applyNumberFormat="1" applyFont="1"/>
    <xf numFmtId="0" fontId="16" fillId="0" borderId="0" xfId="0" applyFont="1" applyAlignment="1">
      <alignment horizontal="center"/>
    </xf>
    <xf numFmtId="0" fontId="9" fillId="0" borderId="0" xfId="0" applyFont="1"/>
    <xf numFmtId="3" fontId="5" fillId="0" borderId="0" xfId="0" applyNumberFormat="1" applyFont="1"/>
    <xf numFmtId="0" fontId="10" fillId="0" borderId="0" xfId="0" applyFont="1" applyFill="1" applyAlignment="1">
      <alignment horizontal="left" wrapText="1" indent="1"/>
    </xf>
    <xf numFmtId="0" fontId="5" fillId="15" borderId="1" xfId="0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horizontal="center" vertical="center"/>
    </xf>
    <xf numFmtId="3" fontId="15" fillId="0" borderId="0" xfId="0" applyNumberFormat="1" applyFont="1" applyBorder="1"/>
    <xf numFmtId="3" fontId="6" fillId="0" borderId="0" xfId="0" applyNumberFormat="1" applyFont="1"/>
    <xf numFmtId="0" fontId="5" fillId="0" borderId="3" xfId="0" applyFont="1" applyBorder="1"/>
    <xf numFmtId="3" fontId="5" fillId="0" borderId="3" xfId="0" applyNumberFormat="1" applyFont="1" applyBorder="1"/>
    <xf numFmtId="0" fontId="17" fillId="0" borderId="0" xfId="0" applyFont="1" applyAlignment="1">
      <alignment horizontal="center"/>
    </xf>
    <xf numFmtId="3" fontId="5" fillId="0" borderId="11" xfId="0" applyNumberFormat="1" applyFont="1" applyBorder="1"/>
    <xf numFmtId="3" fontId="5" fillId="0" borderId="0" xfId="0" applyNumberFormat="1" applyFont="1" applyFill="1"/>
    <xf numFmtId="0" fontId="15" fillId="0" borderId="2" xfId="0" applyFont="1" applyBorder="1"/>
    <xf numFmtId="0" fontId="15" fillId="0" borderId="0" xfId="0" applyFont="1" applyBorder="1"/>
    <xf numFmtId="9" fontId="17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indent="1"/>
    </xf>
    <xf numFmtId="0" fontId="10" fillId="0" borderId="0" xfId="0" applyFont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17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165" fontId="11" fillId="0" borderId="0" xfId="0" applyNumberFormat="1" applyFont="1" applyFill="1" applyAlignment="1">
      <alignment horizontal="right"/>
    </xf>
    <xf numFmtId="0" fontId="15" fillId="0" borderId="0" xfId="0" applyFont="1" applyFill="1"/>
    <xf numFmtId="0" fontId="11" fillId="0" borderId="0" xfId="0" applyFont="1" applyFill="1" applyBorder="1" applyAlignment="1">
      <alignment horizontal="left" indent="1"/>
    </xf>
    <xf numFmtId="0" fontId="17" fillId="0" borderId="0" xfId="0" applyFont="1" applyFill="1" applyBorder="1" applyAlignment="1">
      <alignment horizontal="center"/>
    </xf>
    <xf numFmtId="3" fontId="11" fillId="0" borderId="0" xfId="0" applyNumberFormat="1" applyFont="1" applyBorder="1"/>
    <xf numFmtId="3" fontId="11" fillId="0" borderId="0" xfId="0" applyNumberFormat="1" applyFont="1" applyFill="1" applyBorder="1"/>
    <xf numFmtId="3" fontId="18" fillId="0" borderId="0" xfId="0" applyNumberFormat="1" applyFont="1" applyBorder="1"/>
    <xf numFmtId="0" fontId="11" fillId="0" borderId="0" xfId="0" applyFont="1" applyBorder="1"/>
    <xf numFmtId="0" fontId="10" fillId="0" borderId="0" xfId="0" applyFont="1" applyFill="1" applyBorder="1" applyAlignment="1">
      <alignment horizontal="left" indent="1"/>
    </xf>
    <xf numFmtId="3" fontId="10" fillId="0" borderId="0" xfId="0" applyNumberFormat="1" applyFont="1" applyFill="1" applyAlignment="1">
      <alignment horizontal="right"/>
    </xf>
    <xf numFmtId="3" fontId="12" fillId="0" borderId="0" xfId="0" applyNumberFormat="1" applyFont="1" applyBorder="1"/>
    <xf numFmtId="0" fontId="15" fillId="0" borderId="0" xfId="0" applyFont="1"/>
    <xf numFmtId="3" fontId="15" fillId="0" borderId="0" xfId="0" applyNumberFormat="1" applyFont="1"/>
    <xf numFmtId="0" fontId="5" fillId="0" borderId="0" xfId="0" applyFont="1" applyFill="1" applyAlignment="1">
      <alignment horizontal="left" indent="1"/>
    </xf>
    <xf numFmtId="3" fontId="5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9" fontId="5" fillId="0" borderId="0" xfId="0" applyNumberFormat="1" applyFont="1" applyFill="1"/>
    <xf numFmtId="3" fontId="11" fillId="0" borderId="0" xfId="0" applyNumberFormat="1" applyFont="1"/>
    <xf numFmtId="3" fontId="11" fillId="0" borderId="0" xfId="0" applyNumberFormat="1" applyFont="1" applyFill="1"/>
    <xf numFmtId="3" fontId="18" fillId="0" borderId="0" xfId="0" applyNumberFormat="1" applyFont="1"/>
    <xf numFmtId="0" fontId="10" fillId="0" borderId="0" xfId="0" applyFont="1" applyFill="1" applyAlignment="1">
      <alignment horizontal="left" indent="1"/>
    </xf>
    <xf numFmtId="3" fontId="10" fillId="0" borderId="0" xfId="0" applyNumberFormat="1" applyFont="1" applyFill="1"/>
    <xf numFmtId="0" fontId="5" fillId="0" borderId="0" xfId="0" applyFont="1" applyBorder="1" applyAlignment="1">
      <alignment horizontal="left" indent="2"/>
    </xf>
    <xf numFmtId="0" fontId="12" fillId="0" borderId="0" xfId="0" applyFont="1" applyBorder="1"/>
    <xf numFmtId="9" fontId="10" fillId="0" borderId="0" xfId="0" applyNumberFormat="1" applyFont="1" applyFill="1"/>
    <xf numFmtId="0" fontId="12" fillId="0" borderId="0" xfId="0" applyFont="1" applyFill="1" applyBorder="1"/>
    <xf numFmtId="3" fontId="10" fillId="0" borderId="0" xfId="0" applyNumberFormat="1" applyFont="1"/>
    <xf numFmtId="3" fontId="11" fillId="0" borderId="0" xfId="0" applyNumberFormat="1" applyFont="1" applyFill="1" applyAlignment="1">
      <alignment horizontal="center"/>
    </xf>
    <xf numFmtId="3" fontId="15" fillId="0" borderId="0" xfId="0" applyNumberFormat="1" applyFont="1" applyFill="1"/>
    <xf numFmtId="0" fontId="11" fillId="0" borderId="0" xfId="0" applyFont="1" applyFill="1" applyAlignment="1">
      <alignment horizontal="center"/>
    </xf>
    <xf numFmtId="3" fontId="12" fillId="0" borderId="0" xfId="0" applyNumberFormat="1" applyFont="1"/>
    <xf numFmtId="3" fontId="10" fillId="0" borderId="0" xfId="0" applyNumberFormat="1" applyFont="1" applyFill="1" applyBorder="1" applyAlignment="1">
      <alignment horizontal="right"/>
    </xf>
    <xf numFmtId="9" fontId="10" fillId="0" borderId="0" xfId="0" applyNumberFormat="1" applyFont="1" applyBorder="1" applyAlignment="1">
      <alignment horizontal="center"/>
    </xf>
    <xf numFmtId="9" fontId="10" fillId="0" borderId="0" xfId="0" applyNumberFormat="1" applyFont="1" applyFill="1" applyBorder="1"/>
    <xf numFmtId="2" fontId="10" fillId="0" borderId="0" xfId="0" applyNumberFormat="1" applyFont="1" applyFill="1" applyBorder="1"/>
    <xf numFmtId="3" fontId="10" fillId="0" borderId="0" xfId="0" applyNumberFormat="1" applyFont="1" applyFill="1" applyBorder="1"/>
    <xf numFmtId="0" fontId="9" fillId="0" borderId="0" xfId="0" applyFont="1" applyFill="1" applyAlignment="1">
      <alignment horizontal="center"/>
    </xf>
    <xf numFmtId="3" fontId="12" fillId="0" borderId="0" xfId="0" applyNumberFormat="1" applyFont="1" applyFill="1" applyBorder="1"/>
    <xf numFmtId="0" fontId="6" fillId="0" borderId="0" xfId="0" applyFont="1" applyFill="1"/>
    <xf numFmtId="9" fontId="17" fillId="0" borderId="0" xfId="0" applyNumberFormat="1" applyFont="1" applyAlignment="1">
      <alignment horizontal="center"/>
    </xf>
    <xf numFmtId="2" fontId="5" fillId="0" borderId="0" xfId="0" applyNumberFormat="1" applyFont="1" applyFill="1"/>
    <xf numFmtId="3" fontId="5" fillId="0" borderId="0" xfId="0" applyNumberFormat="1" applyFont="1" applyFill="1" applyBorder="1"/>
    <xf numFmtId="3" fontId="11" fillId="0" borderId="0" xfId="0" applyNumberFormat="1" applyFont="1" applyFill="1" applyBorder="1" applyAlignment="1">
      <alignment horizontal="center"/>
    </xf>
    <xf numFmtId="9" fontId="8" fillId="0" borderId="0" xfId="0" applyNumberFormat="1" applyFont="1" applyBorder="1" applyAlignment="1">
      <alignment horizontal="center"/>
    </xf>
    <xf numFmtId="0" fontId="6" fillId="0" borderId="2" xfId="0" applyFont="1" applyBorder="1"/>
    <xf numFmtId="9" fontId="9" fillId="0" borderId="0" xfId="0" applyNumberFormat="1" applyFont="1" applyAlignment="1">
      <alignment horizontal="center"/>
    </xf>
    <xf numFmtId="9" fontId="9" fillId="0" borderId="0" xfId="0" applyNumberFormat="1" applyFont="1" applyBorder="1" applyAlignment="1">
      <alignment horizontal="center"/>
    </xf>
    <xf numFmtId="0" fontId="5" fillId="0" borderId="0" xfId="0" applyFont="1" applyFill="1" applyAlignment="1">
      <alignment horizontal="left" indent="2"/>
    </xf>
    <xf numFmtId="0" fontId="6" fillId="0" borderId="0" xfId="0" applyFont="1" applyFill="1" applyBorder="1"/>
    <xf numFmtId="9" fontId="19" fillId="0" borderId="0" xfId="0" applyNumberFormat="1" applyFont="1" applyBorder="1" applyAlignment="1">
      <alignment horizontal="center"/>
    </xf>
    <xf numFmtId="3" fontId="6" fillId="0" borderId="0" xfId="0" applyNumberFormat="1" applyFont="1" applyFill="1" applyBorder="1"/>
    <xf numFmtId="3" fontId="20" fillId="0" borderId="0" xfId="0" applyNumberFormat="1" applyFont="1" applyBorder="1"/>
    <xf numFmtId="3" fontId="5" fillId="0" borderId="0" xfId="0" applyNumberFormat="1" applyFont="1" applyFill="1" applyAlignment="1">
      <alignment horizontal="right"/>
    </xf>
    <xf numFmtId="3" fontId="6" fillId="0" borderId="0" xfId="0" applyNumberFormat="1" applyFont="1" applyFill="1"/>
    <xf numFmtId="3" fontId="20" fillId="0" borderId="0" xfId="0" applyNumberFormat="1" applyFont="1"/>
    <xf numFmtId="3" fontId="10" fillId="0" borderId="0" xfId="0" applyNumberFormat="1" applyFont="1" applyFill="1" applyAlignment="1">
      <alignment horizontal="center"/>
    </xf>
    <xf numFmtId="3" fontId="11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/>
    </xf>
    <xf numFmtId="0" fontId="10" fillId="0" borderId="0" xfId="0" applyFont="1" applyAlignment="1">
      <alignment horizontal="left" indent="1"/>
    </xf>
    <xf numFmtId="0" fontId="10" fillId="0" borderId="0" xfId="0" applyFont="1" applyAlignment="1">
      <alignment horizontal="left" indent="2"/>
    </xf>
    <xf numFmtId="3" fontId="8" fillId="0" borderId="0" xfId="0" applyNumberFormat="1" applyFont="1" applyAlignment="1">
      <alignment horizontal="center"/>
    </xf>
    <xf numFmtId="9" fontId="11" fillId="0" borderId="0" xfId="0" applyNumberFormat="1" applyFont="1" applyAlignment="1">
      <alignment horizontal="center"/>
    </xf>
    <xf numFmtId="9" fontId="10" fillId="0" borderId="0" xfId="0" applyNumberFormat="1" applyFont="1" applyFill="1" applyAlignment="1">
      <alignment horizontal="center"/>
    </xf>
    <xf numFmtId="3" fontId="12" fillId="0" borderId="0" xfId="0" applyNumberFormat="1" applyFont="1" applyFill="1"/>
    <xf numFmtId="9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3" fontId="22" fillId="0" borderId="0" xfId="0" applyNumberFormat="1" applyFont="1"/>
    <xf numFmtId="3" fontId="23" fillId="0" borderId="0" xfId="0" applyNumberFormat="1" applyFont="1"/>
    <xf numFmtId="9" fontId="11" fillId="0" borderId="0" xfId="0" applyNumberFormat="1" applyFont="1" applyFill="1" applyAlignment="1">
      <alignment horizontal="center"/>
    </xf>
    <xf numFmtId="0" fontId="6" fillId="0" borderId="0" xfId="0" applyFont="1" applyBorder="1"/>
    <xf numFmtId="0" fontId="22" fillId="0" borderId="0" xfId="0" applyFont="1" applyAlignment="1">
      <alignment horizontal="center"/>
    </xf>
    <xf numFmtId="3" fontId="22" fillId="0" borderId="0" xfId="0" applyNumberFormat="1" applyFont="1" applyFill="1"/>
    <xf numFmtId="168" fontId="11" fillId="0" borderId="0" xfId="0" applyNumberFormat="1" applyFont="1" applyFill="1" applyAlignment="1">
      <alignment horizontal="center"/>
    </xf>
    <xf numFmtId="3" fontId="10" fillId="0" borderId="0" xfId="0" applyNumberFormat="1" applyFont="1" applyBorder="1"/>
    <xf numFmtId="0" fontId="15" fillId="0" borderId="0" xfId="0" applyFont="1" applyAlignment="1">
      <alignment horizontal="left" indent="2"/>
    </xf>
    <xf numFmtId="2" fontId="15" fillId="0" borderId="0" xfId="0" applyNumberFormat="1" applyFont="1" applyAlignment="1">
      <alignment horizontal="right"/>
    </xf>
    <xf numFmtId="3" fontId="5" fillId="0" borderId="0" xfId="0" applyNumberFormat="1" applyFont="1" applyBorder="1"/>
    <xf numFmtId="0" fontId="24" fillId="0" borderId="0" xfId="0" applyFont="1" applyBorder="1"/>
    <xf numFmtId="3" fontId="6" fillId="0" borderId="0" xfId="0" applyNumberFormat="1" applyFont="1" applyBorder="1"/>
    <xf numFmtId="3" fontId="5" fillId="0" borderId="0" xfId="0" applyNumberFormat="1" applyFont="1" applyBorder="1" applyAlignment="1">
      <alignment horizontal="center"/>
    </xf>
    <xf numFmtId="0" fontId="6" fillId="0" borderId="0" xfId="0" applyFont="1" applyAlignment="1">
      <alignment wrapText="1"/>
    </xf>
    <xf numFmtId="3" fontId="5" fillId="0" borderId="2" xfId="0" applyNumberFormat="1" applyFont="1" applyBorder="1"/>
    <xf numFmtId="0" fontId="13" fillId="15" borderId="1" xfId="0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/>
    </xf>
    <xf numFmtId="0" fontId="10" fillId="0" borderId="0" xfId="0" applyFont="1" applyAlignment="1"/>
    <xf numFmtId="0" fontId="11" fillId="0" borderId="3" xfId="0" applyFont="1" applyBorder="1" applyAlignment="1">
      <alignment horizontal="center"/>
    </xf>
    <xf numFmtId="0" fontId="10" fillId="0" borderId="3" xfId="0" applyFont="1" applyBorder="1" applyAlignment="1"/>
    <xf numFmtId="3" fontId="6" fillId="0" borderId="3" xfId="0" applyNumberFormat="1" applyFont="1" applyBorder="1"/>
    <xf numFmtId="3" fontId="20" fillId="0" borderId="3" xfId="0" applyNumberFormat="1" applyFont="1" applyBorder="1"/>
    <xf numFmtId="0" fontId="11" fillId="0" borderId="2" xfId="0" applyFont="1" applyBorder="1" applyAlignment="1">
      <alignment horizontal="center"/>
    </xf>
    <xf numFmtId="0" fontId="10" fillId="0" borderId="0" xfId="0" applyFont="1" applyFill="1" applyAlignment="1"/>
    <xf numFmtId="0" fontId="10" fillId="0" borderId="2" xfId="0" applyFont="1" applyBorder="1" applyAlignment="1"/>
    <xf numFmtId="3" fontId="6" fillId="0" borderId="2" xfId="0" applyNumberFormat="1" applyFont="1" applyBorder="1"/>
    <xf numFmtId="3" fontId="5" fillId="0" borderId="0" xfId="0" applyNumberFormat="1" applyFont="1" applyAlignment="1">
      <alignment horizontal="right"/>
    </xf>
    <xf numFmtId="167" fontId="6" fillId="0" borderId="3" xfId="0" applyNumberFormat="1" applyFont="1" applyBorder="1" applyAlignment="1">
      <alignment horizontal="right"/>
    </xf>
    <xf numFmtId="4" fontId="6" fillId="0" borderId="3" xfId="0" applyNumberFormat="1" applyFont="1" applyBorder="1" applyAlignment="1">
      <alignment horizontal="right"/>
    </xf>
    <xf numFmtId="4" fontId="5" fillId="0" borderId="0" xfId="0" applyNumberFormat="1" applyFont="1" applyAlignment="1">
      <alignment horizontal="right"/>
    </xf>
    <xf numFmtId="9" fontId="6" fillId="0" borderId="0" xfId="1" applyFont="1" applyAlignment="1">
      <alignment horizontal="right"/>
    </xf>
    <xf numFmtId="0" fontId="5" fillId="0" borderId="13" xfId="0" applyFont="1" applyBorder="1" applyAlignment="1">
      <alignment horizontal="left"/>
    </xf>
    <xf numFmtId="0" fontId="11" fillId="0" borderId="13" xfId="0" applyFont="1" applyBorder="1" applyAlignment="1">
      <alignment horizontal="center"/>
    </xf>
    <xf numFmtId="0" fontId="9" fillId="0" borderId="13" xfId="0" applyFont="1" applyBorder="1" applyAlignment="1">
      <alignment horizontal="center" vertical="center"/>
    </xf>
    <xf numFmtId="0" fontId="10" fillId="0" borderId="13" xfId="0" applyFont="1" applyBorder="1"/>
    <xf numFmtId="0" fontId="5" fillId="0" borderId="13" xfId="0" applyFont="1" applyBorder="1"/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65" fontId="5" fillId="0" borderId="0" xfId="1" applyNumberFormat="1" applyFont="1" applyAlignment="1">
      <alignment horizontal="right"/>
    </xf>
    <xf numFmtId="0" fontId="5" fillId="0" borderId="3" xfId="0" applyFont="1" applyBorder="1" applyAlignment="1">
      <alignment horizontal="left"/>
    </xf>
    <xf numFmtId="165" fontId="5" fillId="0" borderId="3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165" fontId="13" fillId="0" borderId="0" xfId="1" applyNumberFormat="1" applyFont="1" applyAlignment="1">
      <alignment horizontal="center"/>
    </xf>
    <xf numFmtId="165" fontId="5" fillId="0" borderId="0" xfId="1" applyNumberFormat="1" applyFont="1"/>
    <xf numFmtId="3" fontId="13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4" fillId="0" borderId="0" xfId="0" applyFont="1"/>
    <xf numFmtId="3" fontId="13" fillId="0" borderId="0" xfId="0" applyNumberFormat="1" applyFont="1" applyBorder="1" applyAlignment="1">
      <alignment horizontal="center"/>
    </xf>
    <xf numFmtId="165" fontId="11" fillId="0" borderId="0" xfId="1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" fontId="5" fillId="0" borderId="0" xfId="0" applyNumberFormat="1" applyFont="1"/>
    <xf numFmtId="167" fontId="5" fillId="0" borderId="0" xfId="0" applyNumberFormat="1" applyFont="1"/>
    <xf numFmtId="168" fontId="11" fillId="0" borderId="0" xfId="0" applyNumberFormat="1" applyFont="1" applyAlignment="1">
      <alignment horizontal="center"/>
    </xf>
    <xf numFmtId="167" fontId="15" fillId="0" borderId="0" xfId="0" applyNumberFormat="1" applyFont="1"/>
    <xf numFmtId="0" fontId="11" fillId="0" borderId="0" xfId="0" applyFont="1" applyFill="1" applyAlignment="1">
      <alignment horizontal="left"/>
    </xf>
    <xf numFmtId="0" fontId="9" fillId="0" borderId="0" xfId="0" applyFont="1" applyAlignment="1">
      <alignment horizontal="centerContinuous" vertical="center"/>
    </xf>
    <xf numFmtId="9" fontId="11" fillId="0" borderId="0" xfId="0" applyNumberFormat="1" applyFont="1" applyFill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/>
    </xf>
    <xf numFmtId="9" fontId="5" fillId="0" borderId="0" xfId="0" applyNumberFormat="1" applyFont="1" applyFill="1" applyAlignment="1">
      <alignment horizontal="center"/>
    </xf>
    <xf numFmtId="0" fontId="5" fillId="2" borderId="5" xfId="0" applyFont="1" applyFill="1" applyBorder="1" applyAlignment="1">
      <alignment horizontal="center"/>
    </xf>
    <xf numFmtId="9" fontId="6" fillId="2" borderId="6" xfId="0" applyNumberFormat="1" applyFont="1" applyFill="1" applyBorder="1" applyAlignment="1">
      <alignment horizontal="center"/>
    </xf>
    <xf numFmtId="9" fontId="6" fillId="2" borderId="7" xfId="0" applyNumberFormat="1" applyFont="1" applyFill="1" applyBorder="1" applyAlignment="1">
      <alignment horizontal="center"/>
    </xf>
    <xf numFmtId="9" fontId="6" fillId="2" borderId="8" xfId="0" applyNumberFormat="1" applyFont="1" applyFill="1" applyBorder="1" applyAlignment="1">
      <alignment horizontal="center"/>
    </xf>
    <xf numFmtId="9" fontId="6" fillId="2" borderId="9" xfId="0" applyNumberFormat="1" applyFont="1" applyFill="1" applyBorder="1" applyAlignment="1">
      <alignment horizontal="center"/>
    </xf>
    <xf numFmtId="3" fontId="5" fillId="0" borderId="12" xfId="0" applyNumberFormat="1" applyFont="1" applyBorder="1"/>
    <xf numFmtId="3" fontId="5" fillId="0" borderId="10" xfId="0" applyNumberFormat="1" applyFont="1" applyBorder="1"/>
    <xf numFmtId="0" fontId="5" fillId="0" borderId="11" xfId="0" applyFont="1" applyFill="1" applyBorder="1"/>
    <xf numFmtId="0" fontId="5" fillId="0" borderId="2" xfId="0" applyFont="1" applyFill="1" applyBorder="1" applyAlignment="1">
      <alignment horizontal="center"/>
    </xf>
    <xf numFmtId="0" fontId="5" fillId="11" borderId="0" xfId="0" applyFont="1" applyFill="1" applyProtection="1">
      <protection locked="0"/>
    </xf>
    <xf numFmtId="0" fontId="6" fillId="11" borderId="0" xfId="0" applyFont="1" applyFill="1" applyAlignment="1" applyProtection="1">
      <alignment horizontal="left"/>
      <protection locked="0"/>
    </xf>
    <xf numFmtId="0" fontId="5" fillId="4" borderId="0" xfId="0" applyFont="1" applyFill="1"/>
    <xf numFmtId="165" fontId="5" fillId="11" borderId="0" xfId="0" applyNumberFormat="1" applyFont="1" applyFill="1" applyProtection="1">
      <protection locked="0"/>
    </xf>
    <xf numFmtId="164" fontId="5" fillId="11" borderId="0" xfId="0" applyNumberFormat="1" applyFont="1" applyFill="1" applyAlignment="1" applyProtection="1">
      <alignment horizontal="center"/>
      <protection locked="0"/>
    </xf>
    <xf numFmtId="164" fontId="5" fillId="11" borderId="0" xfId="0" applyNumberFormat="1" applyFont="1" applyFill="1" applyProtection="1">
      <protection locked="0"/>
    </xf>
    <xf numFmtId="0" fontId="5" fillId="11" borderId="0" xfId="0" applyFont="1" applyFill="1" applyAlignment="1" applyProtection="1">
      <alignment horizontal="center"/>
      <protection locked="0"/>
    </xf>
    <xf numFmtId="165" fontId="5" fillId="11" borderId="0" xfId="0" applyNumberFormat="1" applyFont="1" applyFill="1" applyAlignment="1" applyProtection="1">
      <alignment horizontal="center"/>
      <protection locked="0"/>
    </xf>
    <xf numFmtId="165" fontId="6" fillId="11" borderId="0" xfId="0" applyNumberFormat="1" applyFont="1" applyFill="1" applyAlignment="1" applyProtection="1">
      <alignment horizontal="center"/>
      <protection locked="0"/>
    </xf>
    <xf numFmtId="0" fontId="5" fillId="11" borderId="0" xfId="0" applyFont="1" applyFill="1" applyBorder="1" applyAlignment="1" applyProtection="1">
      <alignment horizontal="center"/>
      <protection locked="0"/>
    </xf>
    <xf numFmtId="165" fontId="5" fillId="11" borderId="0" xfId="0" applyNumberFormat="1" applyFont="1" applyFill="1" applyBorder="1" applyAlignment="1" applyProtection="1">
      <alignment horizontal="center"/>
      <protection locked="0"/>
    </xf>
    <xf numFmtId="3" fontId="11" fillId="11" borderId="0" xfId="0" applyNumberFormat="1" applyFont="1" applyFill="1" applyAlignment="1" applyProtection="1">
      <alignment horizontal="right"/>
      <protection locked="0"/>
    </xf>
    <xf numFmtId="3" fontId="5" fillId="11" borderId="0" xfId="0" applyNumberFormat="1" applyFont="1" applyFill="1" applyProtection="1">
      <protection locked="0"/>
    </xf>
    <xf numFmtId="0" fontId="5" fillId="11" borderId="0" xfId="0" applyFont="1" applyFill="1" applyBorder="1" applyAlignment="1" applyProtection="1">
      <alignment horizontal="left"/>
      <protection locked="0"/>
    </xf>
    <xf numFmtId="3" fontId="5" fillId="11" borderId="0" xfId="0" applyNumberFormat="1" applyFont="1" applyFill="1" applyBorder="1" applyAlignment="1" applyProtection="1">
      <alignment horizontal="center"/>
      <protection locked="0"/>
    </xf>
    <xf numFmtId="165" fontId="11" fillId="11" borderId="0" xfId="0" applyNumberFormat="1" applyFont="1" applyFill="1" applyAlignment="1" applyProtection="1">
      <alignment horizontal="center"/>
      <protection locked="0"/>
    </xf>
    <xf numFmtId="165" fontId="11" fillId="11" borderId="0" xfId="0" applyNumberFormat="1" applyFont="1" applyFill="1" applyAlignment="1" applyProtection="1">
      <alignment horizontal="right"/>
      <protection locked="0"/>
    </xf>
    <xf numFmtId="3" fontId="10" fillId="11" borderId="0" xfId="0" applyNumberFormat="1" applyFont="1" applyFill="1" applyAlignment="1" applyProtection="1">
      <alignment horizontal="right"/>
      <protection locked="0"/>
    </xf>
    <xf numFmtId="0" fontId="5" fillId="11" borderId="0" xfId="0" applyFont="1" applyFill="1" applyBorder="1" applyProtection="1">
      <protection locked="0"/>
    </xf>
    <xf numFmtId="9" fontId="5" fillId="11" borderId="0" xfId="0" applyNumberFormat="1" applyFont="1" applyFill="1" applyProtection="1">
      <protection locked="0"/>
    </xf>
    <xf numFmtId="3" fontId="10" fillId="11" borderId="0" xfId="0" applyNumberFormat="1" applyFont="1" applyFill="1" applyProtection="1">
      <protection locked="0"/>
    </xf>
    <xf numFmtId="3" fontId="11" fillId="11" borderId="0" xfId="0" applyNumberFormat="1" applyFont="1" applyFill="1" applyBorder="1" applyAlignment="1" applyProtection="1">
      <alignment horizontal="center"/>
      <protection locked="0"/>
    </xf>
    <xf numFmtId="9" fontId="10" fillId="11" borderId="0" xfId="0" applyNumberFormat="1" applyFont="1" applyFill="1" applyProtection="1">
      <protection locked="0"/>
    </xf>
    <xf numFmtId="4" fontId="5" fillId="11" borderId="0" xfId="0" applyNumberFormat="1" applyFont="1" applyFill="1" applyBorder="1" applyAlignment="1" applyProtection="1">
      <alignment horizontal="center"/>
      <protection locked="0"/>
    </xf>
    <xf numFmtId="4" fontId="5" fillId="11" borderId="0" xfId="0" applyNumberFormat="1" applyFont="1" applyFill="1" applyProtection="1">
      <protection locked="0"/>
    </xf>
    <xf numFmtId="9" fontId="10" fillId="11" borderId="0" xfId="0" applyNumberFormat="1" applyFont="1" applyFill="1" applyBorder="1" applyProtection="1">
      <protection locked="0"/>
    </xf>
    <xf numFmtId="164" fontId="5" fillId="11" borderId="0" xfId="0" applyNumberFormat="1" applyFont="1" applyFill="1" applyBorder="1" applyAlignment="1" applyProtection="1">
      <alignment horizontal="center"/>
      <protection locked="0"/>
    </xf>
    <xf numFmtId="0" fontId="11" fillId="11" borderId="0" xfId="0" applyFont="1" applyFill="1" applyAlignment="1" applyProtection="1">
      <alignment horizontal="center"/>
      <protection locked="0"/>
    </xf>
    <xf numFmtId="3" fontId="5" fillId="11" borderId="0" xfId="0" applyNumberFormat="1" applyFont="1" applyFill="1" applyAlignment="1" applyProtection="1">
      <alignment horizontal="right"/>
      <protection locked="0"/>
    </xf>
    <xf numFmtId="3" fontId="11" fillId="11" borderId="0" xfId="0" applyNumberFormat="1" applyFont="1" applyFill="1" applyAlignment="1" applyProtection="1">
      <alignment horizontal="center"/>
      <protection locked="0"/>
    </xf>
    <xf numFmtId="9" fontId="11" fillId="11" borderId="0" xfId="0" applyNumberFormat="1" applyFont="1" applyFill="1" applyAlignment="1" applyProtection="1">
      <alignment horizontal="center"/>
      <protection locked="0"/>
    </xf>
    <xf numFmtId="3" fontId="10" fillId="11" borderId="0" xfId="0" applyNumberFormat="1" applyFont="1" applyFill="1" applyAlignment="1" applyProtection="1">
      <alignment horizontal="center"/>
      <protection locked="0"/>
    </xf>
    <xf numFmtId="0" fontId="5" fillId="0" borderId="14" xfId="0" applyFont="1" applyFill="1" applyBorder="1" applyAlignment="1">
      <alignment horizontal="right" vertical="center" wrapText="1"/>
    </xf>
    <xf numFmtId="168" fontId="5" fillId="0" borderId="0" xfId="0" applyNumberFormat="1" applyFont="1"/>
    <xf numFmtId="0" fontId="5" fillId="0" borderId="0" xfId="0" applyFont="1" applyAlignment="1">
      <alignment horizontal="left" indent="3"/>
    </xf>
    <xf numFmtId="0" fontId="5" fillId="3" borderId="0" xfId="0" applyFont="1" applyFill="1"/>
    <xf numFmtId="3" fontId="5" fillId="3" borderId="0" xfId="0" applyNumberFormat="1" applyFont="1" applyFill="1" applyBorder="1" applyAlignment="1">
      <alignment horizontal="right"/>
    </xf>
    <xf numFmtId="168" fontId="5" fillId="11" borderId="0" xfId="0" applyNumberFormat="1" applyFont="1" applyFill="1" applyProtection="1">
      <protection locked="0"/>
    </xf>
    <xf numFmtId="3" fontId="5" fillId="0" borderId="0" xfId="0" applyNumberFormat="1" applyFont="1" applyFill="1" applyBorder="1" applyAlignment="1" applyProtection="1">
      <alignment horizontal="center"/>
      <protection locked="0"/>
    </xf>
    <xf numFmtId="3" fontId="5" fillId="3" borderId="0" xfId="0" applyNumberFormat="1" applyFont="1" applyFill="1"/>
    <xf numFmtId="168" fontId="5" fillId="3" borderId="0" xfId="0" applyNumberFormat="1" applyFont="1" applyFill="1"/>
    <xf numFmtId="3" fontId="11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Font="1" applyFill="1" applyAlignment="1" applyProtection="1">
      <alignment horizontal="center"/>
    </xf>
    <xf numFmtId="3" fontId="5" fillId="0" borderId="0" xfId="0" applyNumberFormat="1" applyFont="1" applyFill="1" applyBorder="1" applyAlignment="1" applyProtection="1">
      <alignment horizontal="center"/>
    </xf>
    <xf numFmtId="3" fontId="5" fillId="0" borderId="0" xfId="0" applyNumberFormat="1" applyFont="1" applyFill="1" applyProtection="1"/>
    <xf numFmtId="0" fontId="6" fillId="0" borderId="0" xfId="0" applyFont="1" applyAlignment="1">
      <alignment horizontal="left" indent="3"/>
    </xf>
    <xf numFmtId="164" fontId="5" fillId="0" borderId="0" xfId="0" applyNumberFormat="1" applyFont="1" applyFill="1" applyBorder="1" applyAlignment="1" applyProtection="1">
      <alignment horizontal="center"/>
      <protection locked="0"/>
    </xf>
    <xf numFmtId="0" fontId="26" fillId="0" borderId="0" xfId="0" applyNumberFormat="1" applyFont="1" applyAlignment="1">
      <alignment horizontal="center" vertical="center"/>
    </xf>
    <xf numFmtId="0" fontId="25" fillId="0" borderId="0" xfId="0" applyNumberFormat="1" applyFont="1" applyAlignment="1">
      <alignment horizontal="left"/>
    </xf>
    <xf numFmtId="0" fontId="25" fillId="0" borderId="15" xfId="0" applyNumberFormat="1" applyFont="1" applyBorder="1" applyAlignment="1">
      <alignment horizontal="left"/>
    </xf>
    <xf numFmtId="0" fontId="25" fillId="15" borderId="11" xfId="0" applyNumberFormat="1" applyFont="1" applyFill="1" applyBorder="1" applyAlignment="1">
      <alignment horizontal="left" vertical="center" indent="3"/>
    </xf>
    <xf numFmtId="0" fontId="11" fillId="0" borderId="0" xfId="0" applyNumberFormat="1" applyFont="1" applyAlignment="1">
      <alignment horizontal="center"/>
    </xf>
    <xf numFmtId="0" fontId="11" fillId="0" borderId="15" xfId="0" applyNumberFormat="1" applyFont="1" applyBorder="1" applyAlignment="1">
      <alignment horizontal="center"/>
    </xf>
    <xf numFmtId="0" fontId="13" fillId="15" borderId="11" xfId="0" applyNumberFormat="1" applyFont="1" applyFill="1" applyBorder="1" applyAlignment="1">
      <alignment horizontal="center" vertical="center"/>
    </xf>
    <xf numFmtId="0" fontId="28" fillId="0" borderId="0" xfId="0" applyNumberFormat="1" applyFont="1" applyAlignment="1">
      <alignment horizontal="center" vertical="center"/>
    </xf>
    <xf numFmtId="0" fontId="28" fillId="0" borderId="15" xfId="0" applyNumberFormat="1" applyFont="1" applyBorder="1" applyAlignment="1">
      <alignment horizontal="center" vertical="center"/>
    </xf>
    <xf numFmtId="0" fontId="26" fillId="15" borderId="11" xfId="0" applyNumberFormat="1" applyFont="1" applyFill="1" applyBorder="1" applyAlignment="1">
      <alignment horizontal="center" vertical="center"/>
    </xf>
    <xf numFmtId="0" fontId="25" fillId="0" borderId="0" xfId="0" applyNumberFormat="1" applyFont="1" applyAlignment="1"/>
    <xf numFmtId="0" fontId="25" fillId="0" borderId="15" xfId="0" applyNumberFormat="1" applyFont="1" applyBorder="1" applyAlignment="1"/>
    <xf numFmtId="0" fontId="25" fillId="15" borderId="11" xfId="0" applyNumberFormat="1" applyFont="1" applyFill="1" applyBorder="1" applyAlignment="1">
      <alignment horizontal="center" vertical="center"/>
    </xf>
    <xf numFmtId="0" fontId="27" fillId="15" borderId="11" xfId="0" applyNumberFormat="1" applyFont="1" applyFill="1" applyBorder="1" applyAlignment="1">
      <alignment horizontal="center" vertical="center"/>
    </xf>
    <xf numFmtId="3" fontId="25" fillId="0" borderId="0" xfId="0" applyNumberFormat="1" applyFont="1" applyAlignment="1"/>
    <xf numFmtId="3" fontId="27" fillId="0" borderId="0" xfId="0" applyNumberFormat="1" applyFont="1" applyAlignment="1"/>
    <xf numFmtId="0" fontId="25" fillId="0" borderId="0" xfId="0" applyNumberFormat="1" applyFont="1" applyAlignment="1">
      <alignment horizontal="left" indent="1"/>
    </xf>
    <xf numFmtId="0" fontId="29" fillId="0" borderId="0" xfId="0" applyNumberFormat="1" applyFont="1" applyAlignment="1">
      <alignment horizontal="left"/>
    </xf>
    <xf numFmtId="3" fontId="29" fillId="0" borderId="0" xfId="0" applyNumberFormat="1" applyFont="1" applyAlignment="1"/>
    <xf numFmtId="0" fontId="25" fillId="0" borderId="16" xfId="0" applyNumberFormat="1" applyFont="1" applyBorder="1" applyAlignment="1">
      <alignment horizontal="left"/>
    </xf>
    <xf numFmtId="0" fontId="29" fillId="0" borderId="0" xfId="0" applyNumberFormat="1" applyFont="1" applyBorder="1" applyAlignment="1">
      <alignment horizontal="left"/>
    </xf>
    <xf numFmtId="0" fontId="11" fillId="0" borderId="16" xfId="0" applyNumberFormat="1" applyFont="1" applyBorder="1" applyAlignment="1">
      <alignment horizontal="center"/>
    </xf>
    <xf numFmtId="0" fontId="11" fillId="0" borderId="0" xfId="0" applyNumberFormat="1" applyFont="1" applyBorder="1" applyAlignment="1">
      <alignment horizontal="center"/>
    </xf>
    <xf numFmtId="0" fontId="28" fillId="0" borderId="16" xfId="0" applyNumberFormat="1" applyFont="1" applyBorder="1" applyAlignment="1">
      <alignment horizontal="center" vertical="center"/>
    </xf>
    <xf numFmtId="0" fontId="28" fillId="0" borderId="0" xfId="0" applyNumberFormat="1" applyFont="1" applyBorder="1" applyAlignment="1">
      <alignment horizontal="center" vertical="center"/>
    </xf>
    <xf numFmtId="3" fontId="25" fillId="0" borderId="16" xfId="0" applyNumberFormat="1" applyFont="1" applyBorder="1" applyAlignment="1"/>
    <xf numFmtId="3" fontId="29" fillId="0" borderId="0" xfId="0" applyNumberFormat="1" applyFont="1" applyBorder="1" applyAlignment="1"/>
    <xf numFmtId="3" fontId="27" fillId="0" borderId="16" xfId="0" applyNumberFormat="1" applyFont="1" applyBorder="1" applyAlignment="1"/>
    <xf numFmtId="3" fontId="30" fillId="0" borderId="0" xfId="0" applyNumberFormat="1" applyFont="1" applyBorder="1" applyAlignment="1"/>
    <xf numFmtId="0" fontId="25" fillId="0" borderId="2" xfId="0" applyNumberFormat="1" applyFont="1" applyBorder="1" applyAlignment="1">
      <alignment horizontal="left"/>
    </xf>
    <xf numFmtId="0" fontId="11" fillId="0" borderId="2" xfId="0" applyNumberFormat="1" applyFont="1" applyBorder="1" applyAlignment="1">
      <alignment horizontal="center"/>
    </xf>
    <xf numFmtId="0" fontId="28" fillId="0" borderId="2" xfId="0" applyNumberFormat="1" applyFont="1" applyBorder="1" applyAlignment="1">
      <alignment horizontal="center" vertical="center"/>
    </xf>
    <xf numFmtId="0" fontId="25" fillId="0" borderId="2" xfId="0" applyNumberFormat="1" applyFont="1" applyBorder="1" applyAlignment="1"/>
    <xf numFmtId="165" fontId="13" fillId="0" borderId="0" xfId="0" applyNumberFormat="1" applyFont="1" applyAlignment="1">
      <alignment horizontal="center"/>
    </xf>
    <xf numFmtId="0" fontId="27" fillId="0" borderId="0" xfId="0" applyNumberFormat="1" applyFont="1" applyAlignment="1"/>
    <xf numFmtId="165" fontId="11" fillId="0" borderId="0" xfId="0" applyNumberFormat="1" applyFont="1" applyAlignment="1">
      <alignment horizontal="center"/>
    </xf>
    <xf numFmtId="167" fontId="25" fillId="0" borderId="0" xfId="0" applyNumberFormat="1" applyFont="1" applyAlignment="1"/>
    <xf numFmtId="167" fontId="27" fillId="0" borderId="0" xfId="0" applyNumberFormat="1" applyFont="1" applyAlignment="1"/>
    <xf numFmtId="0" fontId="7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11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2">
    <cellStyle name="Обычный" xfId="0" builtinId="0"/>
    <cellStyle name="Процентный" xfId="1" builtinId="5"/>
  </cellStyles>
  <dxfs count="7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0000"/>
      <color rgb="FFFF6600"/>
      <color rgb="FFC0C0C0"/>
      <color rgb="FFF0F0F0"/>
      <color rgb="FFE0E0E0"/>
      <color rgb="FFD0D0D0"/>
      <color rgb="FFBFBFBF"/>
      <color rgb="FF0000FF"/>
      <color rgb="FF000080"/>
      <color rgb="FFFFC8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Графики!$G$220</c:f>
              <c:strCache>
                <c:ptCount val="1"/>
                <c:pt idx="0">
                  <c:v>10%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Графики!$H$219:$N$219</c:f>
              <c:numCache>
                <c:formatCode>0%</c:formatCode>
                <c:ptCount val="7"/>
                <c:pt idx="0">
                  <c:v>0.7</c:v>
                </c:pt>
                <c:pt idx="1">
                  <c:v>0.79999999999999993</c:v>
                </c:pt>
                <c:pt idx="2">
                  <c:v>0.89999999999999991</c:v>
                </c:pt>
                <c:pt idx="3">
                  <c:v>0.99999999999999989</c:v>
                </c:pt>
                <c:pt idx="4">
                  <c:v>1.0999999999999999</c:v>
                </c:pt>
                <c:pt idx="5">
                  <c:v>1.2</c:v>
                </c:pt>
                <c:pt idx="6">
                  <c:v>1.3</c:v>
                </c:pt>
              </c:numCache>
            </c:numRef>
          </c:cat>
          <c:val>
            <c:numRef>
              <c:f>Графики!$H$220:$N$220</c:f>
              <c:numCache>
                <c:formatCode>#,##0</c:formatCode>
                <c:ptCount val="7"/>
                <c:pt idx="0">
                  <c:v>-1500000</c:v>
                </c:pt>
                <c:pt idx="1">
                  <c:v>-500000</c:v>
                </c:pt>
                <c:pt idx="2">
                  <c:v>-100000</c:v>
                </c:pt>
                <c:pt idx="3">
                  <c:v>200000</c:v>
                </c:pt>
                <c:pt idx="4">
                  <c:v>370000</c:v>
                </c:pt>
                <c:pt idx="5">
                  <c:v>620000</c:v>
                </c:pt>
                <c:pt idx="6">
                  <c:v>1000000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A2-400A-8180-455B299EFDEA}"/>
            </c:ext>
          </c:extLst>
        </c:ser>
        <c:ser>
          <c:idx val="1"/>
          <c:order val="1"/>
          <c:tx>
            <c:strRef>
              <c:f>Графики!$G$221</c:f>
              <c:strCache>
                <c:ptCount val="1"/>
                <c:pt idx="0">
                  <c:v>12%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Графики!$H$219:$N$219</c:f>
              <c:numCache>
                <c:formatCode>0%</c:formatCode>
                <c:ptCount val="7"/>
                <c:pt idx="0">
                  <c:v>0.7</c:v>
                </c:pt>
                <c:pt idx="1">
                  <c:v>0.79999999999999993</c:v>
                </c:pt>
                <c:pt idx="2">
                  <c:v>0.89999999999999991</c:v>
                </c:pt>
                <c:pt idx="3">
                  <c:v>0.99999999999999989</c:v>
                </c:pt>
                <c:pt idx="4">
                  <c:v>1.0999999999999999</c:v>
                </c:pt>
                <c:pt idx="5">
                  <c:v>1.2</c:v>
                </c:pt>
                <c:pt idx="6">
                  <c:v>1.3</c:v>
                </c:pt>
              </c:numCache>
            </c:numRef>
          </c:cat>
          <c:val>
            <c:numRef>
              <c:f>Графики!$H$221:$N$221</c:f>
              <c:numCache>
                <c:formatCode>#,##0</c:formatCode>
                <c:ptCount val="7"/>
                <c:pt idx="0">
                  <c:v>-1250000</c:v>
                </c:pt>
                <c:pt idx="1">
                  <c:v>-416666.66666666669</c:v>
                </c:pt>
                <c:pt idx="2">
                  <c:v>-83333.333333333343</c:v>
                </c:pt>
                <c:pt idx="3">
                  <c:v>166666.66666666669</c:v>
                </c:pt>
                <c:pt idx="4">
                  <c:v>308333.33333333337</c:v>
                </c:pt>
                <c:pt idx="5">
                  <c:v>516666.66666666669</c:v>
                </c:pt>
                <c:pt idx="6">
                  <c:v>833333.33333333337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A2-400A-8180-455B299EFDEA}"/>
            </c:ext>
          </c:extLst>
        </c:ser>
        <c:ser>
          <c:idx val="2"/>
          <c:order val="2"/>
          <c:tx>
            <c:strRef>
              <c:f>Графики!$G$222</c:f>
              <c:strCache>
                <c:ptCount val="1"/>
                <c:pt idx="0">
                  <c:v>14%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Графики!$H$219:$N$219</c:f>
              <c:numCache>
                <c:formatCode>0%</c:formatCode>
                <c:ptCount val="7"/>
                <c:pt idx="0">
                  <c:v>0.7</c:v>
                </c:pt>
                <c:pt idx="1">
                  <c:v>0.79999999999999993</c:v>
                </c:pt>
                <c:pt idx="2">
                  <c:v>0.89999999999999991</c:v>
                </c:pt>
                <c:pt idx="3">
                  <c:v>0.99999999999999989</c:v>
                </c:pt>
                <c:pt idx="4">
                  <c:v>1.0999999999999999</c:v>
                </c:pt>
                <c:pt idx="5">
                  <c:v>1.2</c:v>
                </c:pt>
                <c:pt idx="6">
                  <c:v>1.3</c:v>
                </c:pt>
              </c:numCache>
            </c:numRef>
          </c:cat>
          <c:val>
            <c:numRef>
              <c:f>Графики!$H$222:$N$222</c:f>
              <c:numCache>
                <c:formatCode>#,##0</c:formatCode>
                <c:ptCount val="7"/>
                <c:pt idx="0">
                  <c:v>-1041666.6666666667</c:v>
                </c:pt>
                <c:pt idx="1">
                  <c:v>-347222.22222222225</c:v>
                </c:pt>
                <c:pt idx="2">
                  <c:v>-69444.444444444453</c:v>
                </c:pt>
                <c:pt idx="3">
                  <c:v>138888.88888888891</c:v>
                </c:pt>
                <c:pt idx="4">
                  <c:v>256944.4444444445</c:v>
                </c:pt>
                <c:pt idx="5">
                  <c:v>430555.55555555556</c:v>
                </c:pt>
                <c:pt idx="6">
                  <c:v>694444.4444444445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A2-400A-8180-455B299EFDEA}"/>
            </c:ext>
          </c:extLst>
        </c:ser>
        <c:ser>
          <c:idx val="3"/>
          <c:order val="3"/>
          <c:tx>
            <c:strRef>
              <c:f>Графики!$G$223</c:f>
              <c:strCache>
                <c:ptCount val="1"/>
                <c:pt idx="0">
                  <c:v>16%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Графики!$H$219:$N$219</c:f>
              <c:numCache>
                <c:formatCode>0%</c:formatCode>
                <c:ptCount val="7"/>
                <c:pt idx="0">
                  <c:v>0.7</c:v>
                </c:pt>
                <c:pt idx="1">
                  <c:v>0.79999999999999993</c:v>
                </c:pt>
                <c:pt idx="2">
                  <c:v>0.89999999999999991</c:v>
                </c:pt>
                <c:pt idx="3">
                  <c:v>0.99999999999999989</c:v>
                </c:pt>
                <c:pt idx="4">
                  <c:v>1.0999999999999999</c:v>
                </c:pt>
                <c:pt idx="5">
                  <c:v>1.2</c:v>
                </c:pt>
                <c:pt idx="6">
                  <c:v>1.3</c:v>
                </c:pt>
              </c:numCache>
            </c:numRef>
          </c:cat>
          <c:val>
            <c:numRef>
              <c:f>Графики!$H$223:$N$223</c:f>
              <c:numCache>
                <c:formatCode>#,##0</c:formatCode>
                <c:ptCount val="7"/>
                <c:pt idx="0">
                  <c:v>-868055.55555555562</c:v>
                </c:pt>
                <c:pt idx="1">
                  <c:v>-289351.85185185191</c:v>
                </c:pt>
                <c:pt idx="2">
                  <c:v>-57870.37037037038</c:v>
                </c:pt>
                <c:pt idx="3">
                  <c:v>115740.74074074076</c:v>
                </c:pt>
                <c:pt idx="4">
                  <c:v>214120.37037037042</c:v>
                </c:pt>
                <c:pt idx="5">
                  <c:v>358796.29629629629</c:v>
                </c:pt>
                <c:pt idx="6">
                  <c:v>578703.70370370382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6A2-400A-8180-455B299EFDEA}"/>
            </c:ext>
          </c:extLst>
        </c:ser>
        <c:ser>
          <c:idx val="4"/>
          <c:order val="4"/>
          <c:tx>
            <c:strRef>
              <c:f>Графики!$G$224</c:f>
              <c:strCache>
                <c:ptCount val="1"/>
                <c:pt idx="0">
                  <c:v>18%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Графики!$H$219:$N$219</c:f>
              <c:numCache>
                <c:formatCode>0%</c:formatCode>
                <c:ptCount val="7"/>
                <c:pt idx="0">
                  <c:v>0.7</c:v>
                </c:pt>
                <c:pt idx="1">
                  <c:v>0.79999999999999993</c:v>
                </c:pt>
                <c:pt idx="2">
                  <c:v>0.89999999999999991</c:v>
                </c:pt>
                <c:pt idx="3">
                  <c:v>0.99999999999999989</c:v>
                </c:pt>
                <c:pt idx="4">
                  <c:v>1.0999999999999999</c:v>
                </c:pt>
                <c:pt idx="5">
                  <c:v>1.2</c:v>
                </c:pt>
                <c:pt idx="6">
                  <c:v>1.3</c:v>
                </c:pt>
              </c:numCache>
            </c:numRef>
          </c:cat>
          <c:val>
            <c:numRef>
              <c:f>Графики!$H$224:$N$224</c:f>
              <c:numCache>
                <c:formatCode>#,##0</c:formatCode>
                <c:ptCount val="7"/>
                <c:pt idx="0">
                  <c:v>-723379.62962962966</c:v>
                </c:pt>
                <c:pt idx="1">
                  <c:v>-241126.5432098766</c:v>
                </c:pt>
                <c:pt idx="2">
                  <c:v>-48225.308641975316</c:v>
                </c:pt>
                <c:pt idx="3">
                  <c:v>96450.617283950633</c:v>
                </c:pt>
                <c:pt idx="4">
                  <c:v>178433.64197530868</c:v>
                </c:pt>
                <c:pt idx="5">
                  <c:v>298996.91358024691</c:v>
                </c:pt>
                <c:pt idx="6">
                  <c:v>482253.08641975321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6A2-400A-8180-455B299EF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31968"/>
        <c:axId val="132933504"/>
      </c:lineChart>
      <c:catAx>
        <c:axId val="132931968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933504"/>
        <c:crosses val="autoZero"/>
        <c:auto val="1"/>
        <c:lblAlgn val="ctr"/>
        <c:lblOffset val="100"/>
        <c:noMultiLvlLbl val="0"/>
      </c:catAx>
      <c:valAx>
        <c:axId val="13293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93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Результаты!$A$17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Результаты!$G$4:$AV$4</c:f>
              <c:strCache>
                <c:ptCount val="42"/>
                <c:pt idx="0">
                  <c:v>4 кв. 2022</c:v>
                </c:pt>
                <c:pt idx="1">
                  <c:v>1 кв. 2023</c:v>
                </c:pt>
                <c:pt idx="2">
                  <c:v>2 кв. 2023</c:v>
                </c:pt>
                <c:pt idx="3">
                  <c:v>3 кв. 2023</c:v>
                </c:pt>
                <c:pt idx="4">
                  <c:v>4 кв. 2023</c:v>
                </c:pt>
                <c:pt idx="5">
                  <c:v>1 кв. 2024</c:v>
                </c:pt>
                <c:pt idx="6">
                  <c:v>2 кв. 2024</c:v>
                </c:pt>
                <c:pt idx="7">
                  <c:v>3 кв. 2024</c:v>
                </c:pt>
                <c:pt idx="8">
                  <c:v>4 кв. 2024</c:v>
                </c:pt>
                <c:pt idx="9">
                  <c:v>1 кв. 2025</c:v>
                </c:pt>
                <c:pt idx="10">
                  <c:v>2 кв. 2025</c:v>
                </c:pt>
                <c:pt idx="11">
                  <c:v>3 кв. 2025</c:v>
                </c:pt>
                <c:pt idx="12">
                  <c:v>4 кв. 2025</c:v>
                </c:pt>
                <c:pt idx="13">
                  <c:v>1 кв. 2026</c:v>
                </c:pt>
                <c:pt idx="14">
                  <c:v>2 кв. 2026</c:v>
                </c:pt>
                <c:pt idx="15">
                  <c:v>3 кв. 2026</c:v>
                </c:pt>
                <c:pt idx="16">
                  <c:v>4 кв. 2026</c:v>
                </c:pt>
                <c:pt idx="17">
                  <c:v>1 кв. 2027</c:v>
                </c:pt>
                <c:pt idx="18">
                  <c:v>2 кв. 2027</c:v>
                </c:pt>
                <c:pt idx="19">
                  <c:v>3 кв. 2027</c:v>
                </c:pt>
                <c:pt idx="20">
                  <c:v>4 кв. 2027</c:v>
                </c:pt>
                <c:pt idx="21">
                  <c:v>1 кв. 2028</c:v>
                </c:pt>
                <c:pt idx="22">
                  <c:v>2 кв. 2028</c:v>
                </c:pt>
                <c:pt idx="23">
                  <c:v>3 кв. 2028</c:v>
                </c:pt>
                <c:pt idx="24">
                  <c:v>4 кв. 2028</c:v>
                </c:pt>
                <c:pt idx="25">
                  <c:v>1 кв. 2029</c:v>
                </c:pt>
                <c:pt idx="26">
                  <c:v>2 кв. 2029</c:v>
                </c:pt>
                <c:pt idx="27">
                  <c:v>3 кв. 2029</c:v>
                </c:pt>
                <c:pt idx="28">
                  <c:v>4 кв. 2029</c:v>
                </c:pt>
                <c:pt idx="29">
                  <c:v>1 кв. 2030</c:v>
                </c:pt>
                <c:pt idx="30">
                  <c:v>2 кв. 2030</c:v>
                </c:pt>
                <c:pt idx="31">
                  <c:v>3 кв. 2030</c:v>
                </c:pt>
                <c:pt idx="32">
                  <c:v>4 кв. 2030</c:v>
                </c:pt>
                <c:pt idx="33">
                  <c:v>1 кв. 2031</c:v>
                </c:pt>
                <c:pt idx="34">
                  <c:v>2 кв. 2031</c:v>
                </c:pt>
                <c:pt idx="35">
                  <c:v>3 кв. 2031</c:v>
                </c:pt>
                <c:pt idx="36">
                  <c:v>4 кв. 2031</c:v>
                </c:pt>
                <c:pt idx="37">
                  <c:v>1 кв. 2032</c:v>
                </c:pt>
                <c:pt idx="38">
                  <c:v>2 кв. 2032</c:v>
                </c:pt>
                <c:pt idx="39">
                  <c:v>3 кв. 2032</c:v>
                </c:pt>
                <c:pt idx="40">
                  <c:v>4 кв. 2032</c:v>
                </c:pt>
                <c:pt idx="41">
                  <c:v>1 кв. 2033</c:v>
                </c:pt>
              </c:strCache>
            </c:strRef>
          </c:cat>
          <c:val>
            <c:numRef>
              <c:f>Результаты!$G$17:$AV$17</c:f>
              <c:numCache>
                <c:formatCode>#,##0</c:formatCode>
                <c:ptCount val="42"/>
                <c:pt idx="0">
                  <c:v>122796.5539207625</c:v>
                </c:pt>
                <c:pt idx="1">
                  <c:v>16010.319368744287</c:v>
                </c:pt>
                <c:pt idx="2">
                  <c:v>14134.908622594139</c:v>
                </c:pt>
                <c:pt idx="3">
                  <c:v>54704.217848009233</c:v>
                </c:pt>
                <c:pt idx="4">
                  <c:v>223645.62312548771</c:v>
                </c:pt>
                <c:pt idx="5">
                  <c:v>77273.236726275674</c:v>
                </c:pt>
                <c:pt idx="6">
                  <c:v>55800.619992630425</c:v>
                </c:pt>
                <c:pt idx="7">
                  <c:v>95088.800083402486</c:v>
                </c:pt>
                <c:pt idx="8">
                  <c:v>286780.27294818877</c:v>
                </c:pt>
                <c:pt idx="9">
                  <c:v>120108.81677455008</c:v>
                </c:pt>
                <c:pt idx="10">
                  <c:v>101798.56100871318</c:v>
                </c:pt>
                <c:pt idx="11">
                  <c:v>132637.13636772946</c:v>
                </c:pt>
                <c:pt idx="12">
                  <c:v>324696.86116944114</c:v>
                </c:pt>
                <c:pt idx="13">
                  <c:v>136558.28990017998</c:v>
                </c:pt>
                <c:pt idx="14">
                  <c:v>121230.08602644411</c:v>
                </c:pt>
                <c:pt idx="15">
                  <c:v>154114.48453046821</c:v>
                </c:pt>
                <c:pt idx="16">
                  <c:v>357896.17030721466</c:v>
                </c:pt>
                <c:pt idx="17">
                  <c:v>158670.57320945628</c:v>
                </c:pt>
                <c:pt idx="18">
                  <c:v>127143.25834637185</c:v>
                </c:pt>
                <c:pt idx="19">
                  <c:v>161980.75504362685</c:v>
                </c:pt>
                <c:pt idx="20">
                  <c:v>377969.08327610744</c:v>
                </c:pt>
                <c:pt idx="21">
                  <c:v>166769.39438869967</c:v>
                </c:pt>
                <c:pt idx="22">
                  <c:v>141494.29488694249</c:v>
                </c:pt>
                <c:pt idx="23">
                  <c:v>178520.68545172858</c:v>
                </c:pt>
                <c:pt idx="24">
                  <c:v>407568.40493169939</c:v>
                </c:pt>
                <c:pt idx="25">
                  <c:v>183798.2949926476</c:v>
                </c:pt>
                <c:pt idx="26">
                  <c:v>151939.62425056426</c:v>
                </c:pt>
                <c:pt idx="27">
                  <c:v>191216.29547448544</c:v>
                </c:pt>
                <c:pt idx="28">
                  <c:v>434035.99644717108</c:v>
                </c:pt>
                <c:pt idx="29">
                  <c:v>196869.22551349871</c:v>
                </c:pt>
                <c:pt idx="30">
                  <c:v>160010.28284592149</c:v>
                </c:pt>
                <c:pt idx="31">
                  <c:v>201628.20962559525</c:v>
                </c:pt>
                <c:pt idx="32">
                  <c:v>459001.52277293277</c:v>
                </c:pt>
                <c:pt idx="33">
                  <c:v>207588.94722945243</c:v>
                </c:pt>
                <c:pt idx="34">
                  <c:v>169157.4498380697</c:v>
                </c:pt>
                <c:pt idx="35">
                  <c:v>213265.79836929266</c:v>
                </c:pt>
                <c:pt idx="36">
                  <c:v>486074.75881259108</c:v>
                </c:pt>
                <c:pt idx="37">
                  <c:v>219570.57817325473</c:v>
                </c:pt>
                <c:pt idx="38">
                  <c:v>152680.68302027651</c:v>
                </c:pt>
                <c:pt idx="39">
                  <c:v>199044.82349789937</c:v>
                </c:pt>
                <c:pt idx="40">
                  <c:v>487825.87939906598</c:v>
                </c:pt>
                <c:pt idx="41">
                  <c:v>204929.18842124089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E9-4308-96E9-2D634AB52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4025216"/>
        <c:axId val="134026752"/>
      </c:barChart>
      <c:catAx>
        <c:axId val="13402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026752"/>
        <c:crosses val="autoZero"/>
        <c:auto val="1"/>
        <c:lblAlgn val="ctr"/>
        <c:lblOffset val="100"/>
        <c:noMultiLvlLbl val="0"/>
      </c:catAx>
      <c:valAx>
        <c:axId val="13402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02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Результаты!$A$6</c:f>
              <c:strCache>
                <c:ptCount val="1"/>
                <c:pt idx="0">
                  <c:v>Выручка</c:v>
                </c:pt>
              </c:strCache>
            </c:strRef>
          </c:tx>
          <c:invertIfNegative val="0"/>
          <c:cat>
            <c:strRef>
              <c:f>Результаты!$G$4:$AV$4</c:f>
              <c:strCache>
                <c:ptCount val="42"/>
                <c:pt idx="0">
                  <c:v>4 кв. 2022</c:v>
                </c:pt>
                <c:pt idx="1">
                  <c:v>1 кв. 2023</c:v>
                </c:pt>
                <c:pt idx="2">
                  <c:v>2 кв. 2023</c:v>
                </c:pt>
                <c:pt idx="3">
                  <c:v>3 кв. 2023</c:v>
                </c:pt>
                <c:pt idx="4">
                  <c:v>4 кв. 2023</c:v>
                </c:pt>
                <c:pt idx="5">
                  <c:v>1 кв. 2024</c:v>
                </c:pt>
                <c:pt idx="6">
                  <c:v>2 кв. 2024</c:v>
                </c:pt>
                <c:pt idx="7">
                  <c:v>3 кв. 2024</c:v>
                </c:pt>
                <c:pt idx="8">
                  <c:v>4 кв. 2024</c:v>
                </c:pt>
                <c:pt idx="9">
                  <c:v>1 кв. 2025</c:v>
                </c:pt>
                <c:pt idx="10">
                  <c:v>2 кв. 2025</c:v>
                </c:pt>
                <c:pt idx="11">
                  <c:v>3 кв. 2025</c:v>
                </c:pt>
                <c:pt idx="12">
                  <c:v>4 кв. 2025</c:v>
                </c:pt>
                <c:pt idx="13">
                  <c:v>1 кв. 2026</c:v>
                </c:pt>
                <c:pt idx="14">
                  <c:v>2 кв. 2026</c:v>
                </c:pt>
                <c:pt idx="15">
                  <c:v>3 кв. 2026</c:v>
                </c:pt>
                <c:pt idx="16">
                  <c:v>4 кв. 2026</c:v>
                </c:pt>
                <c:pt idx="17">
                  <c:v>1 кв. 2027</c:v>
                </c:pt>
                <c:pt idx="18">
                  <c:v>2 кв. 2027</c:v>
                </c:pt>
                <c:pt idx="19">
                  <c:v>3 кв. 2027</c:v>
                </c:pt>
                <c:pt idx="20">
                  <c:v>4 кв. 2027</c:v>
                </c:pt>
                <c:pt idx="21">
                  <c:v>1 кв. 2028</c:v>
                </c:pt>
                <c:pt idx="22">
                  <c:v>2 кв. 2028</c:v>
                </c:pt>
                <c:pt idx="23">
                  <c:v>3 кв. 2028</c:v>
                </c:pt>
                <c:pt idx="24">
                  <c:v>4 кв. 2028</c:v>
                </c:pt>
                <c:pt idx="25">
                  <c:v>1 кв. 2029</c:v>
                </c:pt>
                <c:pt idx="26">
                  <c:v>2 кв. 2029</c:v>
                </c:pt>
                <c:pt idx="27">
                  <c:v>3 кв. 2029</c:v>
                </c:pt>
                <c:pt idx="28">
                  <c:v>4 кв. 2029</c:v>
                </c:pt>
                <c:pt idx="29">
                  <c:v>1 кв. 2030</c:v>
                </c:pt>
                <c:pt idx="30">
                  <c:v>2 кв. 2030</c:v>
                </c:pt>
                <c:pt idx="31">
                  <c:v>3 кв. 2030</c:v>
                </c:pt>
                <c:pt idx="32">
                  <c:v>4 кв. 2030</c:v>
                </c:pt>
                <c:pt idx="33">
                  <c:v>1 кв. 2031</c:v>
                </c:pt>
                <c:pt idx="34">
                  <c:v>2 кв. 2031</c:v>
                </c:pt>
                <c:pt idx="35">
                  <c:v>3 кв. 2031</c:v>
                </c:pt>
                <c:pt idx="36">
                  <c:v>4 кв. 2031</c:v>
                </c:pt>
                <c:pt idx="37">
                  <c:v>1 кв. 2032</c:v>
                </c:pt>
                <c:pt idx="38">
                  <c:v>2 кв. 2032</c:v>
                </c:pt>
                <c:pt idx="39">
                  <c:v>3 кв. 2032</c:v>
                </c:pt>
                <c:pt idx="40">
                  <c:v>4 кв. 2032</c:v>
                </c:pt>
                <c:pt idx="41">
                  <c:v>1 кв. 2033</c:v>
                </c:pt>
              </c:strCache>
            </c:strRef>
          </c:cat>
          <c:val>
            <c:numRef>
              <c:f>Результаты!$G$6:$AV$6</c:f>
              <c:numCache>
                <c:formatCode>#,##0</c:formatCode>
                <c:ptCount val="42"/>
                <c:pt idx="0">
                  <c:v>250628.67917076248</c:v>
                </c:pt>
                <c:pt idx="1">
                  <c:v>143638.1521754298</c:v>
                </c:pt>
                <c:pt idx="2">
                  <c:v>189523.19661492985</c:v>
                </c:pt>
                <c:pt idx="3">
                  <c:v>212765.1504605776</c:v>
                </c:pt>
                <c:pt idx="4">
                  <c:v>397010.91754848772</c:v>
                </c:pt>
                <c:pt idx="5">
                  <c:v>249149.13827210269</c:v>
                </c:pt>
                <c:pt idx="6">
                  <c:v>271269.03579772002</c:v>
                </c:pt>
                <c:pt idx="7">
                  <c:v>290741.43503499002</c:v>
                </c:pt>
                <c:pt idx="8">
                  <c:v>499067.98456754873</c:v>
                </c:pt>
                <c:pt idx="9">
                  <c:v>331236.27736687765</c:v>
                </c:pt>
                <c:pt idx="10">
                  <c:v>351093.21956617088</c:v>
                </c:pt>
                <c:pt idx="11">
                  <c:v>356245.1074609441</c:v>
                </c:pt>
                <c:pt idx="12">
                  <c:v>561114.14923256356</c:v>
                </c:pt>
                <c:pt idx="13">
                  <c:v>366776.78659540502</c:v>
                </c:pt>
                <c:pt idx="14">
                  <c:v>389459.8716457134</c:v>
                </c:pt>
                <c:pt idx="15">
                  <c:v>395174.74589110841</c:v>
                </c:pt>
                <c:pt idx="16">
                  <c:v>612593.52854043769</c:v>
                </c:pt>
                <c:pt idx="17">
                  <c:v>406857.30247533746</c:v>
                </c:pt>
                <c:pt idx="18">
                  <c:v>413677.91699091613</c:v>
                </c:pt>
                <c:pt idx="19">
                  <c:v>419748.16310821223</c:v>
                </c:pt>
                <c:pt idx="20">
                  <c:v>650224.73525472661</c:v>
                </c:pt>
                <c:pt idx="21">
                  <c:v>432157.18397208379</c:v>
                </c:pt>
                <c:pt idx="22">
                  <c:v>446919.77870131476</c:v>
                </c:pt>
                <c:pt idx="23">
                  <c:v>453477.81078370911</c:v>
                </c:pt>
                <c:pt idx="24">
                  <c:v>697908.36172182614</c:v>
                </c:pt>
                <c:pt idx="25">
                  <c:v>466883.98169735551</c:v>
                </c:pt>
                <c:pt idx="26">
                  <c:v>475978.19626506895</c:v>
                </c:pt>
                <c:pt idx="27">
                  <c:v>482962.6270966985</c:v>
                </c:pt>
                <c:pt idx="28">
                  <c:v>742092.41093181004</c:v>
                </c:pt>
                <c:pt idx="29">
                  <c:v>497240.45805070334</c:v>
                </c:pt>
                <c:pt idx="30">
                  <c:v>503692.85354969709</c:v>
                </c:pt>
                <c:pt idx="31">
                  <c:v>511083.96499893832</c:v>
                </c:pt>
                <c:pt idx="32">
                  <c:v>785748.96889287722</c:v>
                </c:pt>
                <c:pt idx="33">
                  <c:v>526193.14746182144</c:v>
                </c:pt>
                <c:pt idx="34">
                  <c:v>533800.02868372505</c:v>
                </c:pt>
                <c:pt idx="35">
                  <c:v>541632.92818945588</c:v>
                </c:pt>
                <c:pt idx="36">
                  <c:v>832776.12905460107</c:v>
                </c:pt>
                <c:pt idx="37">
                  <c:v>557645.23008184112</c:v>
                </c:pt>
                <c:pt idx="38">
                  <c:v>543295.8766353426</c:v>
                </c:pt>
                <c:pt idx="39">
                  <c:v>551268.11675315653</c:v>
                </c:pt>
                <c:pt idx="40">
                  <c:v>859544.42464891227</c:v>
                </c:pt>
                <c:pt idx="41">
                  <c:v>567565.26386089379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4A-4248-A7F8-7EC76CAF6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4059520"/>
        <c:axId val="134061056"/>
      </c:barChart>
      <c:catAx>
        <c:axId val="1340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061056"/>
        <c:crosses val="autoZero"/>
        <c:auto val="1"/>
        <c:lblAlgn val="ctr"/>
        <c:lblOffset val="100"/>
        <c:noMultiLvlLbl val="0"/>
      </c:catAx>
      <c:valAx>
        <c:axId val="13406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05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Результаты!$A$58</c:f>
              <c:strCache>
                <c:ptCount val="1"/>
                <c:pt idx="0">
                  <c:v>Денежные потоки от инвестиционной деятельности</c:v>
                </c:pt>
              </c:strCache>
            </c:strRef>
          </c:tx>
          <c:invertIfNegative val="0"/>
          <c:cat>
            <c:strRef>
              <c:f>Результаты!$G$37:$AV$37</c:f>
              <c:strCache>
                <c:ptCount val="42"/>
                <c:pt idx="0">
                  <c:v>4 кв. 2022</c:v>
                </c:pt>
                <c:pt idx="1">
                  <c:v>1 кв. 2023</c:v>
                </c:pt>
                <c:pt idx="2">
                  <c:v>2 кв. 2023</c:v>
                </c:pt>
                <c:pt idx="3">
                  <c:v>3 кв. 2023</c:v>
                </c:pt>
                <c:pt idx="4">
                  <c:v>4 кв. 2023</c:v>
                </c:pt>
                <c:pt idx="5">
                  <c:v>1 кв. 2024</c:v>
                </c:pt>
                <c:pt idx="6">
                  <c:v>2 кв. 2024</c:v>
                </c:pt>
                <c:pt idx="7">
                  <c:v>3 кв. 2024</c:v>
                </c:pt>
                <c:pt idx="8">
                  <c:v>4 кв. 2024</c:v>
                </c:pt>
                <c:pt idx="9">
                  <c:v>1 кв. 2025</c:v>
                </c:pt>
                <c:pt idx="10">
                  <c:v>2 кв. 2025</c:v>
                </c:pt>
                <c:pt idx="11">
                  <c:v>3 кв. 2025</c:v>
                </c:pt>
                <c:pt idx="12">
                  <c:v>4 кв. 2025</c:v>
                </c:pt>
                <c:pt idx="13">
                  <c:v>1 кв. 2026</c:v>
                </c:pt>
                <c:pt idx="14">
                  <c:v>2 кв. 2026</c:v>
                </c:pt>
                <c:pt idx="15">
                  <c:v>3 кв. 2026</c:v>
                </c:pt>
                <c:pt idx="16">
                  <c:v>4 кв. 2026</c:v>
                </c:pt>
                <c:pt idx="17">
                  <c:v>1 кв. 2027</c:v>
                </c:pt>
                <c:pt idx="18">
                  <c:v>2 кв. 2027</c:v>
                </c:pt>
                <c:pt idx="19">
                  <c:v>3 кв. 2027</c:v>
                </c:pt>
                <c:pt idx="20">
                  <c:v>4 кв. 2027</c:v>
                </c:pt>
                <c:pt idx="21">
                  <c:v>1 кв. 2028</c:v>
                </c:pt>
                <c:pt idx="22">
                  <c:v>2 кв. 2028</c:v>
                </c:pt>
                <c:pt idx="23">
                  <c:v>3 кв. 2028</c:v>
                </c:pt>
                <c:pt idx="24">
                  <c:v>4 кв. 2028</c:v>
                </c:pt>
                <c:pt idx="25">
                  <c:v>1 кв. 2029</c:v>
                </c:pt>
                <c:pt idx="26">
                  <c:v>2 кв. 2029</c:v>
                </c:pt>
                <c:pt idx="27">
                  <c:v>3 кв. 2029</c:v>
                </c:pt>
                <c:pt idx="28">
                  <c:v>4 кв. 2029</c:v>
                </c:pt>
                <c:pt idx="29">
                  <c:v>1 кв. 2030</c:v>
                </c:pt>
                <c:pt idx="30">
                  <c:v>2 кв. 2030</c:v>
                </c:pt>
                <c:pt idx="31">
                  <c:v>3 кв. 2030</c:v>
                </c:pt>
                <c:pt idx="32">
                  <c:v>4 кв. 2030</c:v>
                </c:pt>
                <c:pt idx="33">
                  <c:v>1 кв. 2031</c:v>
                </c:pt>
                <c:pt idx="34">
                  <c:v>2 кв. 2031</c:v>
                </c:pt>
                <c:pt idx="35">
                  <c:v>3 кв. 2031</c:v>
                </c:pt>
                <c:pt idx="36">
                  <c:v>4 кв. 2031</c:v>
                </c:pt>
                <c:pt idx="37">
                  <c:v>1 кв. 2032</c:v>
                </c:pt>
                <c:pt idx="38">
                  <c:v>2 кв. 2032</c:v>
                </c:pt>
                <c:pt idx="39">
                  <c:v>3 кв. 2032</c:v>
                </c:pt>
                <c:pt idx="40">
                  <c:v>4 кв. 2032</c:v>
                </c:pt>
                <c:pt idx="41">
                  <c:v>1 кв. 2033</c:v>
                </c:pt>
              </c:strCache>
            </c:strRef>
          </c:cat>
          <c:val>
            <c:numRef>
              <c:f>Результаты!$G$58:$AV$58</c:f>
              <c:numCache>
                <c:formatCode>#,##0</c:formatCode>
                <c:ptCount val="42"/>
                <c:pt idx="0">
                  <c:v>-99108</c:v>
                </c:pt>
                <c:pt idx="1">
                  <c:v>-127760.00000000001</c:v>
                </c:pt>
                <c:pt idx="2">
                  <c:v>-92760</c:v>
                </c:pt>
                <c:pt idx="3">
                  <c:v>-82018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D7-4877-B826-A74A73193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089728"/>
        <c:axId val="134099712"/>
      </c:barChart>
      <c:catAx>
        <c:axId val="1340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099712"/>
        <c:crosses val="autoZero"/>
        <c:auto val="1"/>
        <c:lblAlgn val="ctr"/>
        <c:lblOffset val="100"/>
        <c:noMultiLvlLbl val="0"/>
      </c:catAx>
      <c:valAx>
        <c:axId val="13409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08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Результаты!$A$69</c:f>
              <c:strCache>
                <c:ptCount val="1"/>
                <c:pt idx="0">
                  <c:v>Денежные средства на конец периода</c:v>
                </c:pt>
              </c:strCache>
            </c:strRef>
          </c:tx>
          <c:invertIfNegative val="0"/>
          <c:cat>
            <c:strRef>
              <c:f>Результаты!$G$37:$AV$37</c:f>
              <c:strCache>
                <c:ptCount val="42"/>
                <c:pt idx="0">
                  <c:v>4 кв. 2022</c:v>
                </c:pt>
                <c:pt idx="1">
                  <c:v>1 кв. 2023</c:v>
                </c:pt>
                <c:pt idx="2">
                  <c:v>2 кв. 2023</c:v>
                </c:pt>
                <c:pt idx="3">
                  <c:v>3 кв. 2023</c:v>
                </c:pt>
                <c:pt idx="4">
                  <c:v>4 кв. 2023</c:v>
                </c:pt>
                <c:pt idx="5">
                  <c:v>1 кв. 2024</c:v>
                </c:pt>
                <c:pt idx="6">
                  <c:v>2 кв. 2024</c:v>
                </c:pt>
                <c:pt idx="7">
                  <c:v>3 кв. 2024</c:v>
                </c:pt>
                <c:pt idx="8">
                  <c:v>4 кв. 2024</c:v>
                </c:pt>
                <c:pt idx="9">
                  <c:v>1 кв. 2025</c:v>
                </c:pt>
                <c:pt idx="10">
                  <c:v>2 кв. 2025</c:v>
                </c:pt>
                <c:pt idx="11">
                  <c:v>3 кв. 2025</c:v>
                </c:pt>
                <c:pt idx="12">
                  <c:v>4 кв. 2025</c:v>
                </c:pt>
                <c:pt idx="13">
                  <c:v>1 кв. 2026</c:v>
                </c:pt>
                <c:pt idx="14">
                  <c:v>2 кв. 2026</c:v>
                </c:pt>
                <c:pt idx="15">
                  <c:v>3 кв. 2026</c:v>
                </c:pt>
                <c:pt idx="16">
                  <c:v>4 кв. 2026</c:v>
                </c:pt>
                <c:pt idx="17">
                  <c:v>1 кв. 2027</c:v>
                </c:pt>
                <c:pt idx="18">
                  <c:v>2 кв. 2027</c:v>
                </c:pt>
                <c:pt idx="19">
                  <c:v>3 кв. 2027</c:v>
                </c:pt>
                <c:pt idx="20">
                  <c:v>4 кв. 2027</c:v>
                </c:pt>
                <c:pt idx="21">
                  <c:v>1 кв. 2028</c:v>
                </c:pt>
                <c:pt idx="22">
                  <c:v>2 кв. 2028</c:v>
                </c:pt>
                <c:pt idx="23">
                  <c:v>3 кв. 2028</c:v>
                </c:pt>
                <c:pt idx="24">
                  <c:v>4 кв. 2028</c:v>
                </c:pt>
                <c:pt idx="25">
                  <c:v>1 кв. 2029</c:v>
                </c:pt>
                <c:pt idx="26">
                  <c:v>2 кв. 2029</c:v>
                </c:pt>
                <c:pt idx="27">
                  <c:v>3 кв. 2029</c:v>
                </c:pt>
                <c:pt idx="28">
                  <c:v>4 кв. 2029</c:v>
                </c:pt>
                <c:pt idx="29">
                  <c:v>1 кв. 2030</c:v>
                </c:pt>
                <c:pt idx="30">
                  <c:v>2 кв. 2030</c:v>
                </c:pt>
                <c:pt idx="31">
                  <c:v>3 кв. 2030</c:v>
                </c:pt>
                <c:pt idx="32">
                  <c:v>4 кв. 2030</c:v>
                </c:pt>
                <c:pt idx="33">
                  <c:v>1 кв. 2031</c:v>
                </c:pt>
                <c:pt idx="34">
                  <c:v>2 кв. 2031</c:v>
                </c:pt>
                <c:pt idx="35">
                  <c:v>3 кв. 2031</c:v>
                </c:pt>
                <c:pt idx="36">
                  <c:v>4 кв. 2031</c:v>
                </c:pt>
                <c:pt idx="37">
                  <c:v>1 кв. 2032</c:v>
                </c:pt>
                <c:pt idx="38">
                  <c:v>2 кв. 2032</c:v>
                </c:pt>
                <c:pt idx="39">
                  <c:v>3 кв. 2032</c:v>
                </c:pt>
                <c:pt idx="40">
                  <c:v>4 кв. 2032</c:v>
                </c:pt>
                <c:pt idx="41">
                  <c:v>1 кв. 2033</c:v>
                </c:pt>
              </c:strCache>
            </c:strRef>
          </c:cat>
          <c:val>
            <c:numRef>
              <c:f>Результаты!$G$69:$AV$69</c:f>
              <c:numCache>
                <c:formatCode>#,##0</c:formatCode>
                <c:ptCount val="42"/>
                <c:pt idx="0">
                  <c:v>119972.79571811709</c:v>
                </c:pt>
                <c:pt idx="1">
                  <c:v>112807.11093958122</c:v>
                </c:pt>
                <c:pt idx="2">
                  <c:v>160222.9519268329</c:v>
                </c:pt>
                <c:pt idx="3">
                  <c:v>219315.53724885569</c:v>
                </c:pt>
                <c:pt idx="4">
                  <c:v>367840.52987686254</c:v>
                </c:pt>
                <c:pt idx="5">
                  <c:v>493882.90348529152</c:v>
                </c:pt>
                <c:pt idx="6">
                  <c:v>533996.05872667581</c:v>
                </c:pt>
                <c:pt idx="7">
                  <c:v>617061.45245610038</c:v>
                </c:pt>
                <c:pt idx="8">
                  <c:v>819757.93219042872</c:v>
                </c:pt>
                <c:pt idx="9">
                  <c:v>996031.97022708145</c:v>
                </c:pt>
                <c:pt idx="10">
                  <c:v>1082358.0512009782</c:v>
                </c:pt>
                <c:pt idx="11">
                  <c:v>1208636.0716891577</c:v>
                </c:pt>
                <c:pt idx="12">
                  <c:v>1450771.607296682</c:v>
                </c:pt>
                <c:pt idx="13">
                  <c:v>1653618.367802311</c:v>
                </c:pt>
                <c:pt idx="14">
                  <c:v>1706486.2554621981</c:v>
                </c:pt>
                <c:pt idx="15">
                  <c:v>1773881.9077855702</c:v>
                </c:pt>
                <c:pt idx="16">
                  <c:v>1874716.3256310825</c:v>
                </c:pt>
                <c:pt idx="17">
                  <c:v>1962281.3729937081</c:v>
                </c:pt>
                <c:pt idx="18">
                  <c:v>2016987.3491881755</c:v>
                </c:pt>
                <c:pt idx="19">
                  <c:v>2081940.6657957111</c:v>
                </c:pt>
                <c:pt idx="20">
                  <c:v>2182266.3486307343</c:v>
                </c:pt>
                <c:pt idx="21">
                  <c:v>2268452.9898072802</c:v>
                </c:pt>
                <c:pt idx="22">
                  <c:v>2321239.6046860558</c:v>
                </c:pt>
                <c:pt idx="23">
                  <c:v>2385564.6296529486</c:v>
                </c:pt>
                <c:pt idx="24">
                  <c:v>2487281.2584154867</c:v>
                </c:pt>
                <c:pt idx="25">
                  <c:v>2573905.4211558555</c:v>
                </c:pt>
                <c:pt idx="26">
                  <c:v>2624281.3546338161</c:v>
                </c:pt>
                <c:pt idx="27">
                  <c:v>2686084.760577275</c:v>
                </c:pt>
                <c:pt idx="28">
                  <c:v>2787429.1548696696</c:v>
                </c:pt>
                <c:pt idx="29">
                  <c:v>2872680.0364973815</c:v>
                </c:pt>
                <c:pt idx="30">
                  <c:v>2918875.3128243457</c:v>
                </c:pt>
                <c:pt idx="31">
                  <c:v>2976758.6727239108</c:v>
                </c:pt>
                <c:pt idx="32">
                  <c:v>3294041.2276852299</c:v>
                </c:pt>
                <c:pt idx="33">
                  <c:v>3598430.5403896044</c:v>
                </c:pt>
                <c:pt idx="34">
                  <c:v>3762300.3513836064</c:v>
                </c:pt>
                <c:pt idx="35">
                  <c:v>3975128.9161867653</c:v>
                </c:pt>
                <c:pt idx="36">
                  <c:v>4352669.2219858766</c:v>
                </c:pt>
                <c:pt idx="37">
                  <c:v>4674848.6562736295</c:v>
                </c:pt>
                <c:pt idx="38">
                  <c:v>4830092.4596970826</c:v>
                </c:pt>
                <c:pt idx="39">
                  <c:v>5028794.1474371962</c:v>
                </c:pt>
                <c:pt idx="40">
                  <c:v>5401695.6041949401</c:v>
                </c:pt>
                <c:pt idx="41">
                  <c:v>5715514.0692912247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F5-44EB-AA8B-172579E0B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4120576"/>
        <c:axId val="134122112"/>
      </c:barChart>
      <c:catAx>
        <c:axId val="1341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122112"/>
        <c:crosses val="autoZero"/>
        <c:auto val="1"/>
        <c:lblAlgn val="ctr"/>
        <c:lblOffset val="100"/>
        <c:noMultiLvlLbl val="0"/>
      </c:catAx>
      <c:valAx>
        <c:axId val="13412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412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Результаты!$A$106</c:f>
              <c:strCache>
                <c:ptCount val="1"/>
                <c:pt idx="0">
                  <c:v>Долгосрочные кредиты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bg1"/>
              </a:solidFill>
            </a:ln>
            <a:effectLst/>
          </c:spPr>
          <c:cat>
            <c:strRef>
              <c:f>Результаты!$G$73:$AV$73</c:f>
              <c:strCache>
                <c:ptCount val="42"/>
                <c:pt idx="0">
                  <c:v>4 кв. 2022</c:v>
                </c:pt>
                <c:pt idx="1">
                  <c:v>1 кв. 2023</c:v>
                </c:pt>
                <c:pt idx="2">
                  <c:v>2 кв. 2023</c:v>
                </c:pt>
                <c:pt idx="3">
                  <c:v>3 кв. 2023</c:v>
                </c:pt>
                <c:pt idx="4">
                  <c:v>4 кв. 2023</c:v>
                </c:pt>
                <c:pt idx="5">
                  <c:v>1 кв. 2024</c:v>
                </c:pt>
                <c:pt idx="6">
                  <c:v>2 кв. 2024</c:v>
                </c:pt>
                <c:pt idx="7">
                  <c:v>3 кв. 2024</c:v>
                </c:pt>
                <c:pt idx="8">
                  <c:v>4 кв. 2024</c:v>
                </c:pt>
                <c:pt idx="9">
                  <c:v>1 кв. 2025</c:v>
                </c:pt>
                <c:pt idx="10">
                  <c:v>2 кв. 2025</c:v>
                </c:pt>
                <c:pt idx="11">
                  <c:v>3 кв. 2025</c:v>
                </c:pt>
                <c:pt idx="12">
                  <c:v>4 кв. 2025</c:v>
                </c:pt>
                <c:pt idx="13">
                  <c:v>1 кв. 2026</c:v>
                </c:pt>
                <c:pt idx="14">
                  <c:v>2 кв. 2026</c:v>
                </c:pt>
                <c:pt idx="15">
                  <c:v>3 кв. 2026</c:v>
                </c:pt>
                <c:pt idx="16">
                  <c:v>4 кв. 2026</c:v>
                </c:pt>
                <c:pt idx="17">
                  <c:v>1 кв. 2027</c:v>
                </c:pt>
                <c:pt idx="18">
                  <c:v>2 кв. 2027</c:v>
                </c:pt>
                <c:pt idx="19">
                  <c:v>3 кв. 2027</c:v>
                </c:pt>
                <c:pt idx="20">
                  <c:v>4 кв. 2027</c:v>
                </c:pt>
                <c:pt idx="21">
                  <c:v>1 кв. 2028</c:v>
                </c:pt>
                <c:pt idx="22">
                  <c:v>2 кв. 2028</c:v>
                </c:pt>
                <c:pt idx="23">
                  <c:v>3 кв. 2028</c:v>
                </c:pt>
                <c:pt idx="24">
                  <c:v>4 кв. 2028</c:v>
                </c:pt>
                <c:pt idx="25">
                  <c:v>1 кв. 2029</c:v>
                </c:pt>
                <c:pt idx="26">
                  <c:v>2 кв. 2029</c:v>
                </c:pt>
                <c:pt idx="27">
                  <c:v>3 кв. 2029</c:v>
                </c:pt>
                <c:pt idx="28">
                  <c:v>4 кв. 2029</c:v>
                </c:pt>
                <c:pt idx="29">
                  <c:v>1 кв. 2030</c:v>
                </c:pt>
                <c:pt idx="30">
                  <c:v>2 кв. 2030</c:v>
                </c:pt>
                <c:pt idx="31">
                  <c:v>3 кв. 2030</c:v>
                </c:pt>
                <c:pt idx="32">
                  <c:v>4 кв. 2030</c:v>
                </c:pt>
                <c:pt idx="33">
                  <c:v>1 кв. 2031</c:v>
                </c:pt>
                <c:pt idx="34">
                  <c:v>2 кв. 2031</c:v>
                </c:pt>
                <c:pt idx="35">
                  <c:v>3 кв. 2031</c:v>
                </c:pt>
                <c:pt idx="36">
                  <c:v>4 кв. 2031</c:v>
                </c:pt>
                <c:pt idx="37">
                  <c:v>1 кв. 2032</c:v>
                </c:pt>
                <c:pt idx="38">
                  <c:v>2 кв. 2032</c:v>
                </c:pt>
                <c:pt idx="39">
                  <c:v>3 кв. 2032</c:v>
                </c:pt>
                <c:pt idx="40">
                  <c:v>4 кв. 2032</c:v>
                </c:pt>
                <c:pt idx="41">
                  <c:v>1 кв. 2033</c:v>
                </c:pt>
              </c:strCache>
            </c:strRef>
          </c:cat>
          <c:val>
            <c:numRef>
              <c:f>Результаты!$G$106:$AV$106</c:f>
              <c:numCache>
                <c:formatCode>#,##0</c:formatCode>
                <c:ptCount val="42"/>
                <c:pt idx="0">
                  <c:v>2176632</c:v>
                </c:pt>
                <c:pt idx="1">
                  <c:v>2226632</c:v>
                </c:pt>
                <c:pt idx="2">
                  <c:v>2376632</c:v>
                </c:pt>
                <c:pt idx="3">
                  <c:v>2476632</c:v>
                </c:pt>
                <c:pt idx="4">
                  <c:v>2476632</c:v>
                </c:pt>
                <c:pt idx="5">
                  <c:v>2476632</c:v>
                </c:pt>
                <c:pt idx="6">
                  <c:v>2476632</c:v>
                </c:pt>
                <c:pt idx="7">
                  <c:v>2476632</c:v>
                </c:pt>
                <c:pt idx="8">
                  <c:v>2476632</c:v>
                </c:pt>
                <c:pt idx="9">
                  <c:v>2476632</c:v>
                </c:pt>
                <c:pt idx="10">
                  <c:v>2476632</c:v>
                </c:pt>
                <c:pt idx="11">
                  <c:v>2476632</c:v>
                </c:pt>
                <c:pt idx="12">
                  <c:v>2476632</c:v>
                </c:pt>
                <c:pt idx="13">
                  <c:v>2476632</c:v>
                </c:pt>
                <c:pt idx="14">
                  <c:v>2424692.6045558229</c:v>
                </c:pt>
                <c:pt idx="15">
                  <c:v>2344107.5076704742</c:v>
                </c:pt>
                <c:pt idx="16">
                  <c:v>2173528.7929135934</c:v>
                </c:pt>
                <c:pt idx="17">
                  <c:v>2030770.0515321111</c:v>
                </c:pt>
                <c:pt idx="18">
                  <c:v>1967797.5190581742</c:v>
                </c:pt>
                <c:pt idx="19">
                  <c:v>1875755.0416607889</c:v>
                </c:pt>
                <c:pt idx="20">
                  <c:v>1688250.2179439007</c:v>
                </c:pt>
                <c:pt idx="21">
                  <c:v>1530164.7949810685</c:v>
                </c:pt>
                <c:pt idx="22">
                  <c:v>1452673.5146658332</c:v>
                </c:pt>
                <c:pt idx="23">
                  <c:v>1342193.1972624753</c:v>
                </c:pt>
                <c:pt idx="24">
                  <c:v>1130287.4031996259</c:v>
                </c:pt>
                <c:pt idx="25">
                  <c:v>949326.74965150608</c:v>
                </c:pt>
                <c:pt idx="26">
                  <c:v>855466.92577205668</c:v>
                </c:pt>
                <c:pt idx="27">
                  <c:v>728268.47901046672</c:v>
                </c:pt>
                <c:pt idx="28">
                  <c:v>493410.382885403</c:v>
                </c:pt>
                <c:pt idx="29">
                  <c:v>291203.30288769235</c:v>
                </c:pt>
                <c:pt idx="30">
                  <c:v>182561.15551675158</c:v>
                </c:pt>
                <c:pt idx="31">
                  <c:v>39327.538617056329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F8-4534-9FFD-9D47C8BAD66A}"/>
            </c:ext>
          </c:extLst>
        </c:ser>
        <c:ser>
          <c:idx val="1"/>
          <c:order val="1"/>
          <c:tx>
            <c:strRef>
              <c:f>Результаты!$A$102</c:f>
              <c:strCache>
                <c:ptCount val="1"/>
                <c:pt idx="0">
                  <c:v>Краткосрочные кредиты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Результаты!$G$73:$AV$73</c:f>
              <c:strCache>
                <c:ptCount val="42"/>
                <c:pt idx="0">
                  <c:v>4 кв. 2022</c:v>
                </c:pt>
                <c:pt idx="1">
                  <c:v>1 кв. 2023</c:v>
                </c:pt>
                <c:pt idx="2">
                  <c:v>2 кв. 2023</c:v>
                </c:pt>
                <c:pt idx="3">
                  <c:v>3 кв. 2023</c:v>
                </c:pt>
                <c:pt idx="4">
                  <c:v>4 кв. 2023</c:v>
                </c:pt>
                <c:pt idx="5">
                  <c:v>1 кв. 2024</c:v>
                </c:pt>
                <c:pt idx="6">
                  <c:v>2 кв. 2024</c:v>
                </c:pt>
                <c:pt idx="7">
                  <c:v>3 кв. 2024</c:v>
                </c:pt>
                <c:pt idx="8">
                  <c:v>4 кв. 2024</c:v>
                </c:pt>
                <c:pt idx="9">
                  <c:v>1 кв. 2025</c:v>
                </c:pt>
                <c:pt idx="10">
                  <c:v>2 кв. 2025</c:v>
                </c:pt>
                <c:pt idx="11">
                  <c:v>3 кв. 2025</c:v>
                </c:pt>
                <c:pt idx="12">
                  <c:v>4 кв. 2025</c:v>
                </c:pt>
                <c:pt idx="13">
                  <c:v>1 кв. 2026</c:v>
                </c:pt>
                <c:pt idx="14">
                  <c:v>2 кв. 2026</c:v>
                </c:pt>
                <c:pt idx="15">
                  <c:v>3 кв. 2026</c:v>
                </c:pt>
                <c:pt idx="16">
                  <c:v>4 кв. 2026</c:v>
                </c:pt>
                <c:pt idx="17">
                  <c:v>1 кв. 2027</c:v>
                </c:pt>
                <c:pt idx="18">
                  <c:v>2 кв. 2027</c:v>
                </c:pt>
                <c:pt idx="19">
                  <c:v>3 кв. 2027</c:v>
                </c:pt>
                <c:pt idx="20">
                  <c:v>4 кв. 2027</c:v>
                </c:pt>
                <c:pt idx="21">
                  <c:v>1 кв. 2028</c:v>
                </c:pt>
                <c:pt idx="22">
                  <c:v>2 кв. 2028</c:v>
                </c:pt>
                <c:pt idx="23">
                  <c:v>3 кв. 2028</c:v>
                </c:pt>
                <c:pt idx="24">
                  <c:v>4 кв. 2028</c:v>
                </c:pt>
                <c:pt idx="25">
                  <c:v>1 кв. 2029</c:v>
                </c:pt>
                <c:pt idx="26">
                  <c:v>2 кв. 2029</c:v>
                </c:pt>
                <c:pt idx="27">
                  <c:v>3 кв. 2029</c:v>
                </c:pt>
                <c:pt idx="28">
                  <c:v>4 кв. 2029</c:v>
                </c:pt>
                <c:pt idx="29">
                  <c:v>1 кв. 2030</c:v>
                </c:pt>
                <c:pt idx="30">
                  <c:v>2 кв. 2030</c:v>
                </c:pt>
                <c:pt idx="31">
                  <c:v>3 кв. 2030</c:v>
                </c:pt>
                <c:pt idx="32">
                  <c:v>4 кв. 2030</c:v>
                </c:pt>
                <c:pt idx="33">
                  <c:v>1 кв. 2031</c:v>
                </c:pt>
                <c:pt idx="34">
                  <c:v>2 кв. 2031</c:v>
                </c:pt>
                <c:pt idx="35">
                  <c:v>3 кв. 2031</c:v>
                </c:pt>
                <c:pt idx="36">
                  <c:v>4 кв. 2031</c:v>
                </c:pt>
                <c:pt idx="37">
                  <c:v>1 кв. 2032</c:v>
                </c:pt>
                <c:pt idx="38">
                  <c:v>2 кв. 2032</c:v>
                </c:pt>
                <c:pt idx="39">
                  <c:v>3 кв. 2032</c:v>
                </c:pt>
                <c:pt idx="40">
                  <c:v>4 кв. 2032</c:v>
                </c:pt>
                <c:pt idx="41">
                  <c:v>1 кв. 2033</c:v>
                </c:pt>
              </c:strCache>
            </c:strRef>
          </c:cat>
          <c:val>
            <c:numRef>
              <c:f>Результаты!$G$102:$AV$102</c:f>
              <c:numCache>
                <c:formatCode>#,##0</c:formatCode>
                <c:ptCount val="42"/>
                <c:pt idx="0">
                  <c:v>14528</c:v>
                </c:pt>
                <c:pt idx="1">
                  <c:v>14528</c:v>
                </c:pt>
                <c:pt idx="2">
                  <c:v>14528</c:v>
                </c:pt>
                <c:pt idx="3">
                  <c:v>14528</c:v>
                </c:pt>
                <c:pt idx="4">
                  <c:v>14528</c:v>
                </c:pt>
                <c:pt idx="5">
                  <c:v>14528</c:v>
                </c:pt>
                <c:pt idx="6">
                  <c:v>14528</c:v>
                </c:pt>
                <c:pt idx="7">
                  <c:v>14528</c:v>
                </c:pt>
                <c:pt idx="8">
                  <c:v>14528</c:v>
                </c:pt>
                <c:pt idx="9">
                  <c:v>14528</c:v>
                </c:pt>
                <c:pt idx="10">
                  <c:v>14528</c:v>
                </c:pt>
                <c:pt idx="11">
                  <c:v>14528</c:v>
                </c:pt>
                <c:pt idx="12">
                  <c:v>14528</c:v>
                </c:pt>
                <c:pt idx="13">
                  <c:v>14528</c:v>
                </c:pt>
                <c:pt idx="14">
                  <c:v>14528</c:v>
                </c:pt>
                <c:pt idx="15">
                  <c:v>14528</c:v>
                </c:pt>
                <c:pt idx="16">
                  <c:v>14528</c:v>
                </c:pt>
                <c:pt idx="17">
                  <c:v>14528</c:v>
                </c:pt>
                <c:pt idx="18">
                  <c:v>14528</c:v>
                </c:pt>
                <c:pt idx="19">
                  <c:v>14528</c:v>
                </c:pt>
                <c:pt idx="20">
                  <c:v>14528</c:v>
                </c:pt>
                <c:pt idx="21">
                  <c:v>14528</c:v>
                </c:pt>
                <c:pt idx="22">
                  <c:v>14528</c:v>
                </c:pt>
                <c:pt idx="23">
                  <c:v>14528</c:v>
                </c:pt>
                <c:pt idx="24">
                  <c:v>14528</c:v>
                </c:pt>
                <c:pt idx="25">
                  <c:v>14528</c:v>
                </c:pt>
                <c:pt idx="26">
                  <c:v>14528</c:v>
                </c:pt>
                <c:pt idx="27">
                  <c:v>14528</c:v>
                </c:pt>
                <c:pt idx="28">
                  <c:v>14528</c:v>
                </c:pt>
                <c:pt idx="29">
                  <c:v>14528</c:v>
                </c:pt>
                <c:pt idx="30">
                  <c:v>14528</c:v>
                </c:pt>
                <c:pt idx="31">
                  <c:v>14528</c:v>
                </c:pt>
                <c:pt idx="32">
                  <c:v>14528</c:v>
                </c:pt>
                <c:pt idx="33">
                  <c:v>14528</c:v>
                </c:pt>
                <c:pt idx="34">
                  <c:v>14528</c:v>
                </c:pt>
                <c:pt idx="35">
                  <c:v>14528</c:v>
                </c:pt>
                <c:pt idx="36">
                  <c:v>14528</c:v>
                </c:pt>
                <c:pt idx="37">
                  <c:v>14528</c:v>
                </c:pt>
                <c:pt idx="38">
                  <c:v>14528</c:v>
                </c:pt>
                <c:pt idx="39">
                  <c:v>14528</c:v>
                </c:pt>
                <c:pt idx="40">
                  <c:v>14528</c:v>
                </c:pt>
                <c:pt idx="41">
                  <c:v>14528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F8-4534-9FFD-9D47C8BAD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51648"/>
        <c:axId val="132657536"/>
      </c:areaChart>
      <c:catAx>
        <c:axId val="13265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657536"/>
        <c:crosses val="autoZero"/>
        <c:auto val="1"/>
        <c:lblAlgn val="ctr"/>
        <c:lblOffset val="100"/>
        <c:noMultiLvlLbl val="0"/>
      </c:catAx>
      <c:valAx>
        <c:axId val="1326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651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Результаты!$A$192</c:f>
              <c:strCache>
                <c:ptCount val="1"/>
                <c:pt idx="0">
                  <c:v>Дисконтированный поток нарастающим итогом</c:v>
                </c:pt>
              </c:strCache>
            </c:strRef>
          </c:tx>
          <c:spPr>
            <a:ln w="44450">
              <a:solidFill>
                <a:srgbClr val="C00000">
                  <a:alpha val="50000"/>
                </a:srgbClr>
              </a:solidFill>
            </a:ln>
          </c:spPr>
          <c:marker>
            <c:symbol val="none"/>
          </c:marker>
          <c:cat>
            <c:strRef>
              <c:f>Результаты!$G$174:$AV$174</c:f>
              <c:strCache>
                <c:ptCount val="42"/>
                <c:pt idx="0">
                  <c:v>4 кв. 2022</c:v>
                </c:pt>
                <c:pt idx="1">
                  <c:v>1 кв. 2023</c:v>
                </c:pt>
                <c:pt idx="2">
                  <c:v>2 кв. 2023</c:v>
                </c:pt>
                <c:pt idx="3">
                  <c:v>3 кв. 2023</c:v>
                </c:pt>
                <c:pt idx="4">
                  <c:v>4 кв. 2023</c:v>
                </c:pt>
                <c:pt idx="5">
                  <c:v>1 кв. 2024</c:v>
                </c:pt>
                <c:pt idx="6">
                  <c:v>2 кв. 2024</c:v>
                </c:pt>
                <c:pt idx="7">
                  <c:v>3 кв. 2024</c:v>
                </c:pt>
                <c:pt idx="8">
                  <c:v>4 кв. 2024</c:v>
                </c:pt>
                <c:pt idx="9">
                  <c:v>1 кв. 2025</c:v>
                </c:pt>
                <c:pt idx="10">
                  <c:v>2 кв. 2025</c:v>
                </c:pt>
                <c:pt idx="11">
                  <c:v>3 кв. 2025</c:v>
                </c:pt>
                <c:pt idx="12">
                  <c:v>4 кв. 2025</c:v>
                </c:pt>
                <c:pt idx="13">
                  <c:v>1 кв. 2026</c:v>
                </c:pt>
                <c:pt idx="14">
                  <c:v>2 кв. 2026</c:v>
                </c:pt>
                <c:pt idx="15">
                  <c:v>3 кв. 2026</c:v>
                </c:pt>
                <c:pt idx="16">
                  <c:v>4 кв. 2026</c:v>
                </c:pt>
                <c:pt idx="17">
                  <c:v>1 кв. 2027</c:v>
                </c:pt>
                <c:pt idx="18">
                  <c:v>2 кв. 2027</c:v>
                </c:pt>
                <c:pt idx="19">
                  <c:v>3 кв. 2027</c:v>
                </c:pt>
                <c:pt idx="20">
                  <c:v>4 кв. 2027</c:v>
                </c:pt>
                <c:pt idx="21">
                  <c:v>1 кв. 2028</c:v>
                </c:pt>
                <c:pt idx="22">
                  <c:v>2 кв. 2028</c:v>
                </c:pt>
                <c:pt idx="23">
                  <c:v>3 кв. 2028</c:v>
                </c:pt>
                <c:pt idx="24">
                  <c:v>4 кв. 2028</c:v>
                </c:pt>
                <c:pt idx="25">
                  <c:v>1 кв. 2029</c:v>
                </c:pt>
                <c:pt idx="26">
                  <c:v>2 кв. 2029</c:v>
                </c:pt>
                <c:pt idx="27">
                  <c:v>3 кв. 2029</c:v>
                </c:pt>
                <c:pt idx="28">
                  <c:v>4 кв. 2029</c:v>
                </c:pt>
                <c:pt idx="29">
                  <c:v>1 кв. 2030</c:v>
                </c:pt>
                <c:pt idx="30">
                  <c:v>2 кв. 2030</c:v>
                </c:pt>
                <c:pt idx="31">
                  <c:v>3 кв. 2030</c:v>
                </c:pt>
                <c:pt idx="32">
                  <c:v>4 кв. 2030</c:v>
                </c:pt>
                <c:pt idx="33">
                  <c:v>1 кв. 2031</c:v>
                </c:pt>
                <c:pt idx="34">
                  <c:v>2 кв. 2031</c:v>
                </c:pt>
                <c:pt idx="35">
                  <c:v>3 кв. 2031</c:v>
                </c:pt>
                <c:pt idx="36">
                  <c:v>4 кв. 2031</c:v>
                </c:pt>
                <c:pt idx="37">
                  <c:v>1 кв. 2032</c:v>
                </c:pt>
                <c:pt idx="38">
                  <c:v>2 кв. 2032</c:v>
                </c:pt>
                <c:pt idx="39">
                  <c:v>3 кв. 2032</c:v>
                </c:pt>
                <c:pt idx="40">
                  <c:v>4 кв. 2032</c:v>
                </c:pt>
                <c:pt idx="41">
                  <c:v>1 кв. 2033</c:v>
                </c:pt>
              </c:strCache>
            </c:strRef>
          </c:cat>
          <c:val>
            <c:numRef>
              <c:f>Результаты!$G$192:$AV$192</c:f>
              <c:numCache>
                <c:formatCode>#,##0</c:formatCode>
                <c:ptCount val="42"/>
                <c:pt idx="0">
                  <c:v>-718433.45228188299</c:v>
                </c:pt>
                <c:pt idx="1">
                  <c:v>-692477.58182179416</c:v>
                </c:pt>
                <c:pt idx="2">
                  <c:v>-705555.23710881674</c:v>
                </c:pt>
                <c:pt idx="3">
                  <c:v>-655789.92902172578</c:v>
                </c:pt>
                <c:pt idx="4">
                  <c:v>-427926.33394148533</c:v>
                </c:pt>
                <c:pt idx="5">
                  <c:v>-224244.31579568665</c:v>
                </c:pt>
                <c:pt idx="6">
                  <c:v>-102283.93732231011</c:v>
                </c:pt>
                <c:pt idx="7">
                  <c:v>56756.44296788561</c:v>
                </c:pt>
                <c:pt idx="8">
                  <c:v>320110.90345245192</c:v>
                </c:pt>
                <c:pt idx="9">
                  <c:v>556488.22374565969</c:v>
                </c:pt>
                <c:pt idx="10">
                  <c:v>711615.28063158726</c:v>
                </c:pt>
                <c:pt idx="11">
                  <c:v>898610.2705684877</c:v>
                </c:pt>
                <c:pt idx="12">
                  <c:v>1180368.6716667255</c:v>
                </c:pt>
                <c:pt idx="13">
                  <c:v>1425521.2560292955</c:v>
                </c:pt>
                <c:pt idx="14">
                  <c:v>1585460.3862833779</c:v>
                </c:pt>
                <c:pt idx="15">
                  <c:v>1775447.8910575183</c:v>
                </c:pt>
                <c:pt idx="16">
                  <c:v>2055627.7840580214</c:v>
                </c:pt>
                <c:pt idx="17">
                  <c:v>2295452.5142679322</c:v>
                </c:pt>
                <c:pt idx="18">
                  <c:v>2443136.3472287315</c:v>
                </c:pt>
                <c:pt idx="19">
                  <c:v>2615972.4739080593</c:v>
                </c:pt>
                <c:pt idx="20">
                  <c:v>2879108.508342566</c:v>
                </c:pt>
                <c:pt idx="21">
                  <c:v>3101922.8621659288</c:v>
                </c:pt>
                <c:pt idx="22">
                  <c:v>3236435.1716037095</c:v>
                </c:pt>
                <c:pt idx="23">
                  <c:v>3398002.3677028022</c:v>
                </c:pt>
                <c:pt idx="24">
                  <c:v>3649828.1491036834</c:v>
                </c:pt>
                <c:pt idx="25">
                  <c:v>3861217.1033736635</c:v>
                </c:pt>
                <c:pt idx="26">
                  <c:v>3982388.8463598914</c:v>
                </c:pt>
                <c:pt idx="27">
                  <c:v>4128918.5480482606</c:v>
                </c:pt>
                <c:pt idx="28">
                  <c:v>4365754.6994811296</c:v>
                </c:pt>
                <c:pt idx="29">
                  <c:v>4562127.8693844061</c:v>
                </c:pt>
                <c:pt idx="30">
                  <c:v>4667013.4650100786</c:v>
                </c:pt>
                <c:pt idx="31">
                  <c:v>4796554.3976993859</c:v>
                </c:pt>
                <c:pt idx="32">
                  <c:v>5021311.7371863443</c:v>
                </c:pt>
                <c:pt idx="33">
                  <c:v>5210408.7459821831</c:v>
                </c:pt>
                <c:pt idx="34">
                  <c:v>5310752.240084609</c:v>
                </c:pt>
                <c:pt idx="35">
                  <c:v>5439208.4757613353</c:v>
                </c:pt>
                <c:pt idx="36">
                  <c:v>5663815.6405840246</c:v>
                </c:pt>
                <c:pt idx="37">
                  <c:v>5852742.2389125396</c:v>
                </c:pt>
                <c:pt idx="38">
                  <c:v>5942473.6655368228</c:v>
                </c:pt>
                <c:pt idx="39">
                  <c:v>6055678.9921650682</c:v>
                </c:pt>
                <c:pt idx="40">
                  <c:v>6265087.5346074896</c:v>
                </c:pt>
                <c:pt idx="41">
                  <c:v>6438793.1330530094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D85-4FB5-A4B6-DEEAEF624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02976"/>
        <c:axId val="132704512"/>
      </c:lineChart>
      <c:catAx>
        <c:axId val="13270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04512"/>
        <c:crosses val="autoZero"/>
        <c:auto val="1"/>
        <c:lblAlgn val="ctr"/>
        <c:lblOffset val="100"/>
        <c:noMultiLvlLbl val="0"/>
      </c:catAx>
      <c:valAx>
        <c:axId val="13270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0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Результаты!$A$241</c:f>
              <c:strCache>
                <c:ptCount val="1"/>
                <c:pt idx="0">
                  <c:v>Дисконтированный поток нарастающим итогом</c:v>
                </c:pt>
              </c:strCache>
            </c:strRef>
          </c:tx>
          <c:spPr>
            <a:ln w="50800">
              <a:solidFill>
                <a:schemeClr val="accent3">
                  <a:lumMod val="75000"/>
                  <a:alpha val="70000"/>
                </a:schemeClr>
              </a:solidFill>
            </a:ln>
          </c:spPr>
          <c:marker>
            <c:symbol val="none"/>
          </c:marker>
          <c:cat>
            <c:strRef>
              <c:f>Результаты!$G$222:$AV$222</c:f>
              <c:strCache>
                <c:ptCount val="42"/>
                <c:pt idx="0">
                  <c:v>4 кв. 2022</c:v>
                </c:pt>
                <c:pt idx="1">
                  <c:v>1 кв. 2023</c:v>
                </c:pt>
                <c:pt idx="2">
                  <c:v>2 кв. 2023</c:v>
                </c:pt>
                <c:pt idx="3">
                  <c:v>3 кв. 2023</c:v>
                </c:pt>
                <c:pt idx="4">
                  <c:v>4 кв. 2023</c:v>
                </c:pt>
                <c:pt idx="5">
                  <c:v>1 кв. 2024</c:v>
                </c:pt>
                <c:pt idx="6">
                  <c:v>2 кв. 2024</c:v>
                </c:pt>
                <c:pt idx="7">
                  <c:v>3 кв. 2024</c:v>
                </c:pt>
                <c:pt idx="8">
                  <c:v>4 кв. 2024</c:v>
                </c:pt>
                <c:pt idx="9">
                  <c:v>1 кв. 2025</c:v>
                </c:pt>
                <c:pt idx="10">
                  <c:v>2 кв. 2025</c:v>
                </c:pt>
                <c:pt idx="11">
                  <c:v>3 кв. 2025</c:v>
                </c:pt>
                <c:pt idx="12">
                  <c:v>4 кв. 2025</c:v>
                </c:pt>
                <c:pt idx="13">
                  <c:v>1 кв. 2026</c:v>
                </c:pt>
                <c:pt idx="14">
                  <c:v>2 кв. 2026</c:v>
                </c:pt>
                <c:pt idx="15">
                  <c:v>3 кв. 2026</c:v>
                </c:pt>
                <c:pt idx="16">
                  <c:v>4 кв. 2026</c:v>
                </c:pt>
                <c:pt idx="17">
                  <c:v>1 кв. 2027</c:v>
                </c:pt>
                <c:pt idx="18">
                  <c:v>2 кв. 2027</c:v>
                </c:pt>
                <c:pt idx="19">
                  <c:v>3 кв. 2027</c:v>
                </c:pt>
                <c:pt idx="20">
                  <c:v>4 кв. 2027</c:v>
                </c:pt>
                <c:pt idx="21">
                  <c:v>1 кв. 2028</c:v>
                </c:pt>
                <c:pt idx="22">
                  <c:v>2 кв. 2028</c:v>
                </c:pt>
                <c:pt idx="23">
                  <c:v>3 кв. 2028</c:v>
                </c:pt>
                <c:pt idx="24">
                  <c:v>4 кв. 2028</c:v>
                </c:pt>
                <c:pt idx="25">
                  <c:v>1 кв. 2029</c:v>
                </c:pt>
                <c:pt idx="26">
                  <c:v>2 кв. 2029</c:v>
                </c:pt>
                <c:pt idx="27">
                  <c:v>3 кв. 2029</c:v>
                </c:pt>
                <c:pt idx="28">
                  <c:v>4 кв. 2029</c:v>
                </c:pt>
                <c:pt idx="29">
                  <c:v>1 кв. 2030</c:v>
                </c:pt>
                <c:pt idx="30">
                  <c:v>2 кв. 2030</c:v>
                </c:pt>
                <c:pt idx="31">
                  <c:v>3 кв. 2030</c:v>
                </c:pt>
                <c:pt idx="32">
                  <c:v>4 кв. 2030</c:v>
                </c:pt>
                <c:pt idx="33">
                  <c:v>1 кв. 2031</c:v>
                </c:pt>
                <c:pt idx="34">
                  <c:v>2 кв. 2031</c:v>
                </c:pt>
                <c:pt idx="35">
                  <c:v>3 кв. 2031</c:v>
                </c:pt>
                <c:pt idx="36">
                  <c:v>4 кв. 2031</c:v>
                </c:pt>
                <c:pt idx="37">
                  <c:v>1 кв. 2032</c:v>
                </c:pt>
                <c:pt idx="38">
                  <c:v>2 кв. 2032</c:v>
                </c:pt>
                <c:pt idx="39">
                  <c:v>3 кв. 2032</c:v>
                </c:pt>
                <c:pt idx="40">
                  <c:v>4 кв. 2032</c:v>
                </c:pt>
                <c:pt idx="41">
                  <c:v>1 кв. 2033</c:v>
                </c:pt>
              </c:strCache>
            </c:strRef>
          </c:cat>
          <c:val>
            <c:numRef>
              <c:f>Результаты!$G$241:$AV$241</c:f>
              <c:numCache>
                <c:formatCode>#,##0</c:formatCode>
                <c:ptCount val="42"/>
                <c:pt idx="0">
                  <c:v>-796792.20428188285</c:v>
                </c:pt>
                <c:pt idx="1">
                  <c:v>-803638.60615474335</c:v>
                </c:pt>
                <c:pt idx="2">
                  <c:v>-760354.06333508377</c:v>
                </c:pt>
                <c:pt idx="3">
                  <c:v>-708813.74977212108</c:v>
                </c:pt>
                <c:pt idx="4">
                  <c:v>-585042.9225821154</c:v>
                </c:pt>
                <c:pt idx="5">
                  <c:v>-484687.69143502926</c:v>
                </c:pt>
                <c:pt idx="6">
                  <c:v>-454172.5803539005</c:v>
                </c:pt>
                <c:pt idx="7">
                  <c:v>-393798.16372566688</c:v>
                </c:pt>
                <c:pt idx="8">
                  <c:v>-253036.71946571671</c:v>
                </c:pt>
                <c:pt idx="9">
                  <c:v>-136078.55342760688</c:v>
                </c:pt>
                <c:pt idx="10">
                  <c:v>-81353.157767397672</c:v>
                </c:pt>
                <c:pt idx="11">
                  <c:v>-4867.6175036216591</c:v>
                </c:pt>
                <c:pt idx="12">
                  <c:v>135257.11375073245</c:v>
                </c:pt>
                <c:pt idx="13">
                  <c:v>247414.79618540168</c:v>
                </c:pt>
                <c:pt idx="14">
                  <c:v>275343.93839119753</c:v>
                </c:pt>
                <c:pt idx="15">
                  <c:v>309361.42390619288</c:v>
                </c:pt>
                <c:pt idx="16">
                  <c:v>357989.13312953012</c:v>
                </c:pt>
                <c:pt idx="17">
                  <c:v>398336.06279371539</c:v>
                </c:pt>
                <c:pt idx="18">
                  <c:v>422419.53854607075</c:v>
                </c:pt>
                <c:pt idx="19">
                  <c:v>449740.14987480157</c:v>
                </c:pt>
                <c:pt idx="20">
                  <c:v>490058.79170343414</c:v>
                </c:pt>
                <c:pt idx="21">
                  <c:v>523151.96504787332</c:v>
                </c:pt>
                <c:pt idx="22">
                  <c:v>542517.38676710776</c:v>
                </c:pt>
                <c:pt idx="23">
                  <c:v>565064.33660763747</c:v>
                </c:pt>
                <c:pt idx="24">
                  <c:v>599129.02977496129</c:v>
                </c:pt>
                <c:pt idx="25">
                  <c:v>626846.67056641344</c:v>
                </c:pt>
                <c:pt idx="26">
                  <c:v>642247.53179075278</c:v>
                </c:pt>
                <c:pt idx="27">
                  <c:v>660300.10016646481</c:v>
                </c:pt>
                <c:pt idx="28">
                  <c:v>688583.46066348301</c:v>
                </c:pt>
                <c:pt idx="29">
                  <c:v>711315.31398784358</c:v>
                </c:pt>
                <c:pt idx="30">
                  <c:v>723084.27770413284</c:v>
                </c:pt>
                <c:pt idx="31">
                  <c:v>737173.89105757303</c:v>
                </c:pt>
                <c:pt idx="32">
                  <c:v>810963.67278849555</c:v>
                </c:pt>
                <c:pt idx="33">
                  <c:v>878600.63909494854</c:v>
                </c:pt>
                <c:pt idx="34">
                  <c:v>913390.95412870089</c:v>
                </c:pt>
                <c:pt idx="35">
                  <c:v>956562.14348040137</c:v>
                </c:pt>
                <c:pt idx="36">
                  <c:v>1029731.9840633965</c:v>
                </c:pt>
                <c:pt idx="37">
                  <c:v>1089390.3410644648</c:v>
                </c:pt>
                <c:pt idx="38">
                  <c:v>1116856.1526711429</c:v>
                </c:pt>
                <c:pt idx="39">
                  <c:v>1150444.1729707392</c:v>
                </c:pt>
                <c:pt idx="40">
                  <c:v>1210669.840104871</c:v>
                </c:pt>
                <c:pt idx="41">
                  <c:v>1259094.9619256512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CB9-4D72-B517-9CAC7DC05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29088"/>
        <c:axId val="132734976"/>
      </c:lineChart>
      <c:catAx>
        <c:axId val="13272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34976"/>
        <c:crosses val="autoZero"/>
        <c:auto val="1"/>
        <c:lblAlgn val="ctr"/>
        <c:lblOffset val="100"/>
        <c:noMultiLvlLbl val="0"/>
      </c:catAx>
      <c:valAx>
        <c:axId val="13273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2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Результаты!$A$283</c:f>
              <c:strCache>
                <c:ptCount val="1"/>
                <c:pt idx="0">
                  <c:v>Дисконтированный поток нарастающим итогом</c:v>
                </c:pt>
              </c:strCache>
            </c:strRef>
          </c:tx>
          <c:spPr>
            <a:ln w="50800">
              <a:solidFill>
                <a:schemeClr val="accent1">
                  <a:shade val="95000"/>
                  <a:satMod val="105000"/>
                  <a:alpha val="70000"/>
                </a:schemeClr>
              </a:solidFill>
            </a:ln>
          </c:spPr>
          <c:marker>
            <c:symbol val="none"/>
          </c:marker>
          <c:cat>
            <c:strRef>
              <c:f>Результаты!$G$271:$AV$271</c:f>
              <c:strCache>
                <c:ptCount val="42"/>
                <c:pt idx="0">
                  <c:v>4 кв. 2022</c:v>
                </c:pt>
                <c:pt idx="1">
                  <c:v>1 кв. 2023</c:v>
                </c:pt>
                <c:pt idx="2">
                  <c:v>2 кв. 2023</c:v>
                </c:pt>
                <c:pt idx="3">
                  <c:v>3 кв. 2023</c:v>
                </c:pt>
                <c:pt idx="4">
                  <c:v>4 кв. 2023</c:v>
                </c:pt>
                <c:pt idx="5">
                  <c:v>1 кв. 2024</c:v>
                </c:pt>
                <c:pt idx="6">
                  <c:v>2 кв. 2024</c:v>
                </c:pt>
                <c:pt idx="7">
                  <c:v>3 кв. 2024</c:v>
                </c:pt>
                <c:pt idx="8">
                  <c:v>4 кв. 2024</c:v>
                </c:pt>
                <c:pt idx="9">
                  <c:v>1 кв. 2025</c:v>
                </c:pt>
                <c:pt idx="10">
                  <c:v>2 кв. 2025</c:v>
                </c:pt>
                <c:pt idx="11">
                  <c:v>3 кв. 2025</c:v>
                </c:pt>
                <c:pt idx="12">
                  <c:v>4 кв. 2025</c:v>
                </c:pt>
                <c:pt idx="13">
                  <c:v>1 кв. 2026</c:v>
                </c:pt>
                <c:pt idx="14">
                  <c:v>2 кв. 2026</c:v>
                </c:pt>
                <c:pt idx="15">
                  <c:v>3 кв. 2026</c:v>
                </c:pt>
                <c:pt idx="16">
                  <c:v>4 кв. 2026</c:v>
                </c:pt>
                <c:pt idx="17">
                  <c:v>1 кв. 2027</c:v>
                </c:pt>
                <c:pt idx="18">
                  <c:v>2 кв. 2027</c:v>
                </c:pt>
                <c:pt idx="19">
                  <c:v>3 кв. 2027</c:v>
                </c:pt>
                <c:pt idx="20">
                  <c:v>4 кв. 2027</c:v>
                </c:pt>
                <c:pt idx="21">
                  <c:v>1 кв. 2028</c:v>
                </c:pt>
                <c:pt idx="22">
                  <c:v>2 кв. 2028</c:v>
                </c:pt>
                <c:pt idx="23">
                  <c:v>3 кв. 2028</c:v>
                </c:pt>
                <c:pt idx="24">
                  <c:v>4 кв. 2028</c:v>
                </c:pt>
                <c:pt idx="25">
                  <c:v>1 кв. 2029</c:v>
                </c:pt>
                <c:pt idx="26">
                  <c:v>2 кв. 2029</c:v>
                </c:pt>
                <c:pt idx="27">
                  <c:v>3 кв. 2029</c:v>
                </c:pt>
                <c:pt idx="28">
                  <c:v>4 кв. 2029</c:v>
                </c:pt>
                <c:pt idx="29">
                  <c:v>1 кв. 2030</c:v>
                </c:pt>
                <c:pt idx="30">
                  <c:v>2 кв. 2030</c:v>
                </c:pt>
                <c:pt idx="31">
                  <c:v>3 кв. 2030</c:v>
                </c:pt>
                <c:pt idx="32">
                  <c:v>4 кв. 2030</c:v>
                </c:pt>
                <c:pt idx="33">
                  <c:v>1 кв. 2031</c:v>
                </c:pt>
                <c:pt idx="34">
                  <c:v>2 кв. 2031</c:v>
                </c:pt>
                <c:pt idx="35">
                  <c:v>3 кв. 2031</c:v>
                </c:pt>
                <c:pt idx="36">
                  <c:v>4 кв. 2031</c:v>
                </c:pt>
                <c:pt idx="37">
                  <c:v>1 кв. 2032</c:v>
                </c:pt>
                <c:pt idx="38">
                  <c:v>2 кв. 2032</c:v>
                </c:pt>
                <c:pt idx="39">
                  <c:v>3 кв. 2032</c:v>
                </c:pt>
                <c:pt idx="40">
                  <c:v>4 кв. 2032</c:v>
                </c:pt>
                <c:pt idx="41">
                  <c:v>1 кв. 2033</c:v>
                </c:pt>
              </c:strCache>
            </c:strRef>
          </c:cat>
          <c:val>
            <c:numRef>
              <c:f>Результаты!$G$283:$AV$283</c:f>
              <c:numCache>
                <c:formatCode>#,##0</c:formatCode>
                <c:ptCount val="42"/>
                <c:pt idx="0">
                  <c:v>159460.54771811707</c:v>
                </c:pt>
                <c:pt idx="1">
                  <c:v>185728.13879385183</c:v>
                </c:pt>
                <c:pt idx="2">
                  <c:v>172334.48147887</c:v>
                </c:pt>
                <c:pt idx="3">
                  <c:v>223914.39897779719</c:v>
                </c:pt>
                <c:pt idx="4">
                  <c:v>462923.00554018025</c:v>
                </c:pt>
                <c:pt idx="5">
                  <c:v>679133.08330306632</c:v>
                </c:pt>
                <c:pt idx="6">
                  <c:v>810149.78307955095</c:v>
                </c:pt>
                <c:pt idx="7">
                  <c:v>983051.75503402296</c:v>
                </c:pt>
                <c:pt idx="8">
                  <c:v>1272798.0345500787</c:v>
                </c:pt>
                <c:pt idx="9">
                  <c:v>1535986.9795930418</c:v>
                </c:pt>
                <c:pt idx="10">
                  <c:v>1710784.0059105712</c:v>
                </c:pt>
                <c:pt idx="11">
                  <c:v>1924020.2903993735</c:v>
                </c:pt>
                <c:pt idx="12">
                  <c:v>2249176.9539448074</c:v>
                </c:pt>
                <c:pt idx="13">
                  <c:v>2535487.2124139499</c:v>
                </c:pt>
                <c:pt idx="14">
                  <c:v>2724521.1635184498</c:v>
                </c:pt>
                <c:pt idx="15">
                  <c:v>2951766.3901540185</c:v>
                </c:pt>
                <c:pt idx="16">
                  <c:v>3290916.01762533</c:v>
                </c:pt>
                <c:pt idx="17">
                  <c:v>3584703.3004553267</c:v>
                </c:pt>
                <c:pt idx="18">
                  <c:v>3767789.9309772286</c:v>
                </c:pt>
                <c:pt idx="19">
                  <c:v>3984631.6544532478</c:v>
                </c:pt>
                <c:pt idx="20">
                  <c:v>4318729.2110764198</c:v>
                </c:pt>
                <c:pt idx="21">
                  <c:v>4605028.841683574</c:v>
                </c:pt>
                <c:pt idx="22">
                  <c:v>4779942.7325878879</c:v>
                </c:pt>
                <c:pt idx="23">
                  <c:v>4992560.7716060765</c:v>
                </c:pt>
                <c:pt idx="24">
                  <c:v>5327936.600547065</c:v>
                </c:pt>
                <c:pt idx="25">
                  <c:v>5612840.5751172993</c:v>
                </c:pt>
                <c:pt idx="26">
                  <c:v>5778113.6934462972</c:v>
                </c:pt>
                <c:pt idx="27">
                  <c:v>5980374.241863085</c:v>
                </c:pt>
                <c:pt idx="28">
                  <c:v>6311214.3536815951</c:v>
                </c:pt>
                <c:pt idx="29">
                  <c:v>6588825.5407002699</c:v>
                </c:pt>
                <c:pt idx="30">
                  <c:v>6738882.2125752848</c:v>
                </c:pt>
                <c:pt idx="31">
                  <c:v>6926438.2849036464</c:v>
                </c:pt>
                <c:pt idx="32">
                  <c:v>7255761.7232911233</c:v>
                </c:pt>
                <c:pt idx="33">
                  <c:v>7536161.7601051079</c:v>
                </c:pt>
                <c:pt idx="34">
                  <c:v>7686741.7541562486</c:v>
                </c:pt>
                <c:pt idx="35">
                  <c:v>7881824.0669895737</c:v>
                </c:pt>
                <c:pt idx="36">
                  <c:v>8227024.2038374161</c:v>
                </c:pt>
                <c:pt idx="37">
                  <c:v>8520873.8060320877</c:v>
                </c:pt>
                <c:pt idx="38">
                  <c:v>8662114.9489953127</c:v>
                </c:pt>
                <c:pt idx="39">
                  <c:v>8842445.0232723746</c:v>
                </c:pt>
                <c:pt idx="40">
                  <c:v>9180027.8474611696</c:v>
                </c:pt>
                <c:pt idx="41">
                  <c:v>9463417.7766201682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3E-4DC8-AC95-34F73288A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63008"/>
        <c:axId val="132764800"/>
      </c:lineChart>
      <c:catAx>
        <c:axId val="13276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64800"/>
        <c:crosses val="autoZero"/>
        <c:auto val="1"/>
        <c:lblAlgn val="ctr"/>
        <c:lblOffset val="100"/>
        <c:noMultiLvlLbl val="0"/>
      </c:catAx>
      <c:valAx>
        <c:axId val="13276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6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</xdr:colOff>
      <xdr:row>225</xdr:row>
      <xdr:rowOff>0</xdr:rowOff>
    </xdr:from>
    <xdr:to>
      <xdr:col>13</xdr:col>
      <xdr:colOff>840275</xdr:colOff>
      <xdr:row>246</xdr:row>
      <xdr:rowOff>133350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9524</xdr:colOff>
      <xdr:row>29</xdr:row>
      <xdr:rowOff>9525</xdr:rowOff>
    </xdr:from>
    <xdr:to>
      <xdr:col>14</xdr:col>
      <xdr:colOff>9525</xdr:colOff>
      <xdr:row>50</xdr:row>
      <xdr:rowOff>152400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9524</xdr:colOff>
      <xdr:row>3</xdr:row>
      <xdr:rowOff>9525</xdr:rowOff>
    </xdr:from>
    <xdr:to>
      <xdr:col>14</xdr:col>
      <xdr:colOff>9525</xdr:colOff>
      <xdr:row>24</xdr:row>
      <xdr:rowOff>152400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9524</xdr:colOff>
      <xdr:row>55</xdr:row>
      <xdr:rowOff>9525</xdr:rowOff>
    </xdr:from>
    <xdr:to>
      <xdr:col>14</xdr:col>
      <xdr:colOff>9525</xdr:colOff>
      <xdr:row>76</xdr:row>
      <xdr:rowOff>152400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9524</xdr:colOff>
      <xdr:row>81</xdr:row>
      <xdr:rowOff>9525</xdr:rowOff>
    </xdr:from>
    <xdr:to>
      <xdr:col>14</xdr:col>
      <xdr:colOff>9525</xdr:colOff>
      <xdr:row>102</xdr:row>
      <xdr:rowOff>152400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9524</xdr:colOff>
      <xdr:row>107</xdr:row>
      <xdr:rowOff>9525</xdr:rowOff>
    </xdr:from>
    <xdr:to>
      <xdr:col>14</xdr:col>
      <xdr:colOff>9525</xdr:colOff>
      <xdr:row>128</xdr:row>
      <xdr:rowOff>152400</xdr:rowOff>
    </xdr:to>
    <xdr:graphicFrame macro="">
      <xdr:nvGraphicFramePr>
        <xdr:cNvPr id="17" name="Диаграмма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9524</xdr:colOff>
      <xdr:row>133</xdr:row>
      <xdr:rowOff>9525</xdr:rowOff>
    </xdr:from>
    <xdr:to>
      <xdr:col>14</xdr:col>
      <xdr:colOff>9525</xdr:colOff>
      <xdr:row>154</xdr:row>
      <xdr:rowOff>152400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9524</xdr:colOff>
      <xdr:row>159</xdr:row>
      <xdr:rowOff>9525</xdr:rowOff>
    </xdr:from>
    <xdr:to>
      <xdr:col>14</xdr:col>
      <xdr:colOff>9525</xdr:colOff>
      <xdr:row>180</xdr:row>
      <xdr:rowOff>152400</xdr:rowOff>
    </xdr:to>
    <xdr:graphicFrame macro="">
      <xdr:nvGraphicFramePr>
        <xdr:cNvPr id="21" name="Диаграм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9524</xdr:colOff>
      <xdr:row>185</xdr:row>
      <xdr:rowOff>9525</xdr:rowOff>
    </xdr:from>
    <xdr:to>
      <xdr:col>14</xdr:col>
      <xdr:colOff>9525</xdr:colOff>
      <xdr:row>206</xdr:row>
      <xdr:rowOff>152400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</xdr:row>
          <xdr:rowOff>0</xdr:rowOff>
        </xdr:from>
        <xdr:to>
          <xdr:col>4</xdr:col>
          <xdr:colOff>9525</xdr:colOff>
          <xdr:row>5</xdr:row>
          <xdr:rowOff>142875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Собрать!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</sheetPr>
  <dimension ref="A1:AX147"/>
  <sheetViews>
    <sheetView tabSelected="1" zoomScaleNormal="100"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I5" sqref="I5"/>
    </sheetView>
  </sheetViews>
  <sheetFormatPr defaultColWidth="8.7109375" defaultRowHeight="12.75" outlineLevelRow="1" x14ac:dyDescent="0.2"/>
  <cols>
    <col min="1" max="1" width="50.7109375" style="38" customWidth="1"/>
    <col min="2" max="3" width="12.7109375" style="38" customWidth="1"/>
    <col min="4" max="4" width="4" style="38" hidden="1" customWidth="1"/>
    <col min="5" max="5" width="14.42578125" style="38" hidden="1" customWidth="1"/>
    <col min="6" max="6" width="14.140625" style="38" hidden="1" customWidth="1"/>
    <col min="7" max="48" width="12.7109375" style="38" customWidth="1"/>
    <col min="49" max="16384" width="8.7109375" style="38"/>
  </cols>
  <sheetData>
    <row r="1" spans="1:48" s="54" customFormat="1" ht="12.75" customHeight="1" x14ac:dyDescent="0.2">
      <c r="A1" s="384" t="str">
        <f ca="1">Language!A4 &amp; " " &amp; Opt_Version &amp; IF(Opt_IsDemo, Language!A5,"") &amp; " :: " &amp; Prj_Name</f>
        <v>Альт-Инвест 7.0 :: Агро</v>
      </c>
      <c r="B1" s="385"/>
      <c r="C1" s="385"/>
      <c r="D1" s="52" t="s">
        <v>6</v>
      </c>
      <c r="E1" s="52" t="s">
        <v>4</v>
      </c>
      <c r="F1" s="52" t="s">
        <v>5</v>
      </c>
      <c r="G1" s="53" t="str">
        <f t="shared" ref="G1:AV1" ca="1" si="0">G$34</f>
        <v>4 кв. 2022</v>
      </c>
      <c r="H1" s="53" t="str">
        <f t="shared" ca="1" si="0"/>
        <v>1 кв. 2023</v>
      </c>
      <c r="I1" s="53" t="str">
        <f t="shared" ca="1" si="0"/>
        <v>2 кв. 2023</v>
      </c>
      <c r="J1" s="53" t="str">
        <f t="shared" ca="1" si="0"/>
        <v>3 кв. 2023</v>
      </c>
      <c r="K1" s="53" t="str">
        <f t="shared" ca="1" si="0"/>
        <v>4 кв. 2023</v>
      </c>
      <c r="L1" s="53" t="str">
        <f t="shared" ca="1" si="0"/>
        <v>1 кв. 2024</v>
      </c>
      <c r="M1" s="53" t="str">
        <f t="shared" ca="1" si="0"/>
        <v>2 кв. 2024</v>
      </c>
      <c r="N1" s="53" t="str">
        <f t="shared" ca="1" si="0"/>
        <v>3 кв. 2024</v>
      </c>
      <c r="O1" s="53" t="str">
        <f t="shared" ca="1" si="0"/>
        <v>4 кв. 2024</v>
      </c>
      <c r="P1" s="53" t="str">
        <f t="shared" ca="1" si="0"/>
        <v>1 кв. 2025</v>
      </c>
      <c r="Q1" s="53" t="str">
        <f t="shared" ca="1" si="0"/>
        <v>2 кв. 2025</v>
      </c>
      <c r="R1" s="53" t="str">
        <f t="shared" ca="1" si="0"/>
        <v>3 кв. 2025</v>
      </c>
      <c r="S1" s="53" t="str">
        <f t="shared" ca="1" si="0"/>
        <v>4 кв. 2025</v>
      </c>
      <c r="T1" s="53" t="str">
        <f t="shared" ca="1" si="0"/>
        <v>1 кв. 2026</v>
      </c>
      <c r="U1" s="53" t="str">
        <f t="shared" ca="1" si="0"/>
        <v>2 кв. 2026</v>
      </c>
      <c r="V1" s="53" t="str">
        <f t="shared" ca="1" si="0"/>
        <v>3 кв. 2026</v>
      </c>
      <c r="W1" s="53" t="str">
        <f t="shared" ca="1" si="0"/>
        <v>4 кв. 2026</v>
      </c>
      <c r="X1" s="53" t="str">
        <f t="shared" ca="1" si="0"/>
        <v>1 кв. 2027</v>
      </c>
      <c r="Y1" s="53" t="str">
        <f t="shared" ca="1" si="0"/>
        <v>2 кв. 2027</v>
      </c>
      <c r="Z1" s="53" t="str">
        <f t="shared" ca="1" si="0"/>
        <v>3 кв. 2027</v>
      </c>
      <c r="AA1" s="53" t="str">
        <f t="shared" ca="1" si="0"/>
        <v>4 кв. 2027</v>
      </c>
      <c r="AB1" s="53" t="str">
        <f t="shared" ca="1" si="0"/>
        <v>1 кв. 2028</v>
      </c>
      <c r="AC1" s="53" t="str">
        <f t="shared" ca="1" si="0"/>
        <v>2 кв. 2028</v>
      </c>
      <c r="AD1" s="53" t="str">
        <f t="shared" ca="1" si="0"/>
        <v>3 кв. 2028</v>
      </c>
      <c r="AE1" s="53" t="str">
        <f t="shared" ca="1" si="0"/>
        <v>4 кв. 2028</v>
      </c>
      <c r="AF1" s="53" t="str">
        <f t="shared" ca="1" si="0"/>
        <v>1 кв. 2029</v>
      </c>
      <c r="AG1" s="53" t="str">
        <f t="shared" ca="1" si="0"/>
        <v>2 кв. 2029</v>
      </c>
      <c r="AH1" s="53" t="str">
        <f t="shared" ca="1" si="0"/>
        <v>3 кв. 2029</v>
      </c>
      <c r="AI1" s="53" t="str">
        <f t="shared" ca="1" si="0"/>
        <v>4 кв. 2029</v>
      </c>
      <c r="AJ1" s="53" t="str">
        <f t="shared" ca="1" si="0"/>
        <v>1 кв. 2030</v>
      </c>
      <c r="AK1" s="53" t="str">
        <f t="shared" ca="1" si="0"/>
        <v>2 кв. 2030</v>
      </c>
      <c r="AL1" s="53" t="str">
        <f t="shared" ca="1" si="0"/>
        <v>3 кв. 2030</v>
      </c>
      <c r="AM1" s="53" t="str">
        <f t="shared" ca="1" si="0"/>
        <v>4 кв. 2030</v>
      </c>
      <c r="AN1" s="53" t="str">
        <f t="shared" ca="1" si="0"/>
        <v>1 кв. 2031</v>
      </c>
      <c r="AO1" s="53" t="str">
        <f t="shared" ca="1" si="0"/>
        <v>2 кв. 2031</v>
      </c>
      <c r="AP1" s="53" t="str">
        <f t="shared" ca="1" si="0"/>
        <v>3 кв. 2031</v>
      </c>
      <c r="AQ1" s="53" t="str">
        <f t="shared" ca="1" si="0"/>
        <v>4 кв. 2031</v>
      </c>
      <c r="AR1" s="53" t="str">
        <f t="shared" ca="1" si="0"/>
        <v>1 кв. 2032</v>
      </c>
      <c r="AS1" s="53" t="str">
        <f t="shared" ca="1" si="0"/>
        <v>2 кв. 2032</v>
      </c>
      <c r="AT1" s="53" t="str">
        <f t="shared" ca="1" si="0"/>
        <v>3 кв. 2032</v>
      </c>
      <c r="AU1" s="53" t="str">
        <f t="shared" ca="1" si="0"/>
        <v>4 кв. 2032</v>
      </c>
      <c r="AV1" s="53" t="str">
        <f t="shared" ca="1" si="0"/>
        <v>1 кв. 2033</v>
      </c>
    </row>
    <row r="2" spans="1:48" s="54" customFormat="1" ht="12.75" customHeight="1" x14ac:dyDescent="0.2">
      <c r="A2" s="385"/>
      <c r="B2" s="385"/>
      <c r="C2" s="385"/>
      <c r="D2" s="55"/>
      <c r="E2" s="55"/>
      <c r="F2" s="55"/>
      <c r="G2" s="56">
        <f t="shared" ref="G2:K2" si="1">G25</f>
        <v>1</v>
      </c>
      <c r="H2" s="56">
        <f t="shared" si="1"/>
        <v>2</v>
      </c>
      <c r="I2" s="56">
        <f t="shared" si="1"/>
        <v>3</v>
      </c>
      <c r="J2" s="56">
        <f t="shared" si="1"/>
        <v>4</v>
      </c>
      <c r="K2" s="56">
        <f t="shared" si="1"/>
        <v>5</v>
      </c>
      <c r="L2" s="56">
        <f t="shared" ref="L2:M2" si="2">L25</f>
        <v>6</v>
      </c>
      <c r="M2" s="56">
        <f t="shared" si="2"/>
        <v>7</v>
      </c>
      <c r="N2" s="56">
        <f t="shared" ref="N2:O2" si="3">N25</f>
        <v>8</v>
      </c>
      <c r="O2" s="56">
        <f t="shared" si="3"/>
        <v>9</v>
      </c>
      <c r="P2" s="56">
        <f t="shared" ref="P2:Q2" si="4">P25</f>
        <v>10</v>
      </c>
      <c r="Q2" s="56">
        <f t="shared" si="4"/>
        <v>11</v>
      </c>
      <c r="R2" s="56">
        <f t="shared" ref="R2:S2" si="5">R25</f>
        <v>12</v>
      </c>
      <c r="S2" s="56">
        <f t="shared" si="5"/>
        <v>13</v>
      </c>
      <c r="T2" s="56">
        <f t="shared" ref="T2:U2" si="6">T25</f>
        <v>14</v>
      </c>
      <c r="U2" s="56">
        <f t="shared" si="6"/>
        <v>15</v>
      </c>
      <c r="V2" s="56">
        <f t="shared" ref="V2:W2" si="7">V25</f>
        <v>16</v>
      </c>
      <c r="W2" s="56">
        <f t="shared" si="7"/>
        <v>17</v>
      </c>
      <c r="X2" s="56">
        <f t="shared" ref="X2:Y2" si="8">X25</f>
        <v>18</v>
      </c>
      <c r="Y2" s="56">
        <f t="shared" si="8"/>
        <v>19</v>
      </c>
      <c r="Z2" s="56">
        <f t="shared" ref="Z2:AA2" si="9">Z25</f>
        <v>20</v>
      </c>
      <c r="AA2" s="56">
        <f t="shared" si="9"/>
        <v>21</v>
      </c>
      <c r="AB2" s="56">
        <f t="shared" ref="AB2:AC2" si="10">AB25</f>
        <v>22</v>
      </c>
      <c r="AC2" s="56">
        <f t="shared" si="10"/>
        <v>23</v>
      </c>
      <c r="AD2" s="56">
        <f t="shared" ref="AD2:AE2" si="11">AD25</f>
        <v>24</v>
      </c>
      <c r="AE2" s="56">
        <f t="shared" si="11"/>
        <v>25</v>
      </c>
      <c r="AF2" s="56">
        <f t="shared" ref="AF2:AG2" si="12">AF25</f>
        <v>26</v>
      </c>
      <c r="AG2" s="56">
        <f t="shared" si="12"/>
        <v>27</v>
      </c>
      <c r="AH2" s="56">
        <f t="shared" ref="AH2:AI2" si="13">AH25</f>
        <v>28</v>
      </c>
      <c r="AI2" s="56">
        <f t="shared" si="13"/>
        <v>29</v>
      </c>
      <c r="AJ2" s="56">
        <f t="shared" ref="AJ2:AK2" si="14">AJ25</f>
        <v>30</v>
      </c>
      <c r="AK2" s="56">
        <f t="shared" si="14"/>
        <v>31</v>
      </c>
      <c r="AL2" s="56">
        <f t="shared" ref="AL2:AM2" si="15">AL25</f>
        <v>32</v>
      </c>
      <c r="AM2" s="56">
        <f t="shared" si="15"/>
        <v>33</v>
      </c>
      <c r="AN2" s="56">
        <f t="shared" ref="AN2:AO2" si="16">AN25</f>
        <v>34</v>
      </c>
      <c r="AO2" s="56">
        <f t="shared" si="16"/>
        <v>35</v>
      </c>
      <c r="AP2" s="56">
        <f t="shared" ref="AP2:AQ2" si="17">AP25</f>
        <v>36</v>
      </c>
      <c r="AQ2" s="56">
        <f t="shared" si="17"/>
        <v>37</v>
      </c>
      <c r="AR2" s="56">
        <f t="shared" ref="AR2:AS2" si="18">AR25</f>
        <v>38</v>
      </c>
      <c r="AS2" s="56">
        <f t="shared" si="18"/>
        <v>39</v>
      </c>
      <c r="AT2" s="56">
        <f t="shared" ref="AT2:AU2" si="19">AT25</f>
        <v>40</v>
      </c>
      <c r="AU2" s="56">
        <f t="shared" si="19"/>
        <v>41</v>
      </c>
      <c r="AV2" s="56">
        <f t="shared" ref="AV2" si="20">AV25</f>
        <v>42</v>
      </c>
    </row>
    <row r="3" spans="1:48" x14ac:dyDescent="0.2">
      <c r="A3" s="38" t="str">
        <f ca="1">Language!A376</f>
        <v>Название проекта</v>
      </c>
      <c r="D3" s="57"/>
      <c r="E3" s="57"/>
      <c r="F3" s="57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</row>
    <row r="4" spans="1:48" x14ac:dyDescent="0.2">
      <c r="A4" s="299" t="s">
        <v>2348</v>
      </c>
      <c r="D4" s="57"/>
      <c r="E4" s="57"/>
      <c r="F4" s="57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</row>
    <row r="5" spans="1:48" x14ac:dyDescent="0.2">
      <c r="D5" s="57"/>
      <c r="E5" s="57"/>
      <c r="F5" s="57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</row>
    <row r="6" spans="1:48" s="64" customFormat="1" ht="25.5" customHeight="1" thickBot="1" x14ac:dyDescent="0.25">
      <c r="A6" s="59" t="str">
        <f ca="1">Language!A378</f>
        <v>НАСТРОЙКА ВИДА ТАБЛИЦ</v>
      </c>
      <c r="B6" s="60"/>
      <c r="C6" s="61"/>
      <c r="D6" s="62"/>
      <c r="E6" s="62" t="s">
        <v>884</v>
      </c>
      <c r="F6" s="62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</row>
    <row r="7" spans="1:48" ht="13.5" thickTop="1" x14ac:dyDescent="0.2">
      <c r="A7" s="65"/>
      <c r="D7" s="57"/>
      <c r="E7" s="57"/>
      <c r="F7" s="57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</row>
    <row r="8" spans="1:48" x14ac:dyDescent="0.2">
      <c r="A8" s="65" t="str">
        <f ca="1">Language!A379</f>
        <v>Язык интерфейса и отчетности</v>
      </c>
      <c r="B8" s="65" t="str">
        <f ca="1">OFFSET(Language!A5,Prj_Language,0)</f>
        <v>Русский</v>
      </c>
      <c r="D8" s="66">
        <v>1</v>
      </c>
      <c r="E8" s="57"/>
      <c r="F8" s="57"/>
    </row>
    <row r="9" spans="1:48" x14ac:dyDescent="0.2">
      <c r="A9" s="65" t="str">
        <f ca="1">Language!A380</f>
        <v>Защита модели</v>
      </c>
      <c r="B9" s="65" t="str">
        <f ca="1">OFFSET(Language!A371,Prj_Protect,0)</f>
        <v>Выключена</v>
      </c>
      <c r="D9" s="66">
        <v>0</v>
      </c>
      <c r="E9" s="57"/>
      <c r="F9" s="57"/>
    </row>
    <row r="10" spans="1:48" x14ac:dyDescent="0.2">
      <c r="A10" s="65" t="str">
        <f ca="1">Language!A381</f>
        <v>Стиль оформления листов</v>
      </c>
      <c r="B10" s="65" t="str">
        <f ca="1">OFFSET(Language!A130,Prj_Style,0)</f>
        <v>Зеленые заголовки, выделить инвестиционную фазу</v>
      </c>
      <c r="D10" s="66">
        <v>5</v>
      </c>
      <c r="E10" s="57"/>
      <c r="F10" s="57"/>
    </row>
    <row r="11" spans="1:48" x14ac:dyDescent="0.2">
      <c r="A11" s="67"/>
      <c r="B11" s="51"/>
      <c r="C11" s="51"/>
      <c r="D11" s="68"/>
      <c r="E11" s="68" t="s">
        <v>621</v>
      </c>
      <c r="F11" s="68"/>
    </row>
    <row r="12" spans="1:48" x14ac:dyDescent="0.2">
      <c r="D12" s="57"/>
      <c r="E12" s="57"/>
      <c r="F12" s="57"/>
    </row>
    <row r="13" spans="1:48" x14ac:dyDescent="0.2">
      <c r="D13" s="57"/>
      <c r="E13" s="57"/>
      <c r="F13" s="57"/>
    </row>
    <row r="14" spans="1:48" s="64" customFormat="1" ht="25.5" customHeight="1" thickBot="1" x14ac:dyDescent="0.25">
      <c r="A14" s="59" t="str">
        <f ca="1">Language!A382</f>
        <v>ДАТА НАЧАЛА И ДЛИТЕЛЬНОСТЬ</v>
      </c>
      <c r="B14" s="60"/>
      <c r="C14" s="61"/>
      <c r="D14" s="62"/>
      <c r="E14" s="62" t="s">
        <v>885</v>
      </c>
      <c r="F14" s="62"/>
      <c r="G14" s="69" t="str">
        <f t="shared" ref="G14:AV14" ca="1" si="21">G$34</f>
        <v>4 кв. 2022</v>
      </c>
      <c r="H14" s="69" t="str">
        <f t="shared" ca="1" si="21"/>
        <v>1 кв. 2023</v>
      </c>
      <c r="I14" s="69" t="str">
        <f t="shared" ca="1" si="21"/>
        <v>2 кв. 2023</v>
      </c>
      <c r="J14" s="69" t="str">
        <f t="shared" ca="1" si="21"/>
        <v>3 кв. 2023</v>
      </c>
      <c r="K14" s="69" t="str">
        <f t="shared" ca="1" si="21"/>
        <v>4 кв. 2023</v>
      </c>
      <c r="L14" s="69" t="str">
        <f t="shared" ca="1" si="21"/>
        <v>1 кв. 2024</v>
      </c>
      <c r="M14" s="69" t="str">
        <f t="shared" ca="1" si="21"/>
        <v>2 кв. 2024</v>
      </c>
      <c r="N14" s="69" t="str">
        <f t="shared" ca="1" si="21"/>
        <v>3 кв. 2024</v>
      </c>
      <c r="O14" s="69" t="str">
        <f t="shared" ca="1" si="21"/>
        <v>4 кв. 2024</v>
      </c>
      <c r="P14" s="69" t="str">
        <f t="shared" ca="1" si="21"/>
        <v>1 кв. 2025</v>
      </c>
      <c r="Q14" s="69" t="str">
        <f t="shared" ca="1" si="21"/>
        <v>2 кв. 2025</v>
      </c>
      <c r="R14" s="69" t="str">
        <f t="shared" ca="1" si="21"/>
        <v>3 кв. 2025</v>
      </c>
      <c r="S14" s="69" t="str">
        <f t="shared" ca="1" si="21"/>
        <v>4 кв. 2025</v>
      </c>
      <c r="T14" s="69" t="str">
        <f t="shared" ca="1" si="21"/>
        <v>1 кв. 2026</v>
      </c>
      <c r="U14" s="69" t="str">
        <f t="shared" ca="1" si="21"/>
        <v>2 кв. 2026</v>
      </c>
      <c r="V14" s="69" t="str">
        <f t="shared" ca="1" si="21"/>
        <v>3 кв. 2026</v>
      </c>
      <c r="W14" s="69" t="str">
        <f t="shared" ca="1" si="21"/>
        <v>4 кв. 2026</v>
      </c>
      <c r="X14" s="69" t="str">
        <f t="shared" ca="1" si="21"/>
        <v>1 кв. 2027</v>
      </c>
      <c r="Y14" s="69" t="str">
        <f t="shared" ca="1" si="21"/>
        <v>2 кв. 2027</v>
      </c>
      <c r="Z14" s="69" t="str">
        <f t="shared" ca="1" si="21"/>
        <v>3 кв. 2027</v>
      </c>
      <c r="AA14" s="69" t="str">
        <f t="shared" ca="1" si="21"/>
        <v>4 кв. 2027</v>
      </c>
      <c r="AB14" s="69" t="str">
        <f t="shared" ca="1" si="21"/>
        <v>1 кв. 2028</v>
      </c>
      <c r="AC14" s="69" t="str">
        <f t="shared" ca="1" si="21"/>
        <v>2 кв. 2028</v>
      </c>
      <c r="AD14" s="69" t="str">
        <f t="shared" ca="1" si="21"/>
        <v>3 кв. 2028</v>
      </c>
      <c r="AE14" s="69" t="str">
        <f t="shared" ca="1" si="21"/>
        <v>4 кв. 2028</v>
      </c>
      <c r="AF14" s="69" t="str">
        <f t="shared" ca="1" si="21"/>
        <v>1 кв. 2029</v>
      </c>
      <c r="AG14" s="69" t="str">
        <f t="shared" ca="1" si="21"/>
        <v>2 кв. 2029</v>
      </c>
      <c r="AH14" s="69" t="str">
        <f t="shared" ca="1" si="21"/>
        <v>3 кв. 2029</v>
      </c>
      <c r="AI14" s="69" t="str">
        <f t="shared" ca="1" si="21"/>
        <v>4 кв. 2029</v>
      </c>
      <c r="AJ14" s="69" t="str">
        <f t="shared" ca="1" si="21"/>
        <v>1 кв. 2030</v>
      </c>
      <c r="AK14" s="69" t="str">
        <f t="shared" ca="1" si="21"/>
        <v>2 кв. 2030</v>
      </c>
      <c r="AL14" s="69" t="str">
        <f t="shared" ca="1" si="21"/>
        <v>3 кв. 2030</v>
      </c>
      <c r="AM14" s="69" t="str">
        <f t="shared" ca="1" si="21"/>
        <v>4 кв. 2030</v>
      </c>
      <c r="AN14" s="69" t="str">
        <f t="shared" ca="1" si="21"/>
        <v>1 кв. 2031</v>
      </c>
      <c r="AO14" s="69" t="str">
        <f t="shared" ca="1" si="21"/>
        <v>2 кв. 2031</v>
      </c>
      <c r="AP14" s="69" t="str">
        <f t="shared" ca="1" si="21"/>
        <v>3 кв. 2031</v>
      </c>
      <c r="AQ14" s="69" t="str">
        <f t="shared" ca="1" si="21"/>
        <v>4 кв. 2031</v>
      </c>
      <c r="AR14" s="69" t="str">
        <f t="shared" ca="1" si="21"/>
        <v>1 кв. 2032</v>
      </c>
      <c r="AS14" s="69" t="str">
        <f t="shared" ca="1" si="21"/>
        <v>2 кв. 2032</v>
      </c>
      <c r="AT14" s="69" t="str">
        <f t="shared" ca="1" si="21"/>
        <v>3 кв. 2032</v>
      </c>
      <c r="AU14" s="69" t="str">
        <f t="shared" ca="1" si="21"/>
        <v>4 кв. 2032</v>
      </c>
      <c r="AV14" s="69" t="str">
        <f t="shared" ca="1" si="21"/>
        <v>1 кв. 2033</v>
      </c>
    </row>
    <row r="15" spans="1:48" ht="13.5" thickTop="1" x14ac:dyDescent="0.2">
      <c r="A15" s="65"/>
      <c r="D15" s="57"/>
      <c r="E15" s="57"/>
      <c r="F15" s="57"/>
    </row>
    <row r="16" spans="1:48" x14ac:dyDescent="0.2">
      <c r="A16" s="65" t="str">
        <f ca="1">Language!A383</f>
        <v>Дата начала проекта</v>
      </c>
      <c r="B16" s="70">
        <f>DATE(Prj_StartYear,Prj_StartMonth,1)</f>
        <v>44835</v>
      </c>
      <c r="D16" s="57"/>
      <c r="E16" s="57"/>
      <c r="F16" s="57"/>
    </row>
    <row r="17" spans="1:48" x14ac:dyDescent="0.2">
      <c r="A17" s="65" t="str">
        <f ca="1">Language!A384</f>
        <v>Горизонт планирования проекта</v>
      </c>
      <c r="B17" s="71">
        <f>ROUND((Prj_Len-1)+$G33,2)</f>
        <v>42</v>
      </c>
      <c r="C17" s="72" t="str">
        <f ca="1">OFFSET(Language!A45,Prj_Period,0)</f>
        <v>кв.</v>
      </c>
      <c r="D17" s="66">
        <v>42</v>
      </c>
      <c r="E17" s="57"/>
      <c r="F17" s="57"/>
    </row>
    <row r="18" spans="1:48" x14ac:dyDescent="0.2">
      <c r="A18" s="65" t="str">
        <f ca="1">Language!A385</f>
        <v>Инвестиционная фаза проекта</v>
      </c>
      <c r="B18" s="73">
        <f>IF(Prj_Invest&gt;0, ROUND((Prj_Invest-1)+$G33,2), 0)</f>
        <v>0</v>
      </c>
      <c r="C18" s="72" t="str">
        <f ca="1">OFFSET(Language!A45,Prj_Period,0)</f>
        <v>кв.</v>
      </c>
      <c r="D18" s="66">
        <v>0</v>
      </c>
      <c r="E18" s="57"/>
      <c r="F18" s="57"/>
    </row>
    <row r="19" spans="1:48" x14ac:dyDescent="0.2">
      <c r="A19" s="65" t="str">
        <f ca="1">Language!A386</f>
        <v>Шаг планирования</v>
      </c>
      <c r="B19" s="72" t="str">
        <f ca="1">OFFSET(Language!A41,Prj_Period,0)</f>
        <v>квартал</v>
      </c>
      <c r="D19" s="66">
        <v>2</v>
      </c>
      <c r="E19" s="57"/>
      <c r="F19" s="57"/>
    </row>
    <row r="20" spans="1:48" outlineLevel="1" x14ac:dyDescent="0.2">
      <c r="A20" s="65"/>
      <c r="B20" s="72"/>
      <c r="D20" s="57"/>
      <c r="E20" s="57"/>
      <c r="F20" s="57"/>
    </row>
    <row r="21" spans="1:48" outlineLevel="1" x14ac:dyDescent="0.2">
      <c r="A21" s="65" t="str">
        <f ca="1">Language!A387</f>
        <v>Длительность шага планирования</v>
      </c>
      <c r="B21" s="72">
        <f>Prj_Step*30</f>
        <v>90</v>
      </c>
      <c r="C21" s="72" t="str">
        <f ca="1">Language!A45</f>
        <v>дн.</v>
      </c>
      <c r="D21" s="66">
        <f>CHOOSE(Prj_Period,1,3,12)</f>
        <v>3</v>
      </c>
      <c r="E21" s="57"/>
      <c r="F21" s="57"/>
    </row>
    <row r="22" spans="1:48" outlineLevel="1" x14ac:dyDescent="0.2">
      <c r="A22" s="65" t="str">
        <f ca="1">Language!A388</f>
        <v>Год начала проекта</v>
      </c>
      <c r="B22" s="72">
        <v>2022</v>
      </c>
      <c r="D22" s="57"/>
      <c r="E22" s="57"/>
      <c r="F22" s="57"/>
    </row>
    <row r="23" spans="1:48" outlineLevel="1" x14ac:dyDescent="0.2">
      <c r="A23" s="65" t="str">
        <f ca="1">Language!A389</f>
        <v>Месяц начала проекта</v>
      </c>
      <c r="B23" s="72">
        <v>10</v>
      </c>
      <c r="D23" s="57"/>
      <c r="E23" s="57"/>
      <c r="F23" s="57"/>
    </row>
    <row r="24" spans="1:48" outlineLevel="1" x14ac:dyDescent="0.2">
      <c r="A24" s="65"/>
      <c r="D24" s="57"/>
      <c r="E24" s="57"/>
      <c r="F24" s="57"/>
    </row>
    <row r="25" spans="1:48" outlineLevel="1" x14ac:dyDescent="0.2">
      <c r="A25" s="65" t="str">
        <f ca="1">Language!A390</f>
        <v>Номер периода</v>
      </c>
      <c r="D25" s="57"/>
      <c r="E25" s="57"/>
      <c r="F25" s="57"/>
      <c r="G25" s="38">
        <v>1</v>
      </c>
      <c r="H25" s="38">
        <f t="shared" ref="H25:AV25" si="22">G25+1</f>
        <v>2</v>
      </c>
      <c r="I25" s="38">
        <f t="shared" si="22"/>
        <v>3</v>
      </c>
      <c r="J25" s="38">
        <f t="shared" si="22"/>
        <v>4</v>
      </c>
      <c r="K25" s="38">
        <f t="shared" si="22"/>
        <v>5</v>
      </c>
      <c r="L25" s="38">
        <f t="shared" si="22"/>
        <v>6</v>
      </c>
      <c r="M25" s="38">
        <f t="shared" si="22"/>
        <v>7</v>
      </c>
      <c r="N25" s="38">
        <f t="shared" si="22"/>
        <v>8</v>
      </c>
      <c r="O25" s="38">
        <f t="shared" si="22"/>
        <v>9</v>
      </c>
      <c r="P25" s="38">
        <f t="shared" si="22"/>
        <v>10</v>
      </c>
      <c r="Q25" s="38">
        <f t="shared" si="22"/>
        <v>11</v>
      </c>
      <c r="R25" s="38">
        <f t="shared" si="22"/>
        <v>12</v>
      </c>
      <c r="S25" s="38">
        <f t="shared" si="22"/>
        <v>13</v>
      </c>
      <c r="T25" s="38">
        <f t="shared" si="22"/>
        <v>14</v>
      </c>
      <c r="U25" s="38">
        <f t="shared" si="22"/>
        <v>15</v>
      </c>
      <c r="V25" s="38">
        <f t="shared" si="22"/>
        <v>16</v>
      </c>
      <c r="W25" s="38">
        <f t="shared" si="22"/>
        <v>17</v>
      </c>
      <c r="X25" s="38">
        <f t="shared" si="22"/>
        <v>18</v>
      </c>
      <c r="Y25" s="38">
        <f t="shared" si="22"/>
        <v>19</v>
      </c>
      <c r="Z25" s="38">
        <f t="shared" si="22"/>
        <v>20</v>
      </c>
      <c r="AA25" s="38">
        <f t="shared" si="22"/>
        <v>21</v>
      </c>
      <c r="AB25" s="38">
        <f t="shared" si="22"/>
        <v>22</v>
      </c>
      <c r="AC25" s="38">
        <f t="shared" si="22"/>
        <v>23</v>
      </c>
      <c r="AD25" s="38">
        <f t="shared" si="22"/>
        <v>24</v>
      </c>
      <c r="AE25" s="38">
        <f t="shared" si="22"/>
        <v>25</v>
      </c>
      <c r="AF25" s="38">
        <f t="shared" si="22"/>
        <v>26</v>
      </c>
      <c r="AG25" s="38">
        <f t="shared" si="22"/>
        <v>27</v>
      </c>
      <c r="AH25" s="38">
        <f t="shared" si="22"/>
        <v>28</v>
      </c>
      <c r="AI25" s="38">
        <f t="shared" si="22"/>
        <v>29</v>
      </c>
      <c r="AJ25" s="38">
        <f t="shared" si="22"/>
        <v>30</v>
      </c>
      <c r="AK25" s="38">
        <f t="shared" si="22"/>
        <v>31</v>
      </c>
      <c r="AL25" s="38">
        <f t="shared" si="22"/>
        <v>32</v>
      </c>
      <c r="AM25" s="38">
        <f t="shared" si="22"/>
        <v>33</v>
      </c>
      <c r="AN25" s="38">
        <f t="shared" si="22"/>
        <v>34</v>
      </c>
      <c r="AO25" s="38">
        <f t="shared" si="22"/>
        <v>35</v>
      </c>
      <c r="AP25" s="38">
        <f t="shared" si="22"/>
        <v>36</v>
      </c>
      <c r="AQ25" s="38">
        <f t="shared" si="22"/>
        <v>37</v>
      </c>
      <c r="AR25" s="38">
        <f t="shared" si="22"/>
        <v>38</v>
      </c>
      <c r="AS25" s="38">
        <f t="shared" si="22"/>
        <v>39</v>
      </c>
      <c r="AT25" s="38">
        <f t="shared" si="22"/>
        <v>40</v>
      </c>
      <c r="AU25" s="38">
        <f t="shared" si="22"/>
        <v>41</v>
      </c>
      <c r="AV25" s="38">
        <f t="shared" si="22"/>
        <v>42</v>
      </c>
    </row>
    <row r="26" spans="1:48" outlineLevel="1" x14ac:dyDescent="0.2">
      <c r="A26" s="65" t="str">
        <f ca="1">Language!A391</f>
        <v>Дата начала периода</v>
      </c>
      <c r="D26" s="57"/>
      <c r="E26" s="57" t="s">
        <v>631</v>
      </c>
      <c r="F26" s="57" t="s">
        <v>755</v>
      </c>
      <c r="G26" s="74">
        <f>Prj_StartDate</f>
        <v>44835</v>
      </c>
      <c r="H26" s="74">
        <f t="shared" ref="H26:AV26" si="23">EDATE(G26,G31)</f>
        <v>44927</v>
      </c>
      <c r="I26" s="74">
        <f t="shared" si="23"/>
        <v>45017</v>
      </c>
      <c r="J26" s="74">
        <f t="shared" si="23"/>
        <v>45108</v>
      </c>
      <c r="K26" s="74">
        <f t="shared" si="23"/>
        <v>45200</v>
      </c>
      <c r="L26" s="74">
        <f t="shared" si="23"/>
        <v>45292</v>
      </c>
      <c r="M26" s="74">
        <f t="shared" si="23"/>
        <v>45383</v>
      </c>
      <c r="N26" s="74">
        <f t="shared" si="23"/>
        <v>45474</v>
      </c>
      <c r="O26" s="74">
        <f t="shared" si="23"/>
        <v>45566</v>
      </c>
      <c r="P26" s="74">
        <f t="shared" si="23"/>
        <v>45658</v>
      </c>
      <c r="Q26" s="74">
        <f t="shared" si="23"/>
        <v>45748</v>
      </c>
      <c r="R26" s="74">
        <f t="shared" si="23"/>
        <v>45839</v>
      </c>
      <c r="S26" s="74">
        <f t="shared" si="23"/>
        <v>45931</v>
      </c>
      <c r="T26" s="74">
        <f t="shared" si="23"/>
        <v>46023</v>
      </c>
      <c r="U26" s="74">
        <f t="shared" si="23"/>
        <v>46113</v>
      </c>
      <c r="V26" s="74">
        <f t="shared" si="23"/>
        <v>46204</v>
      </c>
      <c r="W26" s="74">
        <f t="shared" si="23"/>
        <v>46296</v>
      </c>
      <c r="X26" s="74">
        <f t="shared" si="23"/>
        <v>46388</v>
      </c>
      <c r="Y26" s="74">
        <f t="shared" si="23"/>
        <v>46478</v>
      </c>
      <c r="Z26" s="74">
        <f t="shared" si="23"/>
        <v>46569</v>
      </c>
      <c r="AA26" s="74">
        <f t="shared" si="23"/>
        <v>46661</v>
      </c>
      <c r="AB26" s="74">
        <f t="shared" si="23"/>
        <v>46753</v>
      </c>
      <c r="AC26" s="74">
        <f t="shared" si="23"/>
        <v>46844</v>
      </c>
      <c r="AD26" s="74">
        <f t="shared" si="23"/>
        <v>46935</v>
      </c>
      <c r="AE26" s="74">
        <f t="shared" si="23"/>
        <v>47027</v>
      </c>
      <c r="AF26" s="74">
        <f t="shared" si="23"/>
        <v>47119</v>
      </c>
      <c r="AG26" s="74">
        <f t="shared" si="23"/>
        <v>47209</v>
      </c>
      <c r="AH26" s="74">
        <f t="shared" si="23"/>
        <v>47300</v>
      </c>
      <c r="AI26" s="74">
        <f t="shared" si="23"/>
        <v>47392</v>
      </c>
      <c r="AJ26" s="74">
        <f t="shared" si="23"/>
        <v>47484</v>
      </c>
      <c r="AK26" s="74">
        <f t="shared" si="23"/>
        <v>47574</v>
      </c>
      <c r="AL26" s="74">
        <f t="shared" si="23"/>
        <v>47665</v>
      </c>
      <c r="AM26" s="74">
        <f t="shared" si="23"/>
        <v>47757</v>
      </c>
      <c r="AN26" s="74">
        <f t="shared" si="23"/>
        <v>47849</v>
      </c>
      <c r="AO26" s="74">
        <f t="shared" si="23"/>
        <v>47939</v>
      </c>
      <c r="AP26" s="74">
        <f t="shared" si="23"/>
        <v>48030</v>
      </c>
      <c r="AQ26" s="74">
        <f t="shared" si="23"/>
        <v>48122</v>
      </c>
      <c r="AR26" s="74">
        <f t="shared" si="23"/>
        <v>48214</v>
      </c>
      <c r="AS26" s="74">
        <f t="shared" si="23"/>
        <v>48305</v>
      </c>
      <c r="AT26" s="74">
        <f t="shared" si="23"/>
        <v>48396</v>
      </c>
      <c r="AU26" s="74">
        <f t="shared" si="23"/>
        <v>48488</v>
      </c>
      <c r="AV26" s="74">
        <f t="shared" si="23"/>
        <v>48580</v>
      </c>
    </row>
    <row r="27" spans="1:48" outlineLevel="1" x14ac:dyDescent="0.2">
      <c r="A27" s="65" t="str">
        <f ca="1">Language!A392</f>
        <v>Дата конца периода</v>
      </c>
      <c r="D27" s="57"/>
      <c r="E27" s="57" t="s">
        <v>632</v>
      </c>
      <c r="F27" s="57" t="s">
        <v>754</v>
      </c>
      <c r="G27" s="74">
        <f t="shared" ref="G27:K27" si="24">EDATE(G26,G31)-1</f>
        <v>44926</v>
      </c>
      <c r="H27" s="74">
        <f t="shared" si="24"/>
        <v>45016</v>
      </c>
      <c r="I27" s="74">
        <f t="shared" si="24"/>
        <v>45107</v>
      </c>
      <c r="J27" s="74">
        <f t="shared" si="24"/>
        <v>45199</v>
      </c>
      <c r="K27" s="74">
        <f t="shared" si="24"/>
        <v>45291</v>
      </c>
      <c r="L27" s="74">
        <f t="shared" ref="L27:M27" si="25">EDATE(L26,L31)-1</f>
        <v>45382</v>
      </c>
      <c r="M27" s="74">
        <f t="shared" si="25"/>
        <v>45473</v>
      </c>
      <c r="N27" s="74">
        <f t="shared" ref="N27:O27" si="26">EDATE(N26,N31)-1</f>
        <v>45565</v>
      </c>
      <c r="O27" s="74">
        <f t="shared" si="26"/>
        <v>45657</v>
      </c>
      <c r="P27" s="74">
        <f t="shared" ref="P27:Q27" si="27">EDATE(P26,P31)-1</f>
        <v>45747</v>
      </c>
      <c r="Q27" s="74">
        <f t="shared" si="27"/>
        <v>45838</v>
      </c>
      <c r="R27" s="74">
        <f t="shared" ref="R27:S27" si="28">EDATE(R26,R31)-1</f>
        <v>45930</v>
      </c>
      <c r="S27" s="74">
        <f t="shared" si="28"/>
        <v>46022</v>
      </c>
      <c r="T27" s="74">
        <f t="shared" ref="T27:U27" si="29">EDATE(T26,T31)-1</f>
        <v>46112</v>
      </c>
      <c r="U27" s="74">
        <f t="shared" si="29"/>
        <v>46203</v>
      </c>
      <c r="V27" s="74">
        <f t="shared" ref="V27:W27" si="30">EDATE(V26,V31)-1</f>
        <v>46295</v>
      </c>
      <c r="W27" s="74">
        <f t="shared" si="30"/>
        <v>46387</v>
      </c>
      <c r="X27" s="74">
        <f t="shared" ref="X27:Y27" si="31">EDATE(X26,X31)-1</f>
        <v>46477</v>
      </c>
      <c r="Y27" s="74">
        <f t="shared" si="31"/>
        <v>46568</v>
      </c>
      <c r="Z27" s="74">
        <f t="shared" ref="Z27:AA27" si="32">EDATE(Z26,Z31)-1</f>
        <v>46660</v>
      </c>
      <c r="AA27" s="74">
        <f t="shared" si="32"/>
        <v>46752</v>
      </c>
      <c r="AB27" s="74">
        <f t="shared" ref="AB27:AC27" si="33">EDATE(AB26,AB31)-1</f>
        <v>46843</v>
      </c>
      <c r="AC27" s="74">
        <f t="shared" si="33"/>
        <v>46934</v>
      </c>
      <c r="AD27" s="74">
        <f t="shared" ref="AD27:AE27" si="34">EDATE(AD26,AD31)-1</f>
        <v>47026</v>
      </c>
      <c r="AE27" s="74">
        <f t="shared" si="34"/>
        <v>47118</v>
      </c>
      <c r="AF27" s="74">
        <f t="shared" ref="AF27:AG27" si="35">EDATE(AF26,AF31)-1</f>
        <v>47208</v>
      </c>
      <c r="AG27" s="74">
        <f t="shared" si="35"/>
        <v>47299</v>
      </c>
      <c r="AH27" s="74">
        <f t="shared" ref="AH27:AI27" si="36">EDATE(AH26,AH31)-1</f>
        <v>47391</v>
      </c>
      <c r="AI27" s="74">
        <f t="shared" si="36"/>
        <v>47483</v>
      </c>
      <c r="AJ27" s="74">
        <f t="shared" ref="AJ27:AK27" si="37">EDATE(AJ26,AJ31)-1</f>
        <v>47573</v>
      </c>
      <c r="AK27" s="74">
        <f t="shared" si="37"/>
        <v>47664</v>
      </c>
      <c r="AL27" s="74">
        <f t="shared" ref="AL27:AM27" si="38">EDATE(AL26,AL31)-1</f>
        <v>47756</v>
      </c>
      <c r="AM27" s="74">
        <f t="shared" si="38"/>
        <v>47848</v>
      </c>
      <c r="AN27" s="74">
        <f t="shared" ref="AN27:AO27" si="39">EDATE(AN26,AN31)-1</f>
        <v>47938</v>
      </c>
      <c r="AO27" s="74">
        <f t="shared" si="39"/>
        <v>48029</v>
      </c>
      <c r="AP27" s="74">
        <f t="shared" ref="AP27:AQ27" si="40">EDATE(AP26,AP31)-1</f>
        <v>48121</v>
      </c>
      <c r="AQ27" s="74">
        <f t="shared" si="40"/>
        <v>48213</v>
      </c>
      <c r="AR27" s="74">
        <f t="shared" ref="AR27:AS27" si="41">EDATE(AR26,AR31)-1</f>
        <v>48304</v>
      </c>
      <c r="AS27" s="74">
        <f t="shared" si="41"/>
        <v>48395</v>
      </c>
      <c r="AT27" s="74">
        <f t="shared" ref="AT27:AU27" si="42">EDATE(AT26,AT31)-1</f>
        <v>48487</v>
      </c>
      <c r="AU27" s="74">
        <f t="shared" si="42"/>
        <v>48579</v>
      </c>
      <c r="AV27" s="74">
        <f t="shared" ref="AV27" si="43">EDATE(AV26,AV31)-1</f>
        <v>48669</v>
      </c>
    </row>
    <row r="28" spans="1:48" outlineLevel="1" x14ac:dyDescent="0.2">
      <c r="A28" s="65" t="str">
        <f ca="1">Language!A393</f>
        <v>Год периода</v>
      </c>
      <c r="D28" s="57"/>
      <c r="E28" s="57" t="s">
        <v>633</v>
      </c>
      <c r="F28" s="57" t="s">
        <v>755</v>
      </c>
      <c r="G28" s="38">
        <f t="shared" ref="G28:K28" si="44">YEAR(G26)</f>
        <v>2022</v>
      </c>
      <c r="H28" s="38">
        <f t="shared" si="44"/>
        <v>2023</v>
      </c>
      <c r="I28" s="38">
        <f t="shared" si="44"/>
        <v>2023</v>
      </c>
      <c r="J28" s="38">
        <f t="shared" si="44"/>
        <v>2023</v>
      </c>
      <c r="K28" s="38">
        <f t="shared" si="44"/>
        <v>2023</v>
      </c>
      <c r="L28" s="38">
        <f t="shared" ref="L28:M28" si="45">YEAR(L26)</f>
        <v>2024</v>
      </c>
      <c r="M28" s="38">
        <f t="shared" si="45"/>
        <v>2024</v>
      </c>
      <c r="N28" s="38">
        <f t="shared" ref="N28:O28" si="46">YEAR(N26)</f>
        <v>2024</v>
      </c>
      <c r="O28" s="38">
        <f t="shared" si="46"/>
        <v>2024</v>
      </c>
      <c r="P28" s="38">
        <f t="shared" ref="P28:Q28" si="47">YEAR(P26)</f>
        <v>2025</v>
      </c>
      <c r="Q28" s="38">
        <f t="shared" si="47"/>
        <v>2025</v>
      </c>
      <c r="R28" s="38">
        <f t="shared" ref="R28:S28" si="48">YEAR(R26)</f>
        <v>2025</v>
      </c>
      <c r="S28" s="38">
        <f t="shared" si="48"/>
        <v>2025</v>
      </c>
      <c r="T28" s="38">
        <f t="shared" ref="T28:U28" si="49">YEAR(T26)</f>
        <v>2026</v>
      </c>
      <c r="U28" s="38">
        <f t="shared" si="49"/>
        <v>2026</v>
      </c>
      <c r="V28" s="38">
        <f t="shared" ref="V28:W28" si="50">YEAR(V26)</f>
        <v>2026</v>
      </c>
      <c r="W28" s="38">
        <f t="shared" si="50"/>
        <v>2026</v>
      </c>
      <c r="X28" s="38">
        <f t="shared" ref="X28:Y28" si="51">YEAR(X26)</f>
        <v>2027</v>
      </c>
      <c r="Y28" s="38">
        <f t="shared" si="51"/>
        <v>2027</v>
      </c>
      <c r="Z28" s="38">
        <f t="shared" ref="Z28:AA28" si="52">YEAR(Z26)</f>
        <v>2027</v>
      </c>
      <c r="AA28" s="38">
        <f t="shared" si="52"/>
        <v>2027</v>
      </c>
      <c r="AB28" s="38">
        <f t="shared" ref="AB28:AC28" si="53">YEAR(AB26)</f>
        <v>2028</v>
      </c>
      <c r="AC28" s="38">
        <f t="shared" si="53"/>
        <v>2028</v>
      </c>
      <c r="AD28" s="38">
        <f t="shared" ref="AD28:AE28" si="54">YEAR(AD26)</f>
        <v>2028</v>
      </c>
      <c r="AE28" s="38">
        <f t="shared" si="54"/>
        <v>2028</v>
      </c>
      <c r="AF28" s="38">
        <f t="shared" ref="AF28:AG28" si="55">YEAR(AF26)</f>
        <v>2029</v>
      </c>
      <c r="AG28" s="38">
        <f t="shared" si="55"/>
        <v>2029</v>
      </c>
      <c r="AH28" s="38">
        <f t="shared" ref="AH28:AI28" si="56">YEAR(AH26)</f>
        <v>2029</v>
      </c>
      <c r="AI28" s="38">
        <f t="shared" si="56"/>
        <v>2029</v>
      </c>
      <c r="AJ28" s="38">
        <f t="shared" ref="AJ28:AK28" si="57">YEAR(AJ26)</f>
        <v>2030</v>
      </c>
      <c r="AK28" s="38">
        <f t="shared" si="57"/>
        <v>2030</v>
      </c>
      <c r="AL28" s="38">
        <f t="shared" ref="AL28:AM28" si="58">YEAR(AL26)</f>
        <v>2030</v>
      </c>
      <c r="AM28" s="38">
        <f t="shared" si="58"/>
        <v>2030</v>
      </c>
      <c r="AN28" s="38">
        <f t="shared" ref="AN28:AO28" si="59">YEAR(AN26)</f>
        <v>2031</v>
      </c>
      <c r="AO28" s="38">
        <f t="shared" si="59"/>
        <v>2031</v>
      </c>
      <c r="AP28" s="38">
        <f t="shared" ref="AP28:AQ28" si="60">YEAR(AP26)</f>
        <v>2031</v>
      </c>
      <c r="AQ28" s="38">
        <f t="shared" si="60"/>
        <v>2031</v>
      </c>
      <c r="AR28" s="38">
        <f t="shared" ref="AR28:AS28" si="61">YEAR(AR26)</f>
        <v>2032</v>
      </c>
      <c r="AS28" s="38">
        <f t="shared" si="61"/>
        <v>2032</v>
      </c>
      <c r="AT28" s="38">
        <f t="shared" ref="AT28:AU28" si="62">YEAR(AT26)</f>
        <v>2032</v>
      </c>
      <c r="AU28" s="38">
        <f t="shared" si="62"/>
        <v>2032</v>
      </c>
      <c r="AV28" s="38">
        <f t="shared" ref="AV28" si="63">YEAR(AV26)</f>
        <v>2033</v>
      </c>
    </row>
    <row r="29" spans="1:48" outlineLevel="1" x14ac:dyDescent="0.2">
      <c r="A29" s="65" t="str">
        <f ca="1">Language!A394</f>
        <v>Месяц начала периода</v>
      </c>
      <c r="D29" s="57"/>
      <c r="E29" s="57" t="s">
        <v>634</v>
      </c>
      <c r="F29" s="57" t="s">
        <v>755</v>
      </c>
      <c r="G29" s="38">
        <f t="shared" ref="G29:K29" si="64">MONTH(G26)</f>
        <v>10</v>
      </c>
      <c r="H29" s="38">
        <f t="shared" si="64"/>
        <v>1</v>
      </c>
      <c r="I29" s="38">
        <f t="shared" si="64"/>
        <v>4</v>
      </c>
      <c r="J29" s="38">
        <f t="shared" si="64"/>
        <v>7</v>
      </c>
      <c r="K29" s="38">
        <f t="shared" si="64"/>
        <v>10</v>
      </c>
      <c r="L29" s="38">
        <f t="shared" ref="L29:M29" si="65">MONTH(L26)</f>
        <v>1</v>
      </c>
      <c r="M29" s="38">
        <f t="shared" si="65"/>
        <v>4</v>
      </c>
      <c r="N29" s="38">
        <f t="shared" ref="N29:O29" si="66">MONTH(N26)</f>
        <v>7</v>
      </c>
      <c r="O29" s="38">
        <f t="shared" si="66"/>
        <v>10</v>
      </c>
      <c r="P29" s="38">
        <f t="shared" ref="P29:Q29" si="67">MONTH(P26)</f>
        <v>1</v>
      </c>
      <c r="Q29" s="38">
        <f t="shared" si="67"/>
        <v>4</v>
      </c>
      <c r="R29" s="38">
        <f t="shared" ref="R29:S29" si="68">MONTH(R26)</f>
        <v>7</v>
      </c>
      <c r="S29" s="38">
        <f t="shared" si="68"/>
        <v>10</v>
      </c>
      <c r="T29" s="38">
        <f t="shared" ref="T29:U29" si="69">MONTH(T26)</f>
        <v>1</v>
      </c>
      <c r="U29" s="38">
        <f t="shared" si="69"/>
        <v>4</v>
      </c>
      <c r="V29" s="38">
        <f t="shared" ref="V29:W29" si="70">MONTH(V26)</f>
        <v>7</v>
      </c>
      <c r="W29" s="38">
        <f t="shared" si="70"/>
        <v>10</v>
      </c>
      <c r="X29" s="38">
        <f t="shared" ref="X29:Y29" si="71">MONTH(X26)</f>
        <v>1</v>
      </c>
      <c r="Y29" s="38">
        <f t="shared" si="71"/>
        <v>4</v>
      </c>
      <c r="Z29" s="38">
        <f t="shared" ref="Z29:AA29" si="72">MONTH(Z26)</f>
        <v>7</v>
      </c>
      <c r="AA29" s="38">
        <f t="shared" si="72"/>
        <v>10</v>
      </c>
      <c r="AB29" s="38">
        <f t="shared" ref="AB29:AC29" si="73">MONTH(AB26)</f>
        <v>1</v>
      </c>
      <c r="AC29" s="38">
        <f t="shared" si="73"/>
        <v>4</v>
      </c>
      <c r="AD29" s="38">
        <f t="shared" ref="AD29:AE29" si="74">MONTH(AD26)</f>
        <v>7</v>
      </c>
      <c r="AE29" s="38">
        <f t="shared" si="74"/>
        <v>10</v>
      </c>
      <c r="AF29" s="38">
        <f t="shared" ref="AF29:AG29" si="75">MONTH(AF26)</f>
        <v>1</v>
      </c>
      <c r="AG29" s="38">
        <f t="shared" si="75"/>
        <v>4</v>
      </c>
      <c r="AH29" s="38">
        <f t="shared" ref="AH29:AI29" si="76">MONTH(AH26)</f>
        <v>7</v>
      </c>
      <c r="AI29" s="38">
        <f t="shared" si="76"/>
        <v>10</v>
      </c>
      <c r="AJ29" s="38">
        <f t="shared" ref="AJ29:AK29" si="77">MONTH(AJ26)</f>
        <v>1</v>
      </c>
      <c r="AK29" s="38">
        <f t="shared" si="77"/>
        <v>4</v>
      </c>
      <c r="AL29" s="38">
        <f t="shared" ref="AL29:AM29" si="78">MONTH(AL26)</f>
        <v>7</v>
      </c>
      <c r="AM29" s="38">
        <f t="shared" si="78"/>
        <v>10</v>
      </c>
      <c r="AN29" s="38">
        <f t="shared" ref="AN29:AO29" si="79">MONTH(AN26)</f>
        <v>1</v>
      </c>
      <c r="AO29" s="38">
        <f t="shared" si="79"/>
        <v>4</v>
      </c>
      <c r="AP29" s="38">
        <f t="shared" ref="AP29:AQ29" si="80">MONTH(AP26)</f>
        <v>7</v>
      </c>
      <c r="AQ29" s="38">
        <f t="shared" si="80"/>
        <v>10</v>
      </c>
      <c r="AR29" s="38">
        <f t="shared" ref="AR29:AS29" si="81">MONTH(AR26)</f>
        <v>1</v>
      </c>
      <c r="AS29" s="38">
        <f t="shared" si="81"/>
        <v>4</v>
      </c>
      <c r="AT29" s="38">
        <f t="shared" ref="AT29:AU29" si="82">MONTH(AT26)</f>
        <v>7</v>
      </c>
      <c r="AU29" s="38">
        <f t="shared" si="82"/>
        <v>10</v>
      </c>
      <c r="AV29" s="38">
        <f t="shared" ref="AV29" si="83">MONTH(AV26)</f>
        <v>1</v>
      </c>
    </row>
    <row r="30" spans="1:48" outlineLevel="1" x14ac:dyDescent="0.2">
      <c r="A30" s="65" t="str">
        <f ca="1">Language!A395</f>
        <v>Длительность периода в днях</v>
      </c>
      <c r="D30" s="57"/>
      <c r="E30" s="57"/>
      <c r="F30" s="57" t="s">
        <v>753</v>
      </c>
      <c r="G30" s="38">
        <f t="shared" ref="G30:AV30" si="84">G31*30</f>
        <v>90</v>
      </c>
      <c r="H30" s="38">
        <f t="shared" si="84"/>
        <v>90</v>
      </c>
      <c r="I30" s="38">
        <f t="shared" si="84"/>
        <v>90</v>
      </c>
      <c r="J30" s="38">
        <f t="shared" si="84"/>
        <v>90</v>
      </c>
      <c r="K30" s="38">
        <f t="shared" si="84"/>
        <v>90</v>
      </c>
      <c r="L30" s="38">
        <f t="shared" si="84"/>
        <v>90</v>
      </c>
      <c r="M30" s="38">
        <f t="shared" si="84"/>
        <v>90</v>
      </c>
      <c r="N30" s="38">
        <f t="shared" si="84"/>
        <v>90</v>
      </c>
      <c r="O30" s="38">
        <f t="shared" si="84"/>
        <v>90</v>
      </c>
      <c r="P30" s="38">
        <f t="shared" si="84"/>
        <v>90</v>
      </c>
      <c r="Q30" s="38">
        <f t="shared" si="84"/>
        <v>90</v>
      </c>
      <c r="R30" s="38">
        <f t="shared" si="84"/>
        <v>90</v>
      </c>
      <c r="S30" s="38">
        <f t="shared" si="84"/>
        <v>90</v>
      </c>
      <c r="T30" s="38">
        <f t="shared" si="84"/>
        <v>90</v>
      </c>
      <c r="U30" s="38">
        <f t="shared" si="84"/>
        <v>90</v>
      </c>
      <c r="V30" s="38">
        <f t="shared" si="84"/>
        <v>90</v>
      </c>
      <c r="W30" s="38">
        <f t="shared" si="84"/>
        <v>90</v>
      </c>
      <c r="X30" s="38">
        <f t="shared" si="84"/>
        <v>90</v>
      </c>
      <c r="Y30" s="38">
        <f t="shared" si="84"/>
        <v>90</v>
      </c>
      <c r="Z30" s="38">
        <f t="shared" si="84"/>
        <v>90</v>
      </c>
      <c r="AA30" s="38">
        <f t="shared" si="84"/>
        <v>90</v>
      </c>
      <c r="AB30" s="38">
        <f t="shared" si="84"/>
        <v>90</v>
      </c>
      <c r="AC30" s="38">
        <f t="shared" si="84"/>
        <v>90</v>
      </c>
      <c r="AD30" s="38">
        <f t="shared" si="84"/>
        <v>90</v>
      </c>
      <c r="AE30" s="38">
        <f t="shared" si="84"/>
        <v>90</v>
      </c>
      <c r="AF30" s="38">
        <f t="shared" si="84"/>
        <v>90</v>
      </c>
      <c r="AG30" s="38">
        <f t="shared" si="84"/>
        <v>90</v>
      </c>
      <c r="AH30" s="38">
        <f t="shared" si="84"/>
        <v>90</v>
      </c>
      <c r="AI30" s="38">
        <f t="shared" si="84"/>
        <v>90</v>
      </c>
      <c r="AJ30" s="38">
        <f t="shared" si="84"/>
        <v>90</v>
      </c>
      <c r="AK30" s="38">
        <f t="shared" si="84"/>
        <v>90</v>
      </c>
      <c r="AL30" s="38">
        <f t="shared" si="84"/>
        <v>90</v>
      </c>
      <c r="AM30" s="38">
        <f t="shared" si="84"/>
        <v>90</v>
      </c>
      <c r="AN30" s="38">
        <f t="shared" si="84"/>
        <v>90</v>
      </c>
      <c r="AO30" s="38">
        <f t="shared" si="84"/>
        <v>90</v>
      </c>
      <c r="AP30" s="38">
        <f t="shared" si="84"/>
        <v>90</v>
      </c>
      <c r="AQ30" s="38">
        <f t="shared" si="84"/>
        <v>90</v>
      </c>
      <c r="AR30" s="38">
        <f t="shared" si="84"/>
        <v>90</v>
      </c>
      <c r="AS30" s="38">
        <f t="shared" si="84"/>
        <v>90</v>
      </c>
      <c r="AT30" s="38">
        <f t="shared" si="84"/>
        <v>90</v>
      </c>
      <c r="AU30" s="38">
        <f t="shared" si="84"/>
        <v>90</v>
      </c>
      <c r="AV30" s="38">
        <f t="shared" si="84"/>
        <v>90</v>
      </c>
    </row>
    <row r="31" spans="1:48" outlineLevel="1" x14ac:dyDescent="0.2">
      <c r="A31" s="65" t="str">
        <f ca="1">Language!A396</f>
        <v>Длительность периода в месяцах</v>
      </c>
      <c r="D31" s="57"/>
      <c r="E31" s="57" t="s">
        <v>636</v>
      </c>
      <c r="F31" s="57" t="s">
        <v>753</v>
      </c>
      <c r="G31" s="38">
        <f>Prj_Step-MOD(G29-1,Prj_Step)</f>
        <v>3</v>
      </c>
      <c r="H31" s="38">
        <f t="shared" ref="H31:AV31" si="85">Prj_Step</f>
        <v>3</v>
      </c>
      <c r="I31" s="38">
        <f t="shared" si="85"/>
        <v>3</v>
      </c>
      <c r="J31" s="38">
        <f t="shared" si="85"/>
        <v>3</v>
      </c>
      <c r="K31" s="38">
        <f t="shared" si="85"/>
        <v>3</v>
      </c>
      <c r="L31" s="38">
        <f t="shared" si="85"/>
        <v>3</v>
      </c>
      <c r="M31" s="38">
        <f t="shared" si="85"/>
        <v>3</v>
      </c>
      <c r="N31" s="38">
        <f t="shared" si="85"/>
        <v>3</v>
      </c>
      <c r="O31" s="38">
        <f t="shared" si="85"/>
        <v>3</v>
      </c>
      <c r="P31" s="38">
        <f t="shared" si="85"/>
        <v>3</v>
      </c>
      <c r="Q31" s="38">
        <f t="shared" si="85"/>
        <v>3</v>
      </c>
      <c r="R31" s="38">
        <f t="shared" si="85"/>
        <v>3</v>
      </c>
      <c r="S31" s="38">
        <f t="shared" si="85"/>
        <v>3</v>
      </c>
      <c r="T31" s="38">
        <f t="shared" si="85"/>
        <v>3</v>
      </c>
      <c r="U31" s="38">
        <f t="shared" si="85"/>
        <v>3</v>
      </c>
      <c r="V31" s="38">
        <f t="shared" si="85"/>
        <v>3</v>
      </c>
      <c r="W31" s="38">
        <f t="shared" si="85"/>
        <v>3</v>
      </c>
      <c r="X31" s="38">
        <f t="shared" si="85"/>
        <v>3</v>
      </c>
      <c r="Y31" s="38">
        <f t="shared" si="85"/>
        <v>3</v>
      </c>
      <c r="Z31" s="38">
        <f t="shared" si="85"/>
        <v>3</v>
      </c>
      <c r="AA31" s="38">
        <f t="shared" si="85"/>
        <v>3</v>
      </c>
      <c r="AB31" s="38">
        <f t="shared" si="85"/>
        <v>3</v>
      </c>
      <c r="AC31" s="38">
        <f t="shared" si="85"/>
        <v>3</v>
      </c>
      <c r="AD31" s="38">
        <f t="shared" si="85"/>
        <v>3</v>
      </c>
      <c r="AE31" s="38">
        <f t="shared" si="85"/>
        <v>3</v>
      </c>
      <c r="AF31" s="38">
        <f t="shared" si="85"/>
        <v>3</v>
      </c>
      <c r="AG31" s="38">
        <f t="shared" si="85"/>
        <v>3</v>
      </c>
      <c r="AH31" s="38">
        <f t="shared" si="85"/>
        <v>3</v>
      </c>
      <c r="AI31" s="38">
        <f t="shared" si="85"/>
        <v>3</v>
      </c>
      <c r="AJ31" s="38">
        <f t="shared" si="85"/>
        <v>3</v>
      </c>
      <c r="AK31" s="38">
        <f t="shared" si="85"/>
        <v>3</v>
      </c>
      <c r="AL31" s="38">
        <f t="shared" si="85"/>
        <v>3</v>
      </c>
      <c r="AM31" s="38">
        <f t="shared" si="85"/>
        <v>3</v>
      </c>
      <c r="AN31" s="38">
        <f t="shared" si="85"/>
        <v>3</v>
      </c>
      <c r="AO31" s="38">
        <f t="shared" si="85"/>
        <v>3</v>
      </c>
      <c r="AP31" s="38">
        <f t="shared" si="85"/>
        <v>3</v>
      </c>
      <c r="AQ31" s="38">
        <f t="shared" si="85"/>
        <v>3</v>
      </c>
      <c r="AR31" s="38">
        <f t="shared" si="85"/>
        <v>3</v>
      </c>
      <c r="AS31" s="38">
        <f t="shared" si="85"/>
        <v>3</v>
      </c>
      <c r="AT31" s="38">
        <f t="shared" si="85"/>
        <v>3</v>
      </c>
      <c r="AU31" s="38">
        <f t="shared" si="85"/>
        <v>3</v>
      </c>
      <c r="AV31" s="38">
        <f t="shared" si="85"/>
        <v>3</v>
      </c>
    </row>
    <row r="32" spans="1:48" outlineLevel="1" x14ac:dyDescent="0.2">
      <c r="A32" s="65" t="str">
        <f ca="1">Language!A397</f>
        <v>Неполный период (1 - да)?</v>
      </c>
      <c r="D32" s="57"/>
      <c r="E32" s="57"/>
      <c r="F32" s="57" t="s">
        <v>755</v>
      </c>
      <c r="G32" s="38">
        <f>IF(G31=Prj_Step,0,1)</f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</row>
    <row r="33" spans="1:50" outlineLevel="1" x14ac:dyDescent="0.2">
      <c r="A33" s="65" t="str">
        <f ca="1">Language!A398</f>
        <v>Коэффициент для учета неполного периода</v>
      </c>
      <c r="D33" s="57"/>
      <c r="E33" s="57"/>
      <c r="F33" s="57" t="s">
        <v>756</v>
      </c>
      <c r="G33" s="75">
        <f>G31/Prj_Step</f>
        <v>1</v>
      </c>
      <c r="H33" s="75">
        <v>1</v>
      </c>
      <c r="I33" s="75">
        <v>1</v>
      </c>
      <c r="J33" s="75">
        <v>1</v>
      </c>
      <c r="K33" s="75">
        <v>1</v>
      </c>
      <c r="L33" s="75">
        <v>1</v>
      </c>
      <c r="M33" s="75">
        <v>1</v>
      </c>
      <c r="N33" s="75">
        <v>1</v>
      </c>
      <c r="O33" s="75">
        <v>1</v>
      </c>
      <c r="P33" s="75">
        <v>1</v>
      </c>
      <c r="Q33" s="75">
        <v>1</v>
      </c>
      <c r="R33" s="75">
        <v>1</v>
      </c>
      <c r="S33" s="75">
        <v>1</v>
      </c>
      <c r="T33" s="75">
        <v>1</v>
      </c>
      <c r="U33" s="75">
        <v>1</v>
      </c>
      <c r="V33" s="75">
        <v>1</v>
      </c>
      <c r="W33" s="75">
        <v>1</v>
      </c>
      <c r="X33" s="75">
        <v>1</v>
      </c>
      <c r="Y33" s="75">
        <v>1</v>
      </c>
      <c r="Z33" s="75">
        <v>1</v>
      </c>
      <c r="AA33" s="75">
        <v>1</v>
      </c>
      <c r="AB33" s="75">
        <v>1</v>
      </c>
      <c r="AC33" s="75">
        <v>1</v>
      </c>
      <c r="AD33" s="75">
        <v>1</v>
      </c>
      <c r="AE33" s="75">
        <v>1</v>
      </c>
      <c r="AF33" s="75">
        <v>1</v>
      </c>
      <c r="AG33" s="75">
        <v>1</v>
      </c>
      <c r="AH33" s="75">
        <v>1</v>
      </c>
      <c r="AI33" s="75">
        <v>1</v>
      </c>
      <c r="AJ33" s="75">
        <v>1</v>
      </c>
      <c r="AK33" s="75">
        <v>1</v>
      </c>
      <c r="AL33" s="75">
        <v>1</v>
      </c>
      <c r="AM33" s="75">
        <v>1</v>
      </c>
      <c r="AN33" s="75">
        <v>1</v>
      </c>
      <c r="AO33" s="75">
        <v>1</v>
      </c>
      <c r="AP33" s="75">
        <v>1</v>
      </c>
      <c r="AQ33" s="75">
        <v>1</v>
      </c>
      <c r="AR33" s="75">
        <v>1</v>
      </c>
      <c r="AS33" s="75">
        <v>1</v>
      </c>
      <c r="AT33" s="75">
        <v>1</v>
      </c>
      <c r="AU33" s="75">
        <v>1</v>
      </c>
      <c r="AV33" s="75">
        <v>1</v>
      </c>
    </row>
    <row r="34" spans="1:50" outlineLevel="1" x14ac:dyDescent="0.2">
      <c r="A34" s="65" t="str">
        <f ca="1">Language!A399</f>
        <v>Название периода для заголовков таблиц</v>
      </c>
      <c r="D34" s="57"/>
      <c r="E34" s="57" t="s">
        <v>635</v>
      </c>
      <c r="F34" s="57"/>
      <c r="G34" s="76" t="str">
        <f ca="1">IF(G32, TEXT(G29,"#") &amp; "-" &amp; TEXT(MONTH(G27),"#") &amp; "." &amp; TEXT(G28,"#"), CHOOSE(Prj_Period, OFFSET(Language!$A63,G29-1,0) &amp; "." &amp; TEXT(G28-2000,"#"), TEXT(ROUNDUP(G29/3,0),"#") &amp; " " &amp; Language!$A47 &amp; " " &amp; TEXT(G28,"#"), TEXT(G28,"#")))</f>
        <v>4 кв. 2022</v>
      </c>
      <c r="H34" s="76" t="str">
        <f ca="1">IF(H32, TEXT(H29,"#") &amp; "-" &amp; TEXT(MONTH(H27),"#") &amp; "." &amp; TEXT(H28,"#"), CHOOSE(Prj_Period, OFFSET(Language!$A63,H29-1,0) &amp; "." &amp; TEXT(H28-2000,"#"), TEXT(ROUNDUP(H29/3,0),"#") &amp; " " &amp; Language!$A47 &amp; " " &amp; TEXT(H28,"#"), TEXT(H28,"#")))</f>
        <v>1 кв. 2023</v>
      </c>
      <c r="I34" s="76" t="str">
        <f ca="1">IF(I32, TEXT(I29,"#") &amp; "-" &amp; TEXT(MONTH(I27),"#") &amp; "." &amp; TEXT(I28,"#"), CHOOSE(Prj_Period, OFFSET(Language!$A63,I29-1,0) &amp; "." &amp; TEXT(I28-2000,"#"), TEXT(ROUNDUP(I29/3,0),"#") &amp; " " &amp; Language!$A47 &amp; " " &amp; TEXT(I28,"#"), TEXT(I28,"#")))</f>
        <v>2 кв. 2023</v>
      </c>
      <c r="J34" s="76" t="str">
        <f ca="1">IF(J32, TEXT(J29,"#") &amp; "-" &amp; TEXT(MONTH(J27),"#") &amp; "." &amp; TEXT(J28,"#"), CHOOSE(Prj_Period, OFFSET(Language!$A63,J29-1,0) &amp; "." &amp; TEXT(J28-2000,"#"), TEXT(ROUNDUP(J29/3,0),"#") &amp; " " &amp; Language!$A47 &amp; " " &amp; TEXT(J28,"#"), TEXT(J28,"#")))</f>
        <v>3 кв. 2023</v>
      </c>
      <c r="K34" s="76" t="str">
        <f ca="1">IF(K32, TEXT(K29,"#") &amp; "-" &amp; TEXT(MONTH(K27),"#") &amp; "." &amp; TEXT(K28,"#"), CHOOSE(Prj_Period, OFFSET(Language!$A63,K29-1,0) &amp; "." &amp; TEXT(K28-2000,"#"), TEXT(ROUNDUP(K29/3,0),"#") &amp; " " &amp; Language!$A47 &amp; " " &amp; TEXT(K28,"#"), TEXT(K28,"#")))</f>
        <v>4 кв. 2023</v>
      </c>
      <c r="L34" s="76" t="str">
        <f ca="1">IF(L32, TEXT(L29,"#") &amp; "-" &amp; TEXT(MONTH(L27),"#") &amp; "." &amp; TEXT(L28,"#"), CHOOSE(Prj_Period, OFFSET(Language!$A63,L29-1,0) &amp; "." &amp; TEXT(L28-2000,"#"), TEXT(ROUNDUP(L29/3,0),"#") &amp; " " &amp; Language!$A47 &amp; " " &amp; TEXT(L28,"#"), TEXT(L28,"#")))</f>
        <v>1 кв. 2024</v>
      </c>
      <c r="M34" s="76" t="str">
        <f ca="1">IF(M32, TEXT(M29,"#") &amp; "-" &amp; TEXT(MONTH(M27),"#") &amp; "." &amp; TEXT(M28,"#"), CHOOSE(Prj_Period, OFFSET(Language!$A63,M29-1,0) &amp; "." &amp; TEXT(M28-2000,"#"), TEXT(ROUNDUP(M29/3,0),"#") &amp; " " &amp; Language!$A47 &amp; " " &amp; TEXT(M28,"#"), TEXT(M28,"#")))</f>
        <v>2 кв. 2024</v>
      </c>
      <c r="N34" s="76" t="str">
        <f ca="1">IF(N32, TEXT(N29,"#") &amp; "-" &amp; TEXT(MONTH(N27),"#") &amp; "." &amp; TEXT(N28,"#"), CHOOSE(Prj_Period, OFFSET(Language!$A63,N29-1,0) &amp; "." &amp; TEXT(N28-2000,"#"), TEXT(ROUNDUP(N29/3,0),"#") &amp; " " &amp; Language!$A47 &amp; " " &amp; TEXT(N28,"#"), TEXT(N28,"#")))</f>
        <v>3 кв. 2024</v>
      </c>
      <c r="O34" s="76" t="str">
        <f ca="1">IF(O32, TEXT(O29,"#") &amp; "-" &amp; TEXT(MONTH(O27),"#") &amp; "." &amp; TEXT(O28,"#"), CHOOSE(Prj_Period, OFFSET(Language!$A63,O29-1,0) &amp; "." &amp; TEXT(O28-2000,"#"), TEXT(ROUNDUP(O29/3,0),"#") &amp; " " &amp; Language!$A47 &amp; " " &amp; TEXT(O28,"#"), TEXT(O28,"#")))</f>
        <v>4 кв. 2024</v>
      </c>
      <c r="P34" s="76" t="str">
        <f ca="1">IF(P32, TEXT(P29,"#") &amp; "-" &amp; TEXT(MONTH(P27),"#") &amp; "." &amp; TEXT(P28,"#"), CHOOSE(Prj_Period, OFFSET(Language!$A63,P29-1,0) &amp; "." &amp; TEXT(P28-2000,"#"), TEXT(ROUNDUP(P29/3,0),"#") &amp; " " &amp; Language!$A47 &amp; " " &amp; TEXT(P28,"#"), TEXT(P28,"#")))</f>
        <v>1 кв. 2025</v>
      </c>
      <c r="Q34" s="76" t="str">
        <f ca="1">IF(Q32, TEXT(Q29,"#") &amp; "-" &amp; TEXT(MONTH(Q27),"#") &amp; "." &amp; TEXT(Q28,"#"), CHOOSE(Prj_Period, OFFSET(Language!$A63,Q29-1,0) &amp; "." &amp; TEXT(Q28-2000,"#"), TEXT(ROUNDUP(Q29/3,0),"#") &amp; " " &amp; Language!$A47 &amp; " " &amp; TEXT(Q28,"#"), TEXT(Q28,"#")))</f>
        <v>2 кв. 2025</v>
      </c>
      <c r="R34" s="76" t="str">
        <f ca="1">IF(R32, TEXT(R29,"#") &amp; "-" &amp; TEXT(MONTH(R27),"#") &amp; "." &amp; TEXT(R28,"#"), CHOOSE(Prj_Period, OFFSET(Language!$A63,R29-1,0) &amp; "." &amp; TEXT(R28-2000,"#"), TEXT(ROUNDUP(R29/3,0),"#") &amp; " " &amp; Language!$A47 &amp; " " &amp; TEXT(R28,"#"), TEXT(R28,"#")))</f>
        <v>3 кв. 2025</v>
      </c>
      <c r="S34" s="76" t="str">
        <f ca="1">IF(S32, TEXT(S29,"#") &amp; "-" &amp; TEXT(MONTH(S27),"#") &amp; "." &amp; TEXT(S28,"#"), CHOOSE(Prj_Period, OFFSET(Language!$A63,S29-1,0) &amp; "." &amp; TEXT(S28-2000,"#"), TEXT(ROUNDUP(S29/3,0),"#") &amp; " " &amp; Language!$A47 &amp; " " &amp; TEXT(S28,"#"), TEXT(S28,"#")))</f>
        <v>4 кв. 2025</v>
      </c>
      <c r="T34" s="76" t="str">
        <f ca="1">IF(T32, TEXT(T29,"#") &amp; "-" &amp; TEXT(MONTH(T27),"#") &amp; "." &amp; TEXT(T28,"#"), CHOOSE(Prj_Period, OFFSET(Language!$A63,T29-1,0) &amp; "." &amp; TEXT(T28-2000,"#"), TEXT(ROUNDUP(T29/3,0),"#") &amp; " " &amp; Language!$A47 &amp; " " &amp; TEXT(T28,"#"), TEXT(T28,"#")))</f>
        <v>1 кв. 2026</v>
      </c>
      <c r="U34" s="76" t="str">
        <f ca="1">IF(U32, TEXT(U29,"#") &amp; "-" &amp; TEXT(MONTH(U27),"#") &amp; "." &amp; TEXT(U28,"#"), CHOOSE(Prj_Period, OFFSET(Language!$A63,U29-1,0) &amp; "." &amp; TEXT(U28-2000,"#"), TEXT(ROUNDUP(U29/3,0),"#") &amp; " " &amp; Language!$A47 &amp; " " &amp; TEXT(U28,"#"), TEXT(U28,"#")))</f>
        <v>2 кв. 2026</v>
      </c>
      <c r="V34" s="76" t="str">
        <f ca="1">IF(V32, TEXT(V29,"#") &amp; "-" &amp; TEXT(MONTH(V27),"#") &amp; "." &amp; TEXT(V28,"#"), CHOOSE(Prj_Period, OFFSET(Language!$A63,V29-1,0) &amp; "." &amp; TEXT(V28-2000,"#"), TEXT(ROUNDUP(V29/3,0),"#") &amp; " " &amp; Language!$A47 &amp; " " &amp; TEXT(V28,"#"), TEXT(V28,"#")))</f>
        <v>3 кв. 2026</v>
      </c>
      <c r="W34" s="76" t="str">
        <f ca="1">IF(W32, TEXT(W29,"#") &amp; "-" &amp; TEXT(MONTH(W27),"#") &amp; "." &amp; TEXT(W28,"#"), CHOOSE(Prj_Period, OFFSET(Language!$A63,W29-1,0) &amp; "." &amp; TEXT(W28-2000,"#"), TEXT(ROUNDUP(W29/3,0),"#") &amp; " " &amp; Language!$A47 &amp; " " &amp; TEXT(W28,"#"), TEXT(W28,"#")))</f>
        <v>4 кв. 2026</v>
      </c>
      <c r="X34" s="76" t="str">
        <f ca="1">IF(X32, TEXT(X29,"#") &amp; "-" &amp; TEXT(MONTH(X27),"#") &amp; "." &amp; TEXT(X28,"#"), CHOOSE(Prj_Period, OFFSET(Language!$A63,X29-1,0) &amp; "." &amp; TEXT(X28-2000,"#"), TEXT(ROUNDUP(X29/3,0),"#") &amp; " " &amp; Language!$A47 &amp; " " &amp; TEXT(X28,"#"), TEXT(X28,"#")))</f>
        <v>1 кв. 2027</v>
      </c>
      <c r="Y34" s="76" t="str">
        <f ca="1">IF(Y32, TEXT(Y29,"#") &amp; "-" &amp; TEXT(MONTH(Y27),"#") &amp; "." &amp; TEXT(Y28,"#"), CHOOSE(Prj_Period, OFFSET(Language!$A63,Y29-1,0) &amp; "." &amp; TEXT(Y28-2000,"#"), TEXT(ROUNDUP(Y29/3,0),"#") &amp; " " &amp; Language!$A47 &amp; " " &amp; TEXT(Y28,"#"), TEXT(Y28,"#")))</f>
        <v>2 кв. 2027</v>
      </c>
      <c r="Z34" s="76" t="str">
        <f ca="1">IF(Z32, TEXT(Z29,"#") &amp; "-" &amp; TEXT(MONTH(Z27),"#") &amp; "." &amp; TEXT(Z28,"#"), CHOOSE(Prj_Period, OFFSET(Language!$A63,Z29-1,0) &amp; "." &amp; TEXT(Z28-2000,"#"), TEXT(ROUNDUP(Z29/3,0),"#") &amp; " " &amp; Language!$A47 &amp; " " &amp; TEXT(Z28,"#"), TEXT(Z28,"#")))</f>
        <v>3 кв. 2027</v>
      </c>
      <c r="AA34" s="76" t="str">
        <f ca="1">IF(AA32, TEXT(AA29,"#") &amp; "-" &amp; TEXT(MONTH(AA27),"#") &amp; "." &amp; TEXT(AA28,"#"), CHOOSE(Prj_Period, OFFSET(Language!$A63,AA29-1,0) &amp; "." &amp; TEXT(AA28-2000,"#"), TEXT(ROUNDUP(AA29/3,0),"#") &amp; " " &amp; Language!$A47 &amp; " " &amp; TEXT(AA28,"#"), TEXT(AA28,"#")))</f>
        <v>4 кв. 2027</v>
      </c>
      <c r="AB34" s="76" t="str">
        <f ca="1">IF(AB32, TEXT(AB29,"#") &amp; "-" &amp; TEXT(MONTH(AB27),"#") &amp; "." &amp; TEXT(AB28,"#"), CHOOSE(Prj_Period, OFFSET(Language!$A63,AB29-1,0) &amp; "." &amp; TEXT(AB28-2000,"#"), TEXT(ROUNDUP(AB29/3,0),"#") &amp; " " &amp; Language!$A47 &amp; " " &amp; TEXT(AB28,"#"), TEXT(AB28,"#")))</f>
        <v>1 кв. 2028</v>
      </c>
      <c r="AC34" s="76" t="str">
        <f ca="1">IF(AC32, TEXT(AC29,"#") &amp; "-" &amp; TEXT(MONTH(AC27),"#") &amp; "." &amp; TEXT(AC28,"#"), CHOOSE(Prj_Period, OFFSET(Language!$A63,AC29-1,0) &amp; "." &amp; TEXT(AC28-2000,"#"), TEXT(ROUNDUP(AC29/3,0),"#") &amp; " " &amp; Language!$A47 &amp; " " &amp; TEXT(AC28,"#"), TEXT(AC28,"#")))</f>
        <v>2 кв. 2028</v>
      </c>
      <c r="AD34" s="76" t="str">
        <f ca="1">IF(AD32, TEXT(AD29,"#") &amp; "-" &amp; TEXT(MONTH(AD27),"#") &amp; "." &amp; TEXT(AD28,"#"), CHOOSE(Prj_Period, OFFSET(Language!$A63,AD29-1,0) &amp; "." &amp; TEXT(AD28-2000,"#"), TEXT(ROUNDUP(AD29/3,0),"#") &amp; " " &amp; Language!$A47 &amp; " " &amp; TEXT(AD28,"#"), TEXT(AD28,"#")))</f>
        <v>3 кв. 2028</v>
      </c>
      <c r="AE34" s="76" t="str">
        <f ca="1">IF(AE32, TEXT(AE29,"#") &amp; "-" &amp; TEXT(MONTH(AE27),"#") &amp; "." &amp; TEXT(AE28,"#"), CHOOSE(Prj_Period, OFFSET(Language!$A63,AE29-1,0) &amp; "." &amp; TEXT(AE28-2000,"#"), TEXT(ROUNDUP(AE29/3,0),"#") &amp; " " &amp; Language!$A47 &amp; " " &amp; TEXT(AE28,"#"), TEXT(AE28,"#")))</f>
        <v>4 кв. 2028</v>
      </c>
      <c r="AF34" s="76" t="str">
        <f ca="1">IF(AF32, TEXT(AF29,"#") &amp; "-" &amp; TEXT(MONTH(AF27),"#") &amp; "." &amp; TEXT(AF28,"#"), CHOOSE(Prj_Period, OFFSET(Language!$A63,AF29-1,0) &amp; "." &amp; TEXT(AF28-2000,"#"), TEXT(ROUNDUP(AF29/3,0),"#") &amp; " " &amp; Language!$A47 &amp; " " &amp; TEXT(AF28,"#"), TEXT(AF28,"#")))</f>
        <v>1 кв. 2029</v>
      </c>
      <c r="AG34" s="76" t="str">
        <f ca="1">IF(AG32, TEXT(AG29,"#") &amp; "-" &amp; TEXT(MONTH(AG27),"#") &amp; "." &amp; TEXT(AG28,"#"), CHOOSE(Prj_Period, OFFSET(Language!$A63,AG29-1,0) &amp; "." &amp; TEXT(AG28-2000,"#"), TEXT(ROUNDUP(AG29/3,0),"#") &amp; " " &amp; Language!$A47 &amp; " " &amp; TEXT(AG28,"#"), TEXT(AG28,"#")))</f>
        <v>2 кв. 2029</v>
      </c>
      <c r="AH34" s="76" t="str">
        <f ca="1">IF(AH32, TEXT(AH29,"#") &amp; "-" &amp; TEXT(MONTH(AH27),"#") &amp; "." &amp; TEXT(AH28,"#"), CHOOSE(Prj_Period, OFFSET(Language!$A63,AH29-1,0) &amp; "." &amp; TEXT(AH28-2000,"#"), TEXT(ROUNDUP(AH29/3,0),"#") &amp; " " &amp; Language!$A47 &amp; " " &amp; TEXT(AH28,"#"), TEXT(AH28,"#")))</f>
        <v>3 кв. 2029</v>
      </c>
      <c r="AI34" s="76" t="str">
        <f ca="1">IF(AI32, TEXT(AI29,"#") &amp; "-" &amp; TEXT(MONTH(AI27),"#") &amp; "." &amp; TEXT(AI28,"#"), CHOOSE(Prj_Period, OFFSET(Language!$A63,AI29-1,0) &amp; "." &amp; TEXT(AI28-2000,"#"), TEXT(ROUNDUP(AI29/3,0),"#") &amp; " " &amp; Language!$A47 &amp; " " &amp; TEXT(AI28,"#"), TEXT(AI28,"#")))</f>
        <v>4 кв. 2029</v>
      </c>
      <c r="AJ34" s="76" t="str">
        <f ca="1">IF(AJ32, TEXT(AJ29,"#") &amp; "-" &amp; TEXT(MONTH(AJ27),"#") &amp; "." &amp; TEXT(AJ28,"#"), CHOOSE(Prj_Period, OFFSET(Language!$A63,AJ29-1,0) &amp; "." &amp; TEXT(AJ28-2000,"#"), TEXT(ROUNDUP(AJ29/3,0),"#") &amp; " " &amp; Language!$A47 &amp; " " &amp; TEXT(AJ28,"#"), TEXT(AJ28,"#")))</f>
        <v>1 кв. 2030</v>
      </c>
      <c r="AK34" s="76" t="str">
        <f ca="1">IF(AK32, TEXT(AK29,"#") &amp; "-" &amp; TEXT(MONTH(AK27),"#") &amp; "." &amp; TEXT(AK28,"#"), CHOOSE(Prj_Period, OFFSET(Language!$A63,AK29-1,0) &amp; "." &amp; TEXT(AK28-2000,"#"), TEXT(ROUNDUP(AK29/3,0),"#") &amp; " " &amp; Language!$A47 &amp; " " &amp; TEXT(AK28,"#"), TEXT(AK28,"#")))</f>
        <v>2 кв. 2030</v>
      </c>
      <c r="AL34" s="76" t="str">
        <f ca="1">IF(AL32, TEXT(AL29,"#") &amp; "-" &amp; TEXT(MONTH(AL27),"#") &amp; "." &amp; TEXT(AL28,"#"), CHOOSE(Prj_Period, OFFSET(Language!$A63,AL29-1,0) &amp; "." &amp; TEXT(AL28-2000,"#"), TEXT(ROUNDUP(AL29/3,0),"#") &amp; " " &amp; Language!$A47 &amp; " " &amp; TEXT(AL28,"#"), TEXT(AL28,"#")))</f>
        <v>3 кв. 2030</v>
      </c>
      <c r="AM34" s="76" t="str">
        <f ca="1">IF(AM32, TEXT(AM29,"#") &amp; "-" &amp; TEXT(MONTH(AM27),"#") &amp; "." &amp; TEXT(AM28,"#"), CHOOSE(Prj_Period, OFFSET(Language!$A63,AM29-1,0) &amp; "." &amp; TEXT(AM28-2000,"#"), TEXT(ROUNDUP(AM29/3,0),"#") &amp; " " &amp; Language!$A47 &amp; " " &amp; TEXT(AM28,"#"), TEXT(AM28,"#")))</f>
        <v>4 кв. 2030</v>
      </c>
      <c r="AN34" s="76" t="str">
        <f ca="1">IF(AN32, TEXT(AN29,"#") &amp; "-" &amp; TEXT(MONTH(AN27),"#") &amp; "." &amp; TEXT(AN28,"#"), CHOOSE(Prj_Period, OFFSET(Language!$A63,AN29-1,0) &amp; "." &amp; TEXT(AN28-2000,"#"), TEXT(ROUNDUP(AN29/3,0),"#") &amp; " " &amp; Language!$A47 &amp; " " &amp; TEXT(AN28,"#"), TEXT(AN28,"#")))</f>
        <v>1 кв. 2031</v>
      </c>
      <c r="AO34" s="76" t="str">
        <f ca="1">IF(AO32, TEXT(AO29,"#") &amp; "-" &amp; TEXT(MONTH(AO27),"#") &amp; "." &amp; TEXT(AO28,"#"), CHOOSE(Prj_Period, OFFSET(Language!$A63,AO29-1,0) &amp; "." &amp; TEXT(AO28-2000,"#"), TEXT(ROUNDUP(AO29/3,0),"#") &amp; " " &amp; Language!$A47 &amp; " " &amp; TEXT(AO28,"#"), TEXT(AO28,"#")))</f>
        <v>2 кв. 2031</v>
      </c>
      <c r="AP34" s="76" t="str">
        <f ca="1">IF(AP32, TEXT(AP29,"#") &amp; "-" &amp; TEXT(MONTH(AP27),"#") &amp; "." &amp; TEXT(AP28,"#"), CHOOSE(Prj_Period, OFFSET(Language!$A63,AP29-1,0) &amp; "." &amp; TEXT(AP28-2000,"#"), TEXT(ROUNDUP(AP29/3,0),"#") &amp; " " &amp; Language!$A47 &amp; " " &amp; TEXT(AP28,"#"), TEXT(AP28,"#")))</f>
        <v>3 кв. 2031</v>
      </c>
      <c r="AQ34" s="76" t="str">
        <f ca="1">IF(AQ32, TEXT(AQ29,"#") &amp; "-" &amp; TEXT(MONTH(AQ27),"#") &amp; "." &amp; TEXT(AQ28,"#"), CHOOSE(Prj_Period, OFFSET(Language!$A63,AQ29-1,0) &amp; "." &amp; TEXT(AQ28-2000,"#"), TEXT(ROUNDUP(AQ29/3,0),"#") &amp; " " &amp; Language!$A47 &amp; " " &amp; TEXT(AQ28,"#"), TEXT(AQ28,"#")))</f>
        <v>4 кв. 2031</v>
      </c>
      <c r="AR34" s="76" t="str">
        <f ca="1">IF(AR32, TEXT(AR29,"#") &amp; "-" &amp; TEXT(MONTH(AR27),"#") &amp; "." &amp; TEXT(AR28,"#"), CHOOSE(Prj_Period, OFFSET(Language!$A63,AR29-1,0) &amp; "." &amp; TEXT(AR28-2000,"#"), TEXT(ROUNDUP(AR29/3,0),"#") &amp; " " &amp; Language!$A47 &amp; " " &amp; TEXT(AR28,"#"), TEXT(AR28,"#")))</f>
        <v>1 кв. 2032</v>
      </c>
      <c r="AS34" s="76" t="str">
        <f ca="1">IF(AS32, TEXT(AS29,"#") &amp; "-" &amp; TEXT(MONTH(AS27),"#") &amp; "." &amp; TEXT(AS28,"#"), CHOOSE(Prj_Period, OFFSET(Language!$A63,AS29-1,0) &amp; "." &amp; TEXT(AS28-2000,"#"), TEXT(ROUNDUP(AS29/3,0),"#") &amp; " " &amp; Language!$A47 &amp; " " &amp; TEXT(AS28,"#"), TEXT(AS28,"#")))</f>
        <v>2 кв. 2032</v>
      </c>
      <c r="AT34" s="76" t="str">
        <f ca="1">IF(AT32, TEXT(AT29,"#") &amp; "-" &amp; TEXT(MONTH(AT27),"#") &amp; "." &amp; TEXT(AT28,"#"), CHOOSE(Prj_Period, OFFSET(Language!$A63,AT29-1,0) &amp; "." &amp; TEXT(AT28-2000,"#"), TEXT(ROUNDUP(AT29/3,0),"#") &amp; " " &amp; Language!$A47 &amp; " " &amp; TEXT(AT28,"#"), TEXT(AT28,"#")))</f>
        <v>3 кв. 2032</v>
      </c>
      <c r="AU34" s="76" t="str">
        <f ca="1">IF(AU32, TEXT(AU29,"#") &amp; "-" &amp; TEXT(MONTH(AU27),"#") &amp; "." &amp; TEXT(AU28,"#"), CHOOSE(Prj_Period, OFFSET(Language!$A63,AU29-1,0) &amp; "." &amp; TEXT(AU28-2000,"#"), TEXT(ROUNDUP(AU29/3,0),"#") &amp; " " &amp; Language!$A47 &amp; " " &amp; TEXT(AU28,"#"), TEXT(AU28,"#")))</f>
        <v>4 кв. 2032</v>
      </c>
      <c r="AV34" s="76" t="str">
        <f ca="1">IF(AV32, TEXT(AV29,"#") &amp; "-" &amp; TEXT(MONTH(AV27),"#") &amp; "." &amp; TEXT(AV28,"#"), CHOOSE(Prj_Period, OFFSET(Language!$A63,AV29-1,0) &amp; "." &amp; TEXT(AV28-2000,"#"), TEXT(ROUNDUP(AV29/3,0),"#") &amp; " " &amp; Language!$A47 &amp; " " &amp; TEXT(AV28,"#"), TEXT(AV28,"#")))</f>
        <v>1 кв. 2033</v>
      </c>
    </row>
    <row r="35" spans="1:50" x14ac:dyDescent="0.2">
      <c r="A35" s="67"/>
      <c r="B35" s="51"/>
      <c r="C35" s="51"/>
      <c r="D35" s="68"/>
      <c r="E35" s="68" t="s">
        <v>616</v>
      </c>
      <c r="F35" s="68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</row>
    <row r="36" spans="1:50" x14ac:dyDescent="0.2">
      <c r="D36" s="57"/>
      <c r="E36" s="57"/>
      <c r="F36" s="57"/>
    </row>
    <row r="37" spans="1:50" x14ac:dyDescent="0.2">
      <c r="D37" s="57"/>
      <c r="E37" s="57"/>
      <c r="F37" s="57"/>
    </row>
    <row r="38" spans="1:50" s="64" customFormat="1" ht="25.5" customHeight="1" thickBot="1" x14ac:dyDescent="0.25">
      <c r="A38" s="59" t="str">
        <f ca="1">Language!A400</f>
        <v>ВАЛЮТЫ, КУРСЫ, ИНФЛЯЦИЯ</v>
      </c>
      <c r="B38" s="60"/>
      <c r="C38" s="61"/>
      <c r="D38" s="62"/>
      <c r="E38" s="62" t="s">
        <v>886</v>
      </c>
      <c r="F38" s="62"/>
      <c r="G38" s="69" t="str">
        <f t="shared" ref="G38:AV38" ca="1" si="86">G$34</f>
        <v>4 кв. 2022</v>
      </c>
      <c r="H38" s="69" t="str">
        <f t="shared" ca="1" si="86"/>
        <v>1 кв. 2023</v>
      </c>
      <c r="I38" s="69" t="str">
        <f t="shared" ca="1" si="86"/>
        <v>2 кв. 2023</v>
      </c>
      <c r="J38" s="69" t="str">
        <f t="shared" ca="1" si="86"/>
        <v>3 кв. 2023</v>
      </c>
      <c r="K38" s="69" t="str">
        <f t="shared" ca="1" si="86"/>
        <v>4 кв. 2023</v>
      </c>
      <c r="L38" s="69" t="str">
        <f t="shared" ca="1" si="86"/>
        <v>1 кв. 2024</v>
      </c>
      <c r="M38" s="69" t="str">
        <f t="shared" ca="1" si="86"/>
        <v>2 кв. 2024</v>
      </c>
      <c r="N38" s="69" t="str">
        <f t="shared" ca="1" si="86"/>
        <v>3 кв. 2024</v>
      </c>
      <c r="O38" s="69" t="str">
        <f t="shared" ca="1" si="86"/>
        <v>4 кв. 2024</v>
      </c>
      <c r="P38" s="69" t="str">
        <f t="shared" ca="1" si="86"/>
        <v>1 кв. 2025</v>
      </c>
      <c r="Q38" s="69" t="str">
        <f t="shared" ca="1" si="86"/>
        <v>2 кв. 2025</v>
      </c>
      <c r="R38" s="69" t="str">
        <f t="shared" ca="1" si="86"/>
        <v>3 кв. 2025</v>
      </c>
      <c r="S38" s="69" t="str">
        <f t="shared" ca="1" si="86"/>
        <v>4 кв. 2025</v>
      </c>
      <c r="T38" s="69" t="str">
        <f t="shared" ca="1" si="86"/>
        <v>1 кв. 2026</v>
      </c>
      <c r="U38" s="69" t="str">
        <f t="shared" ca="1" si="86"/>
        <v>2 кв. 2026</v>
      </c>
      <c r="V38" s="69" t="str">
        <f t="shared" ca="1" si="86"/>
        <v>3 кв. 2026</v>
      </c>
      <c r="W38" s="69" t="str">
        <f t="shared" ca="1" si="86"/>
        <v>4 кв. 2026</v>
      </c>
      <c r="X38" s="69" t="str">
        <f t="shared" ca="1" si="86"/>
        <v>1 кв. 2027</v>
      </c>
      <c r="Y38" s="69" t="str">
        <f t="shared" ca="1" si="86"/>
        <v>2 кв. 2027</v>
      </c>
      <c r="Z38" s="69" t="str">
        <f t="shared" ca="1" si="86"/>
        <v>3 кв. 2027</v>
      </c>
      <c r="AA38" s="69" t="str">
        <f t="shared" ca="1" si="86"/>
        <v>4 кв. 2027</v>
      </c>
      <c r="AB38" s="69" t="str">
        <f t="shared" ca="1" si="86"/>
        <v>1 кв. 2028</v>
      </c>
      <c r="AC38" s="69" t="str">
        <f t="shared" ca="1" si="86"/>
        <v>2 кв. 2028</v>
      </c>
      <c r="AD38" s="69" t="str">
        <f t="shared" ca="1" si="86"/>
        <v>3 кв. 2028</v>
      </c>
      <c r="AE38" s="69" t="str">
        <f t="shared" ca="1" si="86"/>
        <v>4 кв. 2028</v>
      </c>
      <c r="AF38" s="69" t="str">
        <f t="shared" ca="1" si="86"/>
        <v>1 кв. 2029</v>
      </c>
      <c r="AG38" s="69" t="str">
        <f t="shared" ca="1" si="86"/>
        <v>2 кв. 2029</v>
      </c>
      <c r="AH38" s="69" t="str">
        <f t="shared" ca="1" si="86"/>
        <v>3 кв. 2029</v>
      </c>
      <c r="AI38" s="69" t="str">
        <f t="shared" ca="1" si="86"/>
        <v>4 кв. 2029</v>
      </c>
      <c r="AJ38" s="69" t="str">
        <f t="shared" ca="1" si="86"/>
        <v>1 кв. 2030</v>
      </c>
      <c r="AK38" s="69" t="str">
        <f t="shared" ca="1" si="86"/>
        <v>2 кв. 2030</v>
      </c>
      <c r="AL38" s="69" t="str">
        <f t="shared" ca="1" si="86"/>
        <v>3 кв. 2030</v>
      </c>
      <c r="AM38" s="69" t="str">
        <f t="shared" ca="1" si="86"/>
        <v>4 кв. 2030</v>
      </c>
      <c r="AN38" s="69" t="str">
        <f t="shared" ca="1" si="86"/>
        <v>1 кв. 2031</v>
      </c>
      <c r="AO38" s="69" t="str">
        <f t="shared" ca="1" si="86"/>
        <v>2 кв. 2031</v>
      </c>
      <c r="AP38" s="69" t="str">
        <f t="shared" ca="1" si="86"/>
        <v>3 кв. 2031</v>
      </c>
      <c r="AQ38" s="69" t="str">
        <f t="shared" ca="1" si="86"/>
        <v>4 кв. 2031</v>
      </c>
      <c r="AR38" s="69" t="str">
        <f t="shared" ca="1" si="86"/>
        <v>1 кв. 2032</v>
      </c>
      <c r="AS38" s="69" t="str">
        <f t="shared" ca="1" si="86"/>
        <v>2 кв. 2032</v>
      </c>
      <c r="AT38" s="69" t="str">
        <f t="shared" ca="1" si="86"/>
        <v>3 кв. 2032</v>
      </c>
      <c r="AU38" s="69" t="str">
        <f t="shared" ca="1" si="86"/>
        <v>4 кв. 2032</v>
      </c>
      <c r="AV38" s="69" t="str">
        <f t="shared" ca="1" si="86"/>
        <v>1 кв. 2033</v>
      </c>
    </row>
    <row r="39" spans="1:50" ht="13.5" thickTop="1" x14ac:dyDescent="0.2">
      <c r="A39" s="65"/>
      <c r="D39" s="57"/>
      <c r="E39" s="57"/>
      <c r="F39" s="57"/>
    </row>
    <row r="40" spans="1:50" x14ac:dyDescent="0.2">
      <c r="A40" s="65" t="str">
        <f ca="1">Language!A401</f>
        <v>Учет инфляции при планировании цен</v>
      </c>
      <c r="B40" s="77">
        <v>1</v>
      </c>
      <c r="C40" s="78" t="str">
        <f ca="1">OFFSET(Language!A469,Prj_Inflation,0)</f>
        <v>Учитывать</v>
      </c>
      <c r="D40" s="57"/>
      <c r="E40" s="57"/>
      <c r="F40" s="57"/>
    </row>
    <row r="41" spans="1:50" x14ac:dyDescent="0.2">
      <c r="A41" s="79"/>
      <c r="D41" s="57"/>
      <c r="E41" s="57" t="s">
        <v>640</v>
      </c>
      <c r="F41" s="57" t="s">
        <v>1123</v>
      </c>
    </row>
    <row r="42" spans="1:50" x14ac:dyDescent="0.2">
      <c r="A42" s="80" t="str">
        <f ca="1">Language!A402</f>
        <v>Основная валюта расчетов</v>
      </c>
      <c r="B42" s="81" t="str">
        <f ca="1">IF(D42&lt;100, OFFSET(Language!A$94,D42,0), SUBSTITUTE(OFFSET(Language!A$114,INT(D42/100),0),"***",OFFSET(Language!A$94,D42-100*INT(D42/100),0)) )</f>
        <v>тыс. руб.</v>
      </c>
      <c r="D42" s="66">
        <v>113</v>
      </c>
      <c r="E42" s="57"/>
      <c r="F42" s="57"/>
    </row>
    <row r="43" spans="1:50" collapsed="1" x14ac:dyDescent="0.2">
      <c r="A43" s="65" t="str">
        <f ca="1">Language!A403</f>
        <v>Темпы роста цен, базовые</v>
      </c>
      <c r="C43" s="82" t="str">
        <f ca="1">Language!A471</f>
        <v>% в год</v>
      </c>
      <c r="D43" s="57"/>
      <c r="E43" s="57"/>
      <c r="F43" s="57" t="s">
        <v>756</v>
      </c>
      <c r="G43" s="302">
        <v>0.06</v>
      </c>
      <c r="H43" s="302">
        <f t="shared" ref="H43:AV43" si="87">G43</f>
        <v>0.06</v>
      </c>
      <c r="I43" s="302">
        <f t="shared" si="87"/>
        <v>0.06</v>
      </c>
      <c r="J43" s="302">
        <f t="shared" si="87"/>
        <v>0.06</v>
      </c>
      <c r="K43" s="302">
        <f t="shared" si="87"/>
        <v>0.06</v>
      </c>
      <c r="L43" s="302">
        <f t="shared" si="87"/>
        <v>0.06</v>
      </c>
      <c r="M43" s="302">
        <f t="shared" si="87"/>
        <v>0.06</v>
      </c>
      <c r="N43" s="302">
        <f t="shared" si="87"/>
        <v>0.06</v>
      </c>
      <c r="O43" s="302">
        <f t="shared" si="87"/>
        <v>0.06</v>
      </c>
      <c r="P43" s="302">
        <f t="shared" si="87"/>
        <v>0.06</v>
      </c>
      <c r="Q43" s="302">
        <f t="shared" si="87"/>
        <v>0.06</v>
      </c>
      <c r="R43" s="302">
        <f t="shared" si="87"/>
        <v>0.06</v>
      </c>
      <c r="S43" s="302">
        <f t="shared" si="87"/>
        <v>0.06</v>
      </c>
      <c r="T43" s="302">
        <f t="shared" si="87"/>
        <v>0.06</v>
      </c>
      <c r="U43" s="302">
        <f t="shared" si="87"/>
        <v>0.06</v>
      </c>
      <c r="V43" s="302">
        <f t="shared" si="87"/>
        <v>0.06</v>
      </c>
      <c r="W43" s="302">
        <f t="shared" si="87"/>
        <v>0.06</v>
      </c>
      <c r="X43" s="302">
        <f t="shared" si="87"/>
        <v>0.06</v>
      </c>
      <c r="Y43" s="302">
        <f t="shared" si="87"/>
        <v>0.06</v>
      </c>
      <c r="Z43" s="302">
        <f t="shared" si="87"/>
        <v>0.06</v>
      </c>
      <c r="AA43" s="302">
        <f t="shared" si="87"/>
        <v>0.06</v>
      </c>
      <c r="AB43" s="302">
        <f t="shared" si="87"/>
        <v>0.06</v>
      </c>
      <c r="AC43" s="302">
        <f t="shared" si="87"/>
        <v>0.06</v>
      </c>
      <c r="AD43" s="302">
        <f t="shared" si="87"/>
        <v>0.06</v>
      </c>
      <c r="AE43" s="302">
        <f t="shared" si="87"/>
        <v>0.06</v>
      </c>
      <c r="AF43" s="302">
        <f t="shared" si="87"/>
        <v>0.06</v>
      </c>
      <c r="AG43" s="302">
        <f t="shared" si="87"/>
        <v>0.06</v>
      </c>
      <c r="AH43" s="302">
        <f t="shared" si="87"/>
        <v>0.06</v>
      </c>
      <c r="AI43" s="302">
        <f t="shared" si="87"/>
        <v>0.06</v>
      </c>
      <c r="AJ43" s="302">
        <f t="shared" si="87"/>
        <v>0.06</v>
      </c>
      <c r="AK43" s="302">
        <f t="shared" si="87"/>
        <v>0.06</v>
      </c>
      <c r="AL43" s="302">
        <f t="shared" si="87"/>
        <v>0.06</v>
      </c>
      <c r="AM43" s="302">
        <f t="shared" si="87"/>
        <v>0.06</v>
      </c>
      <c r="AN43" s="302">
        <f t="shared" si="87"/>
        <v>0.06</v>
      </c>
      <c r="AO43" s="302">
        <f t="shared" si="87"/>
        <v>0.06</v>
      </c>
      <c r="AP43" s="302">
        <f t="shared" si="87"/>
        <v>0.06</v>
      </c>
      <c r="AQ43" s="302">
        <f t="shared" si="87"/>
        <v>0.06</v>
      </c>
      <c r="AR43" s="302">
        <f t="shared" si="87"/>
        <v>0.06</v>
      </c>
      <c r="AS43" s="302">
        <f t="shared" si="87"/>
        <v>0.06</v>
      </c>
      <c r="AT43" s="302">
        <f t="shared" si="87"/>
        <v>0.06</v>
      </c>
      <c r="AU43" s="302">
        <f t="shared" si="87"/>
        <v>0.06</v>
      </c>
      <c r="AV43" s="302">
        <f t="shared" si="87"/>
        <v>0.06</v>
      </c>
    </row>
    <row r="44" spans="1:50" hidden="1" outlineLevel="1" x14ac:dyDescent="0.2">
      <c r="A44" s="83" t="str">
        <f ca="1">Language!A$589</f>
        <v>коэффициент изменения цен к началу проекта</v>
      </c>
      <c r="B44" s="84"/>
      <c r="C44" s="82" t="str">
        <f ca="1">Language!$A$1449</f>
        <v>раз</v>
      </c>
      <c r="D44" s="66"/>
      <c r="E44" s="57"/>
      <c r="F44" s="57" t="s">
        <v>756</v>
      </c>
      <c r="G44" s="85">
        <f ca="1">IF(G$2=1,1,IF(Prj_Inflation=1,POWER(1+OFFSET(G43,0,-1),Параметры!G$30/360),1) * IF(G$2&gt;1, F44, 1))</f>
        <v>1</v>
      </c>
      <c r="H44" s="85">
        <f ca="1">IF(H$2=1,1,IF(Prj_Inflation=1,POWER(1+OFFSET(H43,0,-1),Параметры!H$30/360),1) * IF(H$2&gt;1, G44, 1))</f>
        <v>1.0146738461686593</v>
      </c>
      <c r="I44" s="85">
        <f ca="1">IF(I$2=1,1,IF(Prj_Inflation=1,POWER(1+OFFSET(I43,0,-1),Параметры!I$30/360),1) * IF(I$2&gt;1, H44, 1))</f>
        <v>1.0295630140987</v>
      </c>
      <c r="J44" s="85">
        <f ca="1">IF(J$2=1,1,IF(Prj_Inflation=1,POWER(1+OFFSET(J43,0,-1),Параметры!J$30/360),1) * IF(J$2&gt;1, I44, 1))</f>
        <v>1.0446706633885254</v>
      </c>
      <c r="K44" s="85">
        <f ca="1">IF(K$2=1,1,IF(Prj_Inflation=1,POWER(1+OFFSET(K43,0,-1),Параметры!K$30/360),1) * IF(K$2&gt;1, J44, 1))</f>
        <v>1.0599999999999998</v>
      </c>
      <c r="L44" s="85">
        <f ca="1">IF(L$2=1,1,IF(Prj_Inflation=1,POWER(1+OFFSET(L43,0,-1),Параметры!L$30/360),1) * IF(L$2&gt;1, K44, 1))</f>
        <v>1.0755542769387787</v>
      </c>
      <c r="M44" s="85">
        <f ca="1">IF(M$2=1,1,IF(Prj_Inflation=1,POWER(1+OFFSET(M43,0,-1),Параметры!M$30/360),1) * IF(M$2&gt;1, L44, 1))</f>
        <v>1.091336794944622</v>
      </c>
      <c r="N44" s="85">
        <f ca="1">IF(N$2=1,1,IF(Prj_Inflation=1,POWER(1+OFFSET(N43,0,-1),Параметры!N$30/360),1) * IF(N$2&gt;1, M44, 1))</f>
        <v>1.1073509031918372</v>
      </c>
      <c r="O44" s="85">
        <f ca="1">IF(O$2=1,1,IF(Prj_Inflation=1,POWER(1+OFFSET(O43,0,-1),Параметры!O$30/360),1) * IF(O$2&gt;1, N44, 1))</f>
        <v>1.1236000000000002</v>
      </c>
      <c r="P44" s="85">
        <f ca="1">IF(P$2=1,1,IF(Prj_Inflation=1,POWER(1+OFFSET(P43,0,-1),Параметры!P$30/360),1) * IF(P$2&gt;1, O44, 1))</f>
        <v>1.1400875335551057</v>
      </c>
      <c r="Q44" s="85">
        <f ca="1">IF(Q$2=1,1,IF(Prj_Inflation=1,POWER(1+OFFSET(Q43,0,-1),Параметры!Q$30/360),1) * IF(Q$2&gt;1, P44, 1))</f>
        <v>1.1568170026412996</v>
      </c>
      <c r="R44" s="85">
        <f ca="1">IF(R$2=1,1,IF(Prj_Inflation=1,POWER(1+OFFSET(R43,0,-1),Параметры!R$30/360),1) * IF(R$2&gt;1, Q44, 1))</f>
        <v>1.1737919573833475</v>
      </c>
      <c r="S44" s="85">
        <f ca="1">IF(S$2=1,1,IF(Prj_Inflation=1,POWER(1+OFFSET(S43,0,-1),Параметры!S$30/360),1) * IF(S$2&gt;1, R44, 1))</f>
        <v>1.1910160000000003</v>
      </c>
      <c r="T44" s="85">
        <f ca="1">IF(T$2=1,1,IF(Prj_Inflation=1,POWER(1+OFFSET(T43,0,-1),Параметры!T$30/360),1) * IF(T$2&gt;1, S44, 1))</f>
        <v>1.2084927855684122</v>
      </c>
      <c r="U44" s="85">
        <f ca="1">IF(U$2=1,1,IF(Prj_Inflation=1,POWER(1+OFFSET(U43,0,-1),Параметры!U$30/360),1) * IF(U$2&gt;1, T44, 1))</f>
        <v>1.2262260227997777</v>
      </c>
      <c r="V44" s="85">
        <f ca="1">IF(V$2=1,1,IF(Prj_Inflation=1,POWER(1+OFFSET(V43,0,-1),Параметры!V$30/360),1) * IF(V$2&gt;1, U44, 1))</f>
        <v>1.2442194748263484</v>
      </c>
      <c r="W44" s="85">
        <f ca="1">IF(W$2=1,1,IF(Prj_Inflation=1,POWER(1+OFFSET(W43,0,-1),Параметры!W$30/360),1) * IF(W$2&gt;1, V44, 1))</f>
        <v>1.2624769600000003</v>
      </c>
      <c r="X44" s="85">
        <f ca="1">IF(X$2=1,1,IF(Prj_Inflation=1,POWER(1+OFFSET(X43,0,-1),Параметры!X$30/360),1) * IF(X$2&gt;1, W44, 1))</f>
        <v>1.2810023527025169</v>
      </c>
      <c r="Y44" s="85">
        <f ca="1">IF(Y$2=1,1,IF(Prj_Inflation=1,POWER(1+OFFSET(Y43,0,-1),Параметры!Y$30/360),1) * IF(Y$2&gt;1, X44, 1))</f>
        <v>1.2997995841677643</v>
      </c>
      <c r="Z44" s="85">
        <f ca="1">IF(Z$2=1,1,IF(Prj_Inflation=1,POWER(1+OFFSET(Z43,0,-1),Параметры!Z$30/360),1) * IF(Z$2&gt;1, Y44, 1))</f>
        <v>1.3188726433159295</v>
      </c>
      <c r="AA44" s="85">
        <f ca="1">IF(AA$2=1,1,IF(Prj_Inflation=1,POWER(1+OFFSET(AA43,0,-1),Параметры!AA$30/360),1) * IF(AA$2&gt;1, Z44, 1))</f>
        <v>1.3382255776000005</v>
      </c>
      <c r="AB44" s="85">
        <f ca="1">IF(AB$2=1,1,IF(Prj_Inflation=1,POWER(1+OFFSET(AB43,0,-1),Параметры!AB$30/360),1) * IF(AB$2&gt;1, AA44, 1))</f>
        <v>1.3578624938646682</v>
      </c>
      <c r="AC44" s="85">
        <f ca="1">IF(AC$2=1,1,IF(Prj_Inflation=1,POWER(1+OFFSET(AC43,0,-1),Параметры!AC$30/360),1) * IF(AC$2&gt;1, AB44, 1))</f>
        <v>1.3777875592178304</v>
      </c>
      <c r="AD44" s="85">
        <f ca="1">IF(AD$2=1,1,IF(Prj_Inflation=1,POWER(1+OFFSET(AD43,0,-1),Параметры!AD$30/360),1) * IF(AD$2&gt;1, AC44, 1))</f>
        <v>1.3980050019148853</v>
      </c>
      <c r="AE44" s="85">
        <f ca="1">IF(AE$2=1,1,IF(Prj_Inflation=1,POWER(1+OFFSET(AE43,0,-1),Параметры!AE$30/360),1) * IF(AE$2&gt;1, AD44, 1))</f>
        <v>1.4185191122560006</v>
      </c>
      <c r="AF44" s="85">
        <f ca="1">IF(AF$2=1,1,IF(Prj_Inflation=1,POWER(1+OFFSET(AF43,0,-1),Параметры!AF$30/360),1) * IF(AF$2&gt;1, AE44, 1))</f>
        <v>1.4393342434965484</v>
      </c>
      <c r="AG44" s="85">
        <f ca="1">IF(AG$2=1,1,IF(Prj_Inflation=1,POWER(1+OFFSET(AG43,0,-1),Параметры!AG$30/360),1) * IF(AG$2&gt;1, AF44, 1))</f>
        <v>1.4604548127709003</v>
      </c>
      <c r="AH44" s="85">
        <f ca="1">IF(AH$2=1,1,IF(Prj_Inflation=1,POWER(1+OFFSET(AH43,0,-1),Параметры!AH$30/360),1) * IF(AH$2&gt;1, AG44, 1))</f>
        <v>1.4818853020297786</v>
      </c>
      <c r="AI44" s="85">
        <f ca="1">IF(AI$2=1,1,IF(Prj_Inflation=1,POWER(1+OFFSET(AI43,0,-1),Параметры!AI$30/360),1) * IF(AI$2&gt;1, AH44, 1))</f>
        <v>1.5036302589913608</v>
      </c>
      <c r="AJ44" s="85">
        <f ca="1">IF(AJ$2=1,1,IF(Prj_Inflation=1,POWER(1+OFFSET(AJ43,0,-1),Параметры!AJ$30/360),1) * IF(AJ$2&gt;1, AI44, 1))</f>
        <v>1.5256942981063415</v>
      </c>
      <c r="AK44" s="85">
        <f ca="1">IF(AK$2=1,1,IF(Prj_Inflation=1,POWER(1+OFFSET(AK43,0,-1),Параметры!AK$30/360),1) * IF(AK$2&gt;1, AJ44, 1))</f>
        <v>1.5480821015371546</v>
      </c>
      <c r="AL44" s="85">
        <f ca="1">IF(AL$2=1,1,IF(Prj_Inflation=1,POWER(1+OFFSET(AL43,0,-1),Параметры!AL$30/360),1) * IF(AL$2&gt;1, AK44, 1))</f>
        <v>1.5707984201515657</v>
      </c>
      <c r="AM44" s="85">
        <f ca="1">IF(AM$2=1,1,IF(Prj_Inflation=1,POWER(1+OFFSET(AM43,0,-1),Параметры!AM$30/360),1) * IF(AM$2&gt;1, AL44, 1))</f>
        <v>1.5938480745308428</v>
      </c>
      <c r="AN44" s="85">
        <f ca="1">IF(AN$2=1,1,IF(Prj_Inflation=1,POWER(1+OFFSET(AN43,0,-1),Параметры!AN$30/360),1) * IF(AN$2&gt;1, AM44, 1))</f>
        <v>1.6172359559927221</v>
      </c>
      <c r="AO44" s="85">
        <f ca="1">IF(AO$2=1,1,IF(Prj_Inflation=1,POWER(1+OFFSET(AO43,0,-1),Параметры!AO$30/360),1) * IF(AO$2&gt;1, AN44, 1))</f>
        <v>1.640967027629384</v>
      </c>
      <c r="AP44" s="85">
        <f ca="1">IF(AP$2=1,1,IF(Prj_Inflation=1,POWER(1+OFFSET(AP43,0,-1),Параметры!AP$30/360),1) * IF(AP$2&gt;1, AO44, 1))</f>
        <v>1.6650463253606596</v>
      </c>
      <c r="AQ44" s="85">
        <f ca="1">IF(AQ$2=1,1,IF(Prj_Inflation=1,POWER(1+OFFSET(AQ43,0,-1),Параметры!AQ$30/360),1) * IF(AQ$2&gt;1, AP44, 1))</f>
        <v>1.6894789590026933</v>
      </c>
      <c r="AR44" s="85">
        <f ca="1">IF(AR$2=1,1,IF(Prj_Inflation=1,POWER(1+OFFSET(AR43,0,-1),Параметры!AR$30/360),1) * IF(AR$2&gt;1, AQ44, 1))</f>
        <v>1.7142701133522855</v>
      </c>
      <c r="AS44" s="85">
        <f ca="1">IF(AS$2=1,1,IF(Prj_Inflation=1,POWER(1+OFFSET(AS43,0,-1),Параметры!AS$30/360),1) * IF(AS$2&gt;1, AR44, 1))</f>
        <v>1.739425049287147</v>
      </c>
      <c r="AT44" s="85">
        <f ca="1">IF(AT$2=1,1,IF(Prj_Inflation=1,POWER(1+OFFSET(AT43,0,-1),Параметры!AT$30/360),1) * IF(AT$2&gt;1, AS44, 1))</f>
        <v>1.7649491048822992</v>
      </c>
      <c r="AU44" s="85">
        <f ca="1">IF(AU$2=1,1,IF(Prj_Inflation=1,POWER(1+OFFSET(AU43,0,-1),Параметры!AU$30/360),1) * IF(AU$2&gt;1, AT44, 1))</f>
        <v>1.790847696542855</v>
      </c>
      <c r="AV44" s="85">
        <f ca="1">IF(AV$2=1,1,IF(Prj_Inflation=1,POWER(1+OFFSET(AV43,0,-1),Параметры!AV$30/360),1) * IF(AV$2&gt;1, AU44, 1))</f>
        <v>1.8171263201534227</v>
      </c>
      <c r="AW44" s="86"/>
      <c r="AX44" s="87"/>
    </row>
    <row r="45" spans="1:50" hidden="1" outlineLevel="1" x14ac:dyDescent="0.2">
      <c r="A45" s="83" t="str">
        <f ca="1">Language!A$607</f>
        <v>коэффициент прироста цен к предыдущему периоду</v>
      </c>
      <c r="B45" s="84"/>
      <c r="C45" s="82" t="str">
        <f ca="1">Language!$A$1449</f>
        <v>раз</v>
      </c>
      <c r="D45" s="66"/>
      <c r="E45" s="57"/>
      <c r="F45" s="57" t="s">
        <v>756</v>
      </c>
      <c r="G45" s="85">
        <f ca="1">IF(G$2=1,1,IF(Prj_Inflation=1,POWER(1+OFFSET(G43,0,-1),Параметры!G$30/360),1))</f>
        <v>1</v>
      </c>
      <c r="H45" s="85">
        <f ca="1">IF(H$2=1,1,IF(Prj_Inflation=1,POWER(1+OFFSET(H43,0,-1),Параметры!H$30/360),1))</f>
        <v>1.0146738461686593</v>
      </c>
      <c r="I45" s="85">
        <f ca="1">IF(I$2=1,1,IF(Prj_Inflation=1,POWER(1+OFFSET(I43,0,-1),Параметры!I$30/360),1))</f>
        <v>1.0146738461686593</v>
      </c>
      <c r="J45" s="85">
        <f ca="1">IF(J$2=1,1,IF(Prj_Inflation=1,POWER(1+OFFSET(J43,0,-1),Параметры!J$30/360),1))</f>
        <v>1.0146738461686593</v>
      </c>
      <c r="K45" s="85">
        <f ca="1">IF(K$2=1,1,IF(Prj_Inflation=1,POWER(1+OFFSET(K43,0,-1),Параметры!K$30/360),1))</f>
        <v>1.0146738461686593</v>
      </c>
      <c r="L45" s="85">
        <f ca="1">IF(L$2=1,1,IF(Prj_Inflation=1,POWER(1+OFFSET(L43,0,-1),Параметры!L$30/360),1))</f>
        <v>1.0146738461686593</v>
      </c>
      <c r="M45" s="85">
        <f ca="1">IF(M$2=1,1,IF(Prj_Inflation=1,POWER(1+OFFSET(M43,0,-1),Параметры!M$30/360),1))</f>
        <v>1.0146738461686593</v>
      </c>
      <c r="N45" s="85">
        <f ca="1">IF(N$2=1,1,IF(Prj_Inflation=1,POWER(1+OFFSET(N43,0,-1),Параметры!N$30/360),1))</f>
        <v>1.0146738461686593</v>
      </c>
      <c r="O45" s="85">
        <f ca="1">IF(O$2=1,1,IF(Prj_Inflation=1,POWER(1+OFFSET(O43,0,-1),Параметры!O$30/360),1))</f>
        <v>1.0146738461686593</v>
      </c>
      <c r="P45" s="85">
        <f ca="1">IF(P$2=1,1,IF(Prj_Inflation=1,POWER(1+OFFSET(P43,0,-1),Параметры!P$30/360),1))</f>
        <v>1.0146738461686593</v>
      </c>
      <c r="Q45" s="85">
        <f ca="1">IF(Q$2=1,1,IF(Prj_Inflation=1,POWER(1+OFFSET(Q43,0,-1),Параметры!Q$30/360),1))</f>
        <v>1.0146738461686593</v>
      </c>
      <c r="R45" s="85">
        <f ca="1">IF(R$2=1,1,IF(Prj_Inflation=1,POWER(1+OFFSET(R43,0,-1),Параметры!R$30/360),1))</f>
        <v>1.0146738461686593</v>
      </c>
      <c r="S45" s="85">
        <f ca="1">IF(S$2=1,1,IF(Prj_Inflation=1,POWER(1+OFFSET(S43,0,-1),Параметры!S$30/360),1))</f>
        <v>1.0146738461686593</v>
      </c>
      <c r="T45" s="85">
        <f ca="1">IF(T$2=1,1,IF(Prj_Inflation=1,POWER(1+OFFSET(T43,0,-1),Параметры!T$30/360),1))</f>
        <v>1.0146738461686593</v>
      </c>
      <c r="U45" s="85">
        <f ca="1">IF(U$2=1,1,IF(Prj_Inflation=1,POWER(1+OFFSET(U43,0,-1),Параметры!U$30/360),1))</f>
        <v>1.0146738461686593</v>
      </c>
      <c r="V45" s="85">
        <f ca="1">IF(V$2=1,1,IF(Prj_Inflation=1,POWER(1+OFFSET(V43,0,-1),Параметры!V$30/360),1))</f>
        <v>1.0146738461686593</v>
      </c>
      <c r="W45" s="85">
        <f ca="1">IF(W$2=1,1,IF(Prj_Inflation=1,POWER(1+OFFSET(W43,0,-1),Параметры!W$30/360),1))</f>
        <v>1.0146738461686593</v>
      </c>
      <c r="X45" s="85">
        <f ca="1">IF(X$2=1,1,IF(Prj_Inflation=1,POWER(1+OFFSET(X43,0,-1),Параметры!X$30/360),1))</f>
        <v>1.0146738461686593</v>
      </c>
      <c r="Y45" s="85">
        <f ca="1">IF(Y$2=1,1,IF(Prj_Inflation=1,POWER(1+OFFSET(Y43,0,-1),Параметры!Y$30/360),1))</f>
        <v>1.0146738461686593</v>
      </c>
      <c r="Z45" s="85">
        <f ca="1">IF(Z$2=1,1,IF(Prj_Inflation=1,POWER(1+OFFSET(Z43,0,-1),Параметры!Z$30/360),1))</f>
        <v>1.0146738461686593</v>
      </c>
      <c r="AA45" s="85">
        <f ca="1">IF(AA$2=1,1,IF(Prj_Inflation=1,POWER(1+OFFSET(AA43,0,-1),Параметры!AA$30/360),1))</f>
        <v>1.0146738461686593</v>
      </c>
      <c r="AB45" s="85">
        <f ca="1">IF(AB$2=1,1,IF(Prj_Inflation=1,POWER(1+OFFSET(AB43,0,-1),Параметры!AB$30/360),1))</f>
        <v>1.0146738461686593</v>
      </c>
      <c r="AC45" s="85">
        <f ca="1">IF(AC$2=1,1,IF(Prj_Inflation=1,POWER(1+OFFSET(AC43,0,-1),Параметры!AC$30/360),1))</f>
        <v>1.0146738461686593</v>
      </c>
      <c r="AD45" s="85">
        <f ca="1">IF(AD$2=1,1,IF(Prj_Inflation=1,POWER(1+OFFSET(AD43,0,-1),Параметры!AD$30/360),1))</f>
        <v>1.0146738461686593</v>
      </c>
      <c r="AE45" s="85">
        <f ca="1">IF(AE$2=1,1,IF(Prj_Inflation=1,POWER(1+OFFSET(AE43,0,-1),Параметры!AE$30/360),1))</f>
        <v>1.0146738461686593</v>
      </c>
      <c r="AF45" s="85">
        <f ca="1">IF(AF$2=1,1,IF(Prj_Inflation=1,POWER(1+OFFSET(AF43,0,-1),Параметры!AF$30/360),1))</f>
        <v>1.0146738461686593</v>
      </c>
      <c r="AG45" s="85">
        <f ca="1">IF(AG$2=1,1,IF(Prj_Inflation=1,POWER(1+OFFSET(AG43,0,-1),Параметры!AG$30/360),1))</f>
        <v>1.0146738461686593</v>
      </c>
      <c r="AH45" s="85">
        <f ca="1">IF(AH$2=1,1,IF(Prj_Inflation=1,POWER(1+OFFSET(AH43,0,-1),Параметры!AH$30/360),1))</f>
        <v>1.0146738461686593</v>
      </c>
      <c r="AI45" s="85">
        <f ca="1">IF(AI$2=1,1,IF(Prj_Inflation=1,POWER(1+OFFSET(AI43,0,-1),Параметры!AI$30/360),1))</f>
        <v>1.0146738461686593</v>
      </c>
      <c r="AJ45" s="85">
        <f ca="1">IF(AJ$2=1,1,IF(Prj_Inflation=1,POWER(1+OFFSET(AJ43,0,-1),Параметры!AJ$30/360),1))</f>
        <v>1.0146738461686593</v>
      </c>
      <c r="AK45" s="85">
        <f ca="1">IF(AK$2=1,1,IF(Prj_Inflation=1,POWER(1+OFFSET(AK43,0,-1),Параметры!AK$30/360),1))</f>
        <v>1.0146738461686593</v>
      </c>
      <c r="AL45" s="85">
        <f ca="1">IF(AL$2=1,1,IF(Prj_Inflation=1,POWER(1+OFFSET(AL43,0,-1),Параметры!AL$30/360),1))</f>
        <v>1.0146738461686593</v>
      </c>
      <c r="AM45" s="85">
        <f ca="1">IF(AM$2=1,1,IF(Prj_Inflation=1,POWER(1+OFFSET(AM43,0,-1),Параметры!AM$30/360),1))</f>
        <v>1.0146738461686593</v>
      </c>
      <c r="AN45" s="85">
        <f ca="1">IF(AN$2=1,1,IF(Prj_Inflation=1,POWER(1+OFFSET(AN43,0,-1),Параметры!AN$30/360),1))</f>
        <v>1.0146738461686593</v>
      </c>
      <c r="AO45" s="85">
        <f ca="1">IF(AO$2=1,1,IF(Prj_Inflation=1,POWER(1+OFFSET(AO43,0,-1),Параметры!AO$30/360),1))</f>
        <v>1.0146738461686593</v>
      </c>
      <c r="AP45" s="85">
        <f ca="1">IF(AP$2=1,1,IF(Prj_Inflation=1,POWER(1+OFFSET(AP43,0,-1),Параметры!AP$30/360),1))</f>
        <v>1.0146738461686593</v>
      </c>
      <c r="AQ45" s="85">
        <f ca="1">IF(AQ$2=1,1,IF(Prj_Inflation=1,POWER(1+OFFSET(AQ43,0,-1),Параметры!AQ$30/360),1))</f>
        <v>1.0146738461686593</v>
      </c>
      <c r="AR45" s="85">
        <f ca="1">IF(AR$2=1,1,IF(Prj_Inflation=1,POWER(1+OFFSET(AR43,0,-1),Параметры!AR$30/360),1))</f>
        <v>1.0146738461686593</v>
      </c>
      <c r="AS45" s="85">
        <f ca="1">IF(AS$2=1,1,IF(Prj_Inflation=1,POWER(1+OFFSET(AS43,0,-1),Параметры!AS$30/360),1))</f>
        <v>1.0146738461686593</v>
      </c>
      <c r="AT45" s="85">
        <f ca="1">IF(AT$2=1,1,IF(Prj_Inflation=1,POWER(1+OFFSET(AT43,0,-1),Параметры!AT$30/360),1))</f>
        <v>1.0146738461686593</v>
      </c>
      <c r="AU45" s="85">
        <f ca="1">IF(AU$2=1,1,IF(Prj_Inflation=1,POWER(1+OFFSET(AU43,0,-1),Параметры!AU$30/360),1))</f>
        <v>1.0146738461686593</v>
      </c>
      <c r="AV45" s="85">
        <f ca="1">IF(AV$2=1,1,IF(Prj_Inflation=1,POWER(1+OFFSET(AV43,0,-1),Параметры!AV$30/360),1))</f>
        <v>1.0146738461686593</v>
      </c>
      <c r="AW45" s="86"/>
      <c r="AX45" s="87"/>
    </row>
    <row r="46" spans="1:50" hidden="1" outlineLevel="1" x14ac:dyDescent="0.2">
      <c r="A46" s="65" t="str">
        <f ca="1">Language!A404</f>
        <v>Детализация; темпы роста цен в отдельных категориях:</v>
      </c>
      <c r="D46" s="57"/>
      <c r="E46" s="57"/>
      <c r="F46" s="57"/>
    </row>
    <row r="47" spans="1:50" hidden="1" outlineLevel="1" x14ac:dyDescent="0.2">
      <c r="A47" s="65" t="str">
        <f ca="1">Language!A405</f>
        <v>Продажи</v>
      </c>
      <c r="C47" s="82" t="str">
        <f ca="1">Language!A471</f>
        <v>% в год</v>
      </c>
      <c r="D47" s="57"/>
      <c r="E47" s="57"/>
      <c r="F47" s="57" t="s">
        <v>756</v>
      </c>
      <c r="G47" s="88">
        <f t="shared" ref="G47:AV50" si="88">G$43</f>
        <v>0.06</v>
      </c>
      <c r="H47" s="88">
        <f t="shared" si="88"/>
        <v>0.06</v>
      </c>
      <c r="I47" s="88">
        <f t="shared" si="88"/>
        <v>0.06</v>
      </c>
      <c r="J47" s="88">
        <f t="shared" si="88"/>
        <v>0.06</v>
      </c>
      <c r="K47" s="88">
        <f t="shared" si="88"/>
        <v>0.06</v>
      </c>
      <c r="L47" s="88">
        <f t="shared" si="88"/>
        <v>0.06</v>
      </c>
      <c r="M47" s="88">
        <f t="shared" si="88"/>
        <v>0.06</v>
      </c>
      <c r="N47" s="88">
        <f t="shared" si="88"/>
        <v>0.06</v>
      </c>
      <c r="O47" s="88">
        <f t="shared" si="88"/>
        <v>0.06</v>
      </c>
      <c r="P47" s="88">
        <f t="shared" si="88"/>
        <v>0.06</v>
      </c>
      <c r="Q47" s="88">
        <f t="shared" si="88"/>
        <v>0.06</v>
      </c>
      <c r="R47" s="88">
        <f t="shared" si="88"/>
        <v>0.06</v>
      </c>
      <c r="S47" s="88">
        <f t="shared" si="88"/>
        <v>0.06</v>
      </c>
      <c r="T47" s="88">
        <f t="shared" si="88"/>
        <v>0.06</v>
      </c>
      <c r="U47" s="88">
        <f t="shared" si="88"/>
        <v>0.06</v>
      </c>
      <c r="V47" s="88">
        <f t="shared" si="88"/>
        <v>0.06</v>
      </c>
      <c r="W47" s="88">
        <f t="shared" si="88"/>
        <v>0.06</v>
      </c>
      <c r="X47" s="88">
        <f t="shared" si="88"/>
        <v>0.06</v>
      </c>
      <c r="Y47" s="88">
        <f t="shared" si="88"/>
        <v>0.06</v>
      </c>
      <c r="Z47" s="88">
        <f t="shared" si="88"/>
        <v>0.06</v>
      </c>
      <c r="AA47" s="88">
        <f t="shared" si="88"/>
        <v>0.06</v>
      </c>
      <c r="AB47" s="88">
        <f t="shared" si="88"/>
        <v>0.06</v>
      </c>
      <c r="AC47" s="88">
        <f t="shared" si="88"/>
        <v>0.06</v>
      </c>
      <c r="AD47" s="88">
        <f t="shared" si="88"/>
        <v>0.06</v>
      </c>
      <c r="AE47" s="88">
        <f t="shared" si="88"/>
        <v>0.06</v>
      </c>
      <c r="AF47" s="88">
        <f t="shared" si="88"/>
        <v>0.06</v>
      </c>
      <c r="AG47" s="88">
        <f t="shared" si="88"/>
        <v>0.06</v>
      </c>
      <c r="AH47" s="88">
        <f t="shared" si="88"/>
        <v>0.06</v>
      </c>
      <c r="AI47" s="88">
        <f t="shared" si="88"/>
        <v>0.06</v>
      </c>
      <c r="AJ47" s="88">
        <f t="shared" si="88"/>
        <v>0.06</v>
      </c>
      <c r="AK47" s="88">
        <f t="shared" si="88"/>
        <v>0.06</v>
      </c>
      <c r="AL47" s="88">
        <f t="shared" si="88"/>
        <v>0.06</v>
      </c>
      <c r="AM47" s="88">
        <f t="shared" si="88"/>
        <v>0.06</v>
      </c>
      <c r="AN47" s="88">
        <f t="shared" si="88"/>
        <v>0.06</v>
      </c>
      <c r="AO47" s="88">
        <f t="shared" si="88"/>
        <v>0.06</v>
      </c>
      <c r="AP47" s="88">
        <f t="shared" si="88"/>
        <v>0.06</v>
      </c>
      <c r="AQ47" s="88">
        <f t="shared" si="88"/>
        <v>0.06</v>
      </c>
      <c r="AR47" s="88">
        <f t="shared" si="88"/>
        <v>0.06</v>
      </c>
      <c r="AS47" s="88">
        <f t="shared" si="88"/>
        <v>0.06</v>
      </c>
      <c r="AT47" s="88">
        <f t="shared" si="88"/>
        <v>0.06</v>
      </c>
      <c r="AU47" s="88">
        <f t="shared" si="88"/>
        <v>0.06</v>
      </c>
      <c r="AV47" s="88">
        <f t="shared" si="88"/>
        <v>0.06</v>
      </c>
    </row>
    <row r="48" spans="1:50" hidden="1" outlineLevel="1" x14ac:dyDescent="0.2">
      <c r="A48" s="65" t="str">
        <f ca="1">Language!A406</f>
        <v>Материалы и комплектующие</v>
      </c>
      <c r="C48" s="82" t="str">
        <f ca="1">Language!A471</f>
        <v>% в год</v>
      </c>
      <c r="D48" s="57"/>
      <c r="E48" s="57"/>
      <c r="F48" s="57" t="s">
        <v>756</v>
      </c>
      <c r="G48" s="88">
        <f t="shared" si="88"/>
        <v>0.06</v>
      </c>
      <c r="H48" s="88">
        <f t="shared" si="88"/>
        <v>0.06</v>
      </c>
      <c r="I48" s="88">
        <f t="shared" si="88"/>
        <v>0.06</v>
      </c>
      <c r="J48" s="88">
        <f t="shared" si="88"/>
        <v>0.06</v>
      </c>
      <c r="K48" s="88">
        <f t="shared" si="88"/>
        <v>0.06</v>
      </c>
      <c r="L48" s="88">
        <f t="shared" si="88"/>
        <v>0.06</v>
      </c>
      <c r="M48" s="88">
        <f t="shared" si="88"/>
        <v>0.06</v>
      </c>
      <c r="N48" s="88">
        <f t="shared" si="88"/>
        <v>0.06</v>
      </c>
      <c r="O48" s="88">
        <f t="shared" si="88"/>
        <v>0.06</v>
      </c>
      <c r="P48" s="88">
        <f t="shared" si="88"/>
        <v>0.06</v>
      </c>
      <c r="Q48" s="88">
        <f t="shared" si="88"/>
        <v>0.06</v>
      </c>
      <c r="R48" s="88">
        <f t="shared" si="88"/>
        <v>0.06</v>
      </c>
      <c r="S48" s="88">
        <f t="shared" si="88"/>
        <v>0.06</v>
      </c>
      <c r="T48" s="88">
        <f t="shared" si="88"/>
        <v>0.06</v>
      </c>
      <c r="U48" s="88">
        <f t="shared" si="88"/>
        <v>0.06</v>
      </c>
      <c r="V48" s="88">
        <f t="shared" si="88"/>
        <v>0.06</v>
      </c>
      <c r="W48" s="88">
        <f t="shared" si="88"/>
        <v>0.06</v>
      </c>
      <c r="X48" s="88">
        <f t="shared" si="88"/>
        <v>0.06</v>
      </c>
      <c r="Y48" s="88">
        <f t="shared" si="88"/>
        <v>0.06</v>
      </c>
      <c r="Z48" s="88">
        <f t="shared" si="88"/>
        <v>0.06</v>
      </c>
      <c r="AA48" s="88">
        <f t="shared" si="88"/>
        <v>0.06</v>
      </c>
      <c r="AB48" s="88">
        <f t="shared" si="88"/>
        <v>0.06</v>
      </c>
      <c r="AC48" s="88">
        <f t="shared" si="88"/>
        <v>0.06</v>
      </c>
      <c r="AD48" s="88">
        <f t="shared" si="88"/>
        <v>0.06</v>
      </c>
      <c r="AE48" s="88">
        <f t="shared" si="88"/>
        <v>0.06</v>
      </c>
      <c r="AF48" s="88">
        <f t="shared" si="88"/>
        <v>0.06</v>
      </c>
      <c r="AG48" s="88">
        <f t="shared" si="88"/>
        <v>0.06</v>
      </c>
      <c r="AH48" s="88">
        <f t="shared" si="88"/>
        <v>0.06</v>
      </c>
      <c r="AI48" s="88">
        <f t="shared" si="88"/>
        <v>0.06</v>
      </c>
      <c r="AJ48" s="88">
        <f t="shared" si="88"/>
        <v>0.06</v>
      </c>
      <c r="AK48" s="88">
        <f t="shared" si="88"/>
        <v>0.06</v>
      </c>
      <c r="AL48" s="88">
        <f t="shared" si="88"/>
        <v>0.06</v>
      </c>
      <c r="AM48" s="88">
        <f t="shared" si="88"/>
        <v>0.06</v>
      </c>
      <c r="AN48" s="88">
        <f t="shared" si="88"/>
        <v>0.06</v>
      </c>
      <c r="AO48" s="88">
        <f t="shared" si="88"/>
        <v>0.06</v>
      </c>
      <c r="AP48" s="88">
        <f t="shared" si="88"/>
        <v>0.06</v>
      </c>
      <c r="AQ48" s="88">
        <f t="shared" si="88"/>
        <v>0.06</v>
      </c>
      <c r="AR48" s="88">
        <f t="shared" si="88"/>
        <v>0.06</v>
      </c>
      <c r="AS48" s="88">
        <f t="shared" si="88"/>
        <v>0.06</v>
      </c>
      <c r="AT48" s="88">
        <f t="shared" si="88"/>
        <v>0.06</v>
      </c>
      <c r="AU48" s="88">
        <f t="shared" si="88"/>
        <v>0.06</v>
      </c>
      <c r="AV48" s="88">
        <f t="shared" si="88"/>
        <v>0.06</v>
      </c>
    </row>
    <row r="49" spans="1:48" hidden="1" outlineLevel="1" x14ac:dyDescent="0.2">
      <c r="A49" s="65" t="str">
        <f ca="1">Language!A408</f>
        <v>Постоянные производственные издержки</v>
      </c>
      <c r="C49" s="82" t="str">
        <f ca="1">Language!A471</f>
        <v>% в год</v>
      </c>
      <c r="D49" s="57"/>
      <c r="E49" s="57"/>
      <c r="F49" s="57" t="s">
        <v>756</v>
      </c>
      <c r="G49" s="88">
        <f t="shared" si="88"/>
        <v>0.06</v>
      </c>
      <c r="H49" s="88">
        <f t="shared" si="88"/>
        <v>0.06</v>
      </c>
      <c r="I49" s="88">
        <f t="shared" si="88"/>
        <v>0.06</v>
      </c>
      <c r="J49" s="88">
        <f t="shared" si="88"/>
        <v>0.06</v>
      </c>
      <c r="K49" s="88">
        <f t="shared" si="88"/>
        <v>0.06</v>
      </c>
      <c r="L49" s="88">
        <f t="shared" si="88"/>
        <v>0.06</v>
      </c>
      <c r="M49" s="88">
        <f t="shared" si="88"/>
        <v>0.06</v>
      </c>
      <c r="N49" s="88">
        <f t="shared" si="88"/>
        <v>0.06</v>
      </c>
      <c r="O49" s="88">
        <f t="shared" si="88"/>
        <v>0.06</v>
      </c>
      <c r="P49" s="88">
        <f t="shared" si="88"/>
        <v>0.06</v>
      </c>
      <c r="Q49" s="88">
        <f t="shared" si="88"/>
        <v>0.06</v>
      </c>
      <c r="R49" s="88">
        <f t="shared" si="88"/>
        <v>0.06</v>
      </c>
      <c r="S49" s="88">
        <f t="shared" si="88"/>
        <v>0.06</v>
      </c>
      <c r="T49" s="88">
        <f t="shared" si="88"/>
        <v>0.06</v>
      </c>
      <c r="U49" s="88">
        <f t="shared" si="88"/>
        <v>0.06</v>
      </c>
      <c r="V49" s="88">
        <f t="shared" si="88"/>
        <v>0.06</v>
      </c>
      <c r="W49" s="88">
        <f t="shared" si="88"/>
        <v>0.06</v>
      </c>
      <c r="X49" s="88">
        <f t="shared" si="88"/>
        <v>0.06</v>
      </c>
      <c r="Y49" s="88">
        <f t="shared" si="88"/>
        <v>0.06</v>
      </c>
      <c r="Z49" s="88">
        <f t="shared" si="88"/>
        <v>0.06</v>
      </c>
      <c r="AA49" s="88">
        <f t="shared" si="88"/>
        <v>0.06</v>
      </c>
      <c r="AB49" s="88">
        <f t="shared" si="88"/>
        <v>0.06</v>
      </c>
      <c r="AC49" s="88">
        <f t="shared" si="88"/>
        <v>0.06</v>
      </c>
      <c r="AD49" s="88">
        <f t="shared" si="88"/>
        <v>0.06</v>
      </c>
      <c r="AE49" s="88">
        <f t="shared" si="88"/>
        <v>0.06</v>
      </c>
      <c r="AF49" s="88">
        <f t="shared" si="88"/>
        <v>0.06</v>
      </c>
      <c r="AG49" s="88">
        <f t="shared" si="88"/>
        <v>0.06</v>
      </c>
      <c r="AH49" s="88">
        <f t="shared" si="88"/>
        <v>0.06</v>
      </c>
      <c r="AI49" s="88">
        <f t="shared" si="88"/>
        <v>0.06</v>
      </c>
      <c r="AJ49" s="88">
        <f t="shared" si="88"/>
        <v>0.06</v>
      </c>
      <c r="AK49" s="88">
        <f t="shared" si="88"/>
        <v>0.06</v>
      </c>
      <c r="AL49" s="88">
        <f t="shared" si="88"/>
        <v>0.06</v>
      </c>
      <c r="AM49" s="88">
        <f t="shared" si="88"/>
        <v>0.06</v>
      </c>
      <c r="AN49" s="88">
        <f t="shared" si="88"/>
        <v>0.06</v>
      </c>
      <c r="AO49" s="88">
        <f t="shared" si="88"/>
        <v>0.06</v>
      </c>
      <c r="AP49" s="88">
        <f t="shared" si="88"/>
        <v>0.06</v>
      </c>
      <c r="AQ49" s="88">
        <f t="shared" si="88"/>
        <v>0.06</v>
      </c>
      <c r="AR49" s="88">
        <f t="shared" si="88"/>
        <v>0.06</v>
      </c>
      <c r="AS49" s="88">
        <f t="shared" si="88"/>
        <v>0.06</v>
      </c>
      <c r="AT49" s="88">
        <f t="shared" si="88"/>
        <v>0.06</v>
      </c>
      <c r="AU49" s="88">
        <f t="shared" si="88"/>
        <v>0.06</v>
      </c>
      <c r="AV49" s="88">
        <f t="shared" si="88"/>
        <v>0.06</v>
      </c>
    </row>
    <row r="50" spans="1:48" hidden="1" outlineLevel="1" x14ac:dyDescent="0.2">
      <c r="A50" s="65" t="str">
        <f ca="1">Language!A411</f>
        <v>Персонал</v>
      </c>
      <c r="C50" s="82" t="str">
        <f ca="1">Language!A471</f>
        <v>% в год</v>
      </c>
      <c r="D50" s="57"/>
      <c r="E50" s="57"/>
      <c r="F50" s="57" t="s">
        <v>756</v>
      </c>
      <c r="G50" s="88">
        <f t="shared" si="88"/>
        <v>0.06</v>
      </c>
      <c r="H50" s="88">
        <f t="shared" si="88"/>
        <v>0.06</v>
      </c>
      <c r="I50" s="88">
        <f t="shared" si="88"/>
        <v>0.06</v>
      </c>
      <c r="J50" s="88">
        <f t="shared" si="88"/>
        <v>0.06</v>
      </c>
      <c r="K50" s="88">
        <f t="shared" si="88"/>
        <v>0.06</v>
      </c>
      <c r="L50" s="88">
        <f t="shared" si="88"/>
        <v>0.06</v>
      </c>
      <c r="M50" s="88">
        <f t="shared" si="88"/>
        <v>0.06</v>
      </c>
      <c r="N50" s="88">
        <f t="shared" si="88"/>
        <v>0.06</v>
      </c>
      <c r="O50" s="88">
        <f t="shared" si="88"/>
        <v>0.06</v>
      </c>
      <c r="P50" s="88">
        <f t="shared" si="88"/>
        <v>0.06</v>
      </c>
      <c r="Q50" s="88">
        <f t="shared" si="88"/>
        <v>0.06</v>
      </c>
      <c r="R50" s="88">
        <f t="shared" si="88"/>
        <v>0.06</v>
      </c>
      <c r="S50" s="88">
        <f t="shared" si="88"/>
        <v>0.06</v>
      </c>
      <c r="T50" s="88">
        <f t="shared" si="88"/>
        <v>0.06</v>
      </c>
      <c r="U50" s="88">
        <f t="shared" si="88"/>
        <v>0.06</v>
      </c>
      <c r="V50" s="88">
        <f t="shared" si="88"/>
        <v>0.06</v>
      </c>
      <c r="W50" s="88">
        <f t="shared" si="88"/>
        <v>0.06</v>
      </c>
      <c r="X50" s="88">
        <f t="shared" si="88"/>
        <v>0.06</v>
      </c>
      <c r="Y50" s="88">
        <f t="shared" si="88"/>
        <v>0.06</v>
      </c>
      <c r="Z50" s="88">
        <f t="shared" si="88"/>
        <v>0.06</v>
      </c>
      <c r="AA50" s="88">
        <f t="shared" si="88"/>
        <v>0.06</v>
      </c>
      <c r="AB50" s="88">
        <f t="shared" si="88"/>
        <v>0.06</v>
      </c>
      <c r="AC50" s="88">
        <f t="shared" si="88"/>
        <v>0.06</v>
      </c>
      <c r="AD50" s="88">
        <f t="shared" si="88"/>
        <v>0.06</v>
      </c>
      <c r="AE50" s="88">
        <f t="shared" si="88"/>
        <v>0.06</v>
      </c>
      <c r="AF50" s="88">
        <f t="shared" si="88"/>
        <v>0.06</v>
      </c>
      <c r="AG50" s="88">
        <f t="shared" si="88"/>
        <v>0.06</v>
      </c>
      <c r="AH50" s="88">
        <f t="shared" si="88"/>
        <v>0.06</v>
      </c>
      <c r="AI50" s="88">
        <f t="shared" si="88"/>
        <v>0.06</v>
      </c>
      <c r="AJ50" s="88">
        <f t="shared" si="88"/>
        <v>0.06</v>
      </c>
      <c r="AK50" s="88">
        <f t="shared" si="88"/>
        <v>0.06</v>
      </c>
      <c r="AL50" s="88">
        <f t="shared" si="88"/>
        <v>0.06</v>
      </c>
      <c r="AM50" s="88">
        <f t="shared" si="88"/>
        <v>0.06</v>
      </c>
      <c r="AN50" s="88">
        <f t="shared" si="88"/>
        <v>0.06</v>
      </c>
      <c r="AO50" s="88">
        <f t="shared" si="88"/>
        <v>0.06</v>
      </c>
      <c r="AP50" s="88">
        <f t="shared" si="88"/>
        <v>0.06</v>
      </c>
      <c r="AQ50" s="88">
        <f t="shared" si="88"/>
        <v>0.06</v>
      </c>
      <c r="AR50" s="88">
        <f t="shared" si="88"/>
        <v>0.06</v>
      </c>
      <c r="AS50" s="88">
        <f t="shared" si="88"/>
        <v>0.06</v>
      </c>
      <c r="AT50" s="88">
        <f t="shared" si="88"/>
        <v>0.06</v>
      </c>
      <c r="AU50" s="88">
        <f t="shared" si="88"/>
        <v>0.06</v>
      </c>
      <c r="AV50" s="88">
        <f t="shared" si="88"/>
        <v>0.06</v>
      </c>
    </row>
    <row r="51" spans="1:48" hidden="1" x14ac:dyDescent="0.2">
      <c r="A51" s="79"/>
      <c r="C51" s="82"/>
      <c r="D51" s="57"/>
      <c r="E51" s="57" t="s">
        <v>642</v>
      </c>
      <c r="F51" s="57" t="s">
        <v>641</v>
      </c>
    </row>
    <row r="52" spans="1:48" hidden="1" x14ac:dyDescent="0.2">
      <c r="A52" s="80" t="str">
        <f ca="1">Language!A413</f>
        <v>Вторая валюта</v>
      </c>
      <c r="B52" s="81" t="str">
        <f ca="1">IF(D52&lt;100, OFFSET(Language!A$94,D52,0), SUBSTITUTE(OFFSET(Language!A$114,INT(D52/100),0),"***",OFFSET(Language!A$94,D52-100*INT(D52/100),0)) )</f>
        <v>Японские йены</v>
      </c>
      <c r="C52" s="82"/>
      <c r="D52" s="66">
        <v>0</v>
      </c>
      <c r="E52" s="57"/>
      <c r="F52" s="57"/>
    </row>
    <row r="53" spans="1:48" hidden="1" x14ac:dyDescent="0.2">
      <c r="A53" s="65" t="str">
        <f ca="1">Language!A414 &amp; ", " &amp; CurName1 &amp; " / " &amp; CurName2</f>
        <v>Курс к основной валюте, тыс. руб. / Японские йены</v>
      </c>
      <c r="B53" s="303">
        <v>0</v>
      </c>
      <c r="C53" s="82" t="str">
        <f ca="1">CurName1</f>
        <v>тыс. руб.</v>
      </c>
      <c r="D53" s="57"/>
      <c r="E53" s="57"/>
      <c r="F53" s="57" t="s">
        <v>757</v>
      </c>
      <c r="G53" s="304">
        <f>IF(G$2=1,$B53,F53*(IF($B$40=1,1+G55,1)))</f>
        <v>0</v>
      </c>
      <c r="H53" s="304">
        <f t="shared" ref="H53" si="89">IF(H$2=1,$B53,G53*(IF($B$40=1,1+H55,1)))</f>
        <v>0</v>
      </c>
      <c r="I53" s="304">
        <f t="shared" ref="I53" si="90">IF(I$2=1,$B53,H53*(IF($B$40=1,1+I55,1)))</f>
        <v>0</v>
      </c>
      <c r="J53" s="304">
        <f t="shared" ref="J53" si="91">IF(J$2=1,$B53,I53*(IF($B$40=1,1+J55,1)))</f>
        <v>0</v>
      </c>
      <c r="K53" s="304">
        <f t="shared" ref="K53:AV53" si="92">IF(K$2=1,$B53,J53*(IF($B$40=1,1+K55,1)))</f>
        <v>0</v>
      </c>
      <c r="L53" s="304">
        <f t="shared" si="92"/>
        <v>0</v>
      </c>
      <c r="M53" s="304">
        <f t="shared" si="92"/>
        <v>0</v>
      </c>
      <c r="N53" s="304">
        <f t="shared" si="92"/>
        <v>0</v>
      </c>
      <c r="O53" s="304">
        <f t="shared" si="92"/>
        <v>0</v>
      </c>
      <c r="P53" s="304">
        <f t="shared" si="92"/>
        <v>0</v>
      </c>
      <c r="Q53" s="304">
        <f t="shared" si="92"/>
        <v>0</v>
      </c>
      <c r="R53" s="304">
        <f t="shared" si="92"/>
        <v>0</v>
      </c>
      <c r="S53" s="304">
        <f t="shared" si="92"/>
        <v>0</v>
      </c>
      <c r="T53" s="304">
        <f t="shared" si="92"/>
        <v>0</v>
      </c>
      <c r="U53" s="304">
        <f t="shared" si="92"/>
        <v>0</v>
      </c>
      <c r="V53" s="304">
        <f t="shared" si="92"/>
        <v>0</v>
      </c>
      <c r="W53" s="304">
        <f t="shared" si="92"/>
        <v>0</v>
      </c>
      <c r="X53" s="304">
        <f t="shared" si="92"/>
        <v>0</v>
      </c>
      <c r="Y53" s="304">
        <f t="shared" si="92"/>
        <v>0</v>
      </c>
      <c r="Z53" s="304">
        <f t="shared" si="92"/>
        <v>0</v>
      </c>
      <c r="AA53" s="304">
        <f t="shared" si="92"/>
        <v>0</v>
      </c>
      <c r="AB53" s="304">
        <f t="shared" si="92"/>
        <v>0</v>
      </c>
      <c r="AC53" s="304">
        <f t="shared" si="92"/>
        <v>0</v>
      </c>
      <c r="AD53" s="304">
        <f t="shared" si="92"/>
        <v>0</v>
      </c>
      <c r="AE53" s="304">
        <f t="shared" si="92"/>
        <v>0</v>
      </c>
      <c r="AF53" s="304">
        <f t="shared" si="92"/>
        <v>0</v>
      </c>
      <c r="AG53" s="304">
        <f t="shared" si="92"/>
        <v>0</v>
      </c>
      <c r="AH53" s="304">
        <f t="shared" si="92"/>
        <v>0</v>
      </c>
      <c r="AI53" s="304">
        <f t="shared" si="92"/>
        <v>0</v>
      </c>
      <c r="AJ53" s="304">
        <f t="shared" si="92"/>
        <v>0</v>
      </c>
      <c r="AK53" s="304">
        <f t="shared" si="92"/>
        <v>0</v>
      </c>
      <c r="AL53" s="304">
        <f t="shared" si="92"/>
        <v>0</v>
      </c>
      <c r="AM53" s="304">
        <f t="shared" si="92"/>
        <v>0</v>
      </c>
      <c r="AN53" s="304">
        <f t="shared" si="92"/>
        <v>0</v>
      </c>
      <c r="AO53" s="304">
        <f t="shared" si="92"/>
        <v>0</v>
      </c>
      <c r="AP53" s="304">
        <f t="shared" si="92"/>
        <v>0</v>
      </c>
      <c r="AQ53" s="304">
        <f t="shared" si="92"/>
        <v>0</v>
      </c>
      <c r="AR53" s="304">
        <f t="shared" si="92"/>
        <v>0</v>
      </c>
      <c r="AS53" s="304">
        <f t="shared" si="92"/>
        <v>0</v>
      </c>
      <c r="AT53" s="304">
        <f t="shared" si="92"/>
        <v>0</v>
      </c>
      <c r="AU53" s="304">
        <f t="shared" si="92"/>
        <v>0</v>
      </c>
      <c r="AV53" s="304">
        <f t="shared" si="92"/>
        <v>0</v>
      </c>
    </row>
    <row r="54" spans="1:48" hidden="1" collapsed="1" x14ac:dyDescent="0.2">
      <c r="A54" s="79" t="str">
        <f ca="1">Language!A415</f>
        <v>Темпы роста курса к основной валюте</v>
      </c>
      <c r="C54" s="82" t="str">
        <f ca="1">Language!A471</f>
        <v>% в год</v>
      </c>
      <c r="D54" s="57"/>
      <c r="E54" s="57"/>
      <c r="F54" s="57" t="s">
        <v>756</v>
      </c>
      <c r="G54" s="302">
        <v>0.04</v>
      </c>
      <c r="H54" s="302">
        <f t="shared" ref="H54:AV54" si="93">G54</f>
        <v>0.04</v>
      </c>
      <c r="I54" s="302">
        <f t="shared" si="93"/>
        <v>0.04</v>
      </c>
      <c r="J54" s="302">
        <f t="shared" si="93"/>
        <v>0.04</v>
      </c>
      <c r="K54" s="302">
        <f t="shared" si="93"/>
        <v>0.04</v>
      </c>
      <c r="L54" s="302">
        <f t="shared" si="93"/>
        <v>0.04</v>
      </c>
      <c r="M54" s="302">
        <f t="shared" si="93"/>
        <v>0.04</v>
      </c>
      <c r="N54" s="302">
        <f t="shared" si="93"/>
        <v>0.04</v>
      </c>
      <c r="O54" s="302">
        <f t="shared" si="93"/>
        <v>0.04</v>
      </c>
      <c r="P54" s="302">
        <f t="shared" si="93"/>
        <v>0.04</v>
      </c>
      <c r="Q54" s="302">
        <f t="shared" si="93"/>
        <v>0.04</v>
      </c>
      <c r="R54" s="302">
        <f t="shared" si="93"/>
        <v>0.04</v>
      </c>
      <c r="S54" s="302">
        <f t="shared" si="93"/>
        <v>0.04</v>
      </c>
      <c r="T54" s="302">
        <f t="shared" si="93"/>
        <v>0.04</v>
      </c>
      <c r="U54" s="302">
        <f t="shared" si="93"/>
        <v>0.04</v>
      </c>
      <c r="V54" s="302">
        <f t="shared" si="93"/>
        <v>0.04</v>
      </c>
      <c r="W54" s="302">
        <f t="shared" si="93"/>
        <v>0.04</v>
      </c>
      <c r="X54" s="302">
        <f t="shared" si="93"/>
        <v>0.04</v>
      </c>
      <c r="Y54" s="302">
        <f t="shared" si="93"/>
        <v>0.04</v>
      </c>
      <c r="Z54" s="302">
        <f t="shared" si="93"/>
        <v>0.04</v>
      </c>
      <c r="AA54" s="302">
        <f t="shared" si="93"/>
        <v>0.04</v>
      </c>
      <c r="AB54" s="302">
        <f t="shared" si="93"/>
        <v>0.04</v>
      </c>
      <c r="AC54" s="302">
        <f t="shared" si="93"/>
        <v>0.04</v>
      </c>
      <c r="AD54" s="302">
        <f t="shared" si="93"/>
        <v>0.04</v>
      </c>
      <c r="AE54" s="302">
        <f t="shared" si="93"/>
        <v>0.04</v>
      </c>
      <c r="AF54" s="302">
        <f t="shared" si="93"/>
        <v>0.04</v>
      </c>
      <c r="AG54" s="302">
        <f t="shared" si="93"/>
        <v>0.04</v>
      </c>
      <c r="AH54" s="302">
        <f t="shared" si="93"/>
        <v>0.04</v>
      </c>
      <c r="AI54" s="302">
        <f t="shared" si="93"/>
        <v>0.04</v>
      </c>
      <c r="AJ54" s="302">
        <f t="shared" si="93"/>
        <v>0.04</v>
      </c>
      <c r="AK54" s="302">
        <f t="shared" si="93"/>
        <v>0.04</v>
      </c>
      <c r="AL54" s="302">
        <f t="shared" si="93"/>
        <v>0.04</v>
      </c>
      <c r="AM54" s="302">
        <f t="shared" si="93"/>
        <v>0.04</v>
      </c>
      <c r="AN54" s="302">
        <f t="shared" si="93"/>
        <v>0.04</v>
      </c>
      <c r="AO54" s="302">
        <f t="shared" si="93"/>
        <v>0.04</v>
      </c>
      <c r="AP54" s="302">
        <f t="shared" si="93"/>
        <v>0.04</v>
      </c>
      <c r="AQ54" s="302">
        <f t="shared" si="93"/>
        <v>0.04</v>
      </c>
      <c r="AR54" s="302">
        <f t="shared" si="93"/>
        <v>0.04</v>
      </c>
      <c r="AS54" s="302">
        <f t="shared" si="93"/>
        <v>0.04</v>
      </c>
      <c r="AT54" s="302">
        <f t="shared" si="93"/>
        <v>0.04</v>
      </c>
      <c r="AU54" s="302">
        <f t="shared" si="93"/>
        <v>0.04</v>
      </c>
      <c r="AV54" s="302">
        <f t="shared" si="93"/>
        <v>0.04</v>
      </c>
    </row>
    <row r="55" spans="1:48" hidden="1" outlineLevel="1" x14ac:dyDescent="0.2">
      <c r="A55" s="79" t="str">
        <f ca="1">Language!A416</f>
        <v>То же, в пересчете на период, равный шагу проекта</v>
      </c>
      <c r="C55" s="82" t="s">
        <v>1</v>
      </c>
      <c r="D55" s="57"/>
      <c r="E55" s="57"/>
      <c r="F55" s="57" t="s">
        <v>756</v>
      </c>
      <c r="G55" s="89">
        <f t="shared" ref="G55:AV55" si="94">POWER(1+G54,G$30/360)-1</f>
        <v>9.8534065489688238E-3</v>
      </c>
      <c r="H55" s="89">
        <f t="shared" si="94"/>
        <v>9.8534065489688238E-3</v>
      </c>
      <c r="I55" s="89">
        <f t="shared" si="94"/>
        <v>9.8534065489688238E-3</v>
      </c>
      <c r="J55" s="89">
        <f t="shared" si="94"/>
        <v>9.8534065489688238E-3</v>
      </c>
      <c r="K55" s="89">
        <f t="shared" si="94"/>
        <v>9.8534065489688238E-3</v>
      </c>
      <c r="L55" s="89">
        <f t="shared" si="94"/>
        <v>9.8534065489688238E-3</v>
      </c>
      <c r="M55" s="89">
        <f t="shared" si="94"/>
        <v>9.8534065489688238E-3</v>
      </c>
      <c r="N55" s="89">
        <f t="shared" si="94"/>
        <v>9.8534065489688238E-3</v>
      </c>
      <c r="O55" s="89">
        <f t="shared" si="94"/>
        <v>9.8534065489688238E-3</v>
      </c>
      <c r="P55" s="89">
        <f t="shared" si="94"/>
        <v>9.8534065489688238E-3</v>
      </c>
      <c r="Q55" s="89">
        <f t="shared" si="94"/>
        <v>9.8534065489688238E-3</v>
      </c>
      <c r="R55" s="89">
        <f t="shared" si="94"/>
        <v>9.8534065489688238E-3</v>
      </c>
      <c r="S55" s="89">
        <f t="shared" si="94"/>
        <v>9.8534065489688238E-3</v>
      </c>
      <c r="T55" s="89">
        <f t="shared" si="94"/>
        <v>9.8534065489688238E-3</v>
      </c>
      <c r="U55" s="89">
        <f t="shared" si="94"/>
        <v>9.8534065489688238E-3</v>
      </c>
      <c r="V55" s="89">
        <f t="shared" si="94"/>
        <v>9.8534065489688238E-3</v>
      </c>
      <c r="W55" s="89">
        <f t="shared" si="94"/>
        <v>9.8534065489688238E-3</v>
      </c>
      <c r="X55" s="89">
        <f t="shared" si="94"/>
        <v>9.8534065489688238E-3</v>
      </c>
      <c r="Y55" s="89">
        <f t="shared" si="94"/>
        <v>9.8534065489688238E-3</v>
      </c>
      <c r="Z55" s="89">
        <f t="shared" si="94"/>
        <v>9.8534065489688238E-3</v>
      </c>
      <c r="AA55" s="89">
        <f t="shared" si="94"/>
        <v>9.8534065489688238E-3</v>
      </c>
      <c r="AB55" s="89">
        <f t="shared" si="94"/>
        <v>9.8534065489688238E-3</v>
      </c>
      <c r="AC55" s="89">
        <f t="shared" si="94"/>
        <v>9.8534065489688238E-3</v>
      </c>
      <c r="AD55" s="89">
        <f t="shared" si="94"/>
        <v>9.8534065489688238E-3</v>
      </c>
      <c r="AE55" s="89">
        <f t="shared" si="94"/>
        <v>9.8534065489688238E-3</v>
      </c>
      <c r="AF55" s="89">
        <f t="shared" si="94"/>
        <v>9.8534065489688238E-3</v>
      </c>
      <c r="AG55" s="89">
        <f t="shared" si="94"/>
        <v>9.8534065489688238E-3</v>
      </c>
      <c r="AH55" s="89">
        <f t="shared" si="94"/>
        <v>9.8534065489688238E-3</v>
      </c>
      <c r="AI55" s="89">
        <f t="shared" si="94"/>
        <v>9.8534065489688238E-3</v>
      </c>
      <c r="AJ55" s="89">
        <f t="shared" si="94"/>
        <v>9.8534065489688238E-3</v>
      </c>
      <c r="AK55" s="89">
        <f t="shared" si="94"/>
        <v>9.8534065489688238E-3</v>
      </c>
      <c r="AL55" s="89">
        <f t="shared" si="94"/>
        <v>9.8534065489688238E-3</v>
      </c>
      <c r="AM55" s="89">
        <f t="shared" si="94"/>
        <v>9.8534065489688238E-3</v>
      </c>
      <c r="AN55" s="89">
        <f t="shared" si="94"/>
        <v>9.8534065489688238E-3</v>
      </c>
      <c r="AO55" s="89">
        <f t="shared" si="94"/>
        <v>9.8534065489688238E-3</v>
      </c>
      <c r="AP55" s="89">
        <f t="shared" si="94"/>
        <v>9.8534065489688238E-3</v>
      </c>
      <c r="AQ55" s="89">
        <f t="shared" si="94"/>
        <v>9.8534065489688238E-3</v>
      </c>
      <c r="AR55" s="89">
        <f t="shared" si="94"/>
        <v>9.8534065489688238E-3</v>
      </c>
      <c r="AS55" s="89">
        <f t="shared" si="94"/>
        <v>9.8534065489688238E-3</v>
      </c>
      <c r="AT55" s="89">
        <f t="shared" si="94"/>
        <v>9.8534065489688238E-3</v>
      </c>
      <c r="AU55" s="89">
        <f t="shared" si="94"/>
        <v>9.8534065489688238E-3</v>
      </c>
      <c r="AV55" s="89">
        <f t="shared" si="94"/>
        <v>9.8534065489688238E-3</v>
      </c>
    </row>
    <row r="56" spans="1:48" hidden="1" x14ac:dyDescent="0.2">
      <c r="A56" s="65" t="str">
        <f ca="1">Language!A417</f>
        <v>Предполагаемый темп годового роста цен</v>
      </c>
      <c r="C56" s="82" t="str">
        <f ca="1">Language!A471</f>
        <v>% в год</v>
      </c>
      <c r="D56" s="57"/>
      <c r="E56" s="57"/>
      <c r="F56" s="57" t="s">
        <v>756</v>
      </c>
      <c r="G56" s="302">
        <v>0.02</v>
      </c>
      <c r="H56" s="302">
        <f t="shared" ref="H56:AV56" si="95">G56</f>
        <v>0.02</v>
      </c>
      <c r="I56" s="302">
        <f t="shared" si="95"/>
        <v>0.02</v>
      </c>
      <c r="J56" s="302">
        <f t="shared" si="95"/>
        <v>0.02</v>
      </c>
      <c r="K56" s="302">
        <f t="shared" si="95"/>
        <v>0.02</v>
      </c>
      <c r="L56" s="302">
        <f t="shared" si="95"/>
        <v>0.02</v>
      </c>
      <c r="M56" s="302">
        <f t="shared" si="95"/>
        <v>0.02</v>
      </c>
      <c r="N56" s="302">
        <f t="shared" si="95"/>
        <v>0.02</v>
      </c>
      <c r="O56" s="302">
        <f t="shared" si="95"/>
        <v>0.02</v>
      </c>
      <c r="P56" s="302">
        <f t="shared" si="95"/>
        <v>0.02</v>
      </c>
      <c r="Q56" s="302">
        <f t="shared" si="95"/>
        <v>0.02</v>
      </c>
      <c r="R56" s="302">
        <f t="shared" si="95"/>
        <v>0.02</v>
      </c>
      <c r="S56" s="302">
        <f t="shared" si="95"/>
        <v>0.02</v>
      </c>
      <c r="T56" s="302">
        <f t="shared" si="95"/>
        <v>0.02</v>
      </c>
      <c r="U56" s="302">
        <f t="shared" si="95"/>
        <v>0.02</v>
      </c>
      <c r="V56" s="302">
        <f t="shared" si="95"/>
        <v>0.02</v>
      </c>
      <c r="W56" s="302">
        <f t="shared" si="95"/>
        <v>0.02</v>
      </c>
      <c r="X56" s="302">
        <f t="shared" si="95"/>
        <v>0.02</v>
      </c>
      <c r="Y56" s="302">
        <f t="shared" si="95"/>
        <v>0.02</v>
      </c>
      <c r="Z56" s="302">
        <f t="shared" si="95"/>
        <v>0.02</v>
      </c>
      <c r="AA56" s="302">
        <f t="shared" si="95"/>
        <v>0.02</v>
      </c>
      <c r="AB56" s="302">
        <f t="shared" si="95"/>
        <v>0.02</v>
      </c>
      <c r="AC56" s="302">
        <f t="shared" si="95"/>
        <v>0.02</v>
      </c>
      <c r="AD56" s="302">
        <f t="shared" si="95"/>
        <v>0.02</v>
      </c>
      <c r="AE56" s="302">
        <f t="shared" si="95"/>
        <v>0.02</v>
      </c>
      <c r="AF56" s="302">
        <f t="shared" si="95"/>
        <v>0.02</v>
      </c>
      <c r="AG56" s="302">
        <f t="shared" si="95"/>
        <v>0.02</v>
      </c>
      <c r="AH56" s="302">
        <f t="shared" si="95"/>
        <v>0.02</v>
      </c>
      <c r="AI56" s="302">
        <f t="shared" si="95"/>
        <v>0.02</v>
      </c>
      <c r="AJ56" s="302">
        <f t="shared" si="95"/>
        <v>0.02</v>
      </c>
      <c r="AK56" s="302">
        <f t="shared" si="95"/>
        <v>0.02</v>
      </c>
      <c r="AL56" s="302">
        <f t="shared" si="95"/>
        <v>0.02</v>
      </c>
      <c r="AM56" s="302">
        <f t="shared" si="95"/>
        <v>0.02</v>
      </c>
      <c r="AN56" s="302">
        <f t="shared" si="95"/>
        <v>0.02</v>
      </c>
      <c r="AO56" s="302">
        <f t="shared" si="95"/>
        <v>0.02</v>
      </c>
      <c r="AP56" s="302">
        <f t="shared" si="95"/>
        <v>0.02</v>
      </c>
      <c r="AQ56" s="302">
        <f t="shared" si="95"/>
        <v>0.02</v>
      </c>
      <c r="AR56" s="302">
        <f t="shared" si="95"/>
        <v>0.02</v>
      </c>
      <c r="AS56" s="302">
        <f t="shared" si="95"/>
        <v>0.02</v>
      </c>
      <c r="AT56" s="302">
        <f t="shared" si="95"/>
        <v>0.02</v>
      </c>
      <c r="AU56" s="302">
        <f t="shared" si="95"/>
        <v>0.02</v>
      </c>
      <c r="AV56" s="302">
        <f t="shared" si="95"/>
        <v>0.02</v>
      </c>
    </row>
    <row r="57" spans="1:48" hidden="1" x14ac:dyDescent="0.2">
      <c r="A57" s="65"/>
      <c r="D57" s="57"/>
      <c r="E57" s="57" t="s">
        <v>643</v>
      </c>
      <c r="F57" s="57" t="s">
        <v>641</v>
      </c>
    </row>
    <row r="58" spans="1:48" hidden="1" x14ac:dyDescent="0.2">
      <c r="A58" s="80" t="str">
        <f ca="1">Language!A418</f>
        <v>Третья валюта</v>
      </c>
      <c r="B58" s="81" t="str">
        <f ca="1">IF(D58=0, "", IF(D58&lt;100, OFFSET(Language!A$94,D58,0), SUBSTITUTE(OFFSET(Language!A$114,INT(D58/100),0),"***",OFFSET(Language!A$94,D58-100*INT(D58/100),0)) ))</f>
        <v/>
      </c>
      <c r="C58" s="82"/>
      <c r="D58" s="66">
        <v>0</v>
      </c>
      <c r="E58" s="57"/>
      <c r="F58" s="57"/>
    </row>
    <row r="59" spans="1:48" hidden="1" x14ac:dyDescent="0.2">
      <c r="A59" s="65" t="str">
        <f ca="1">Language!A414 &amp; ", " &amp; CurName1 &amp; " / " &amp; CurName3</f>
        <v xml:space="preserve">Курс к основной валюте, тыс. руб. / </v>
      </c>
      <c r="B59" s="303">
        <v>0</v>
      </c>
      <c r="C59" s="82" t="str">
        <f ca="1">CurName1</f>
        <v>тыс. руб.</v>
      </c>
      <c r="D59" s="57"/>
      <c r="E59" s="57"/>
      <c r="F59" s="57" t="s">
        <v>757</v>
      </c>
      <c r="G59" s="304">
        <f>IF(G$2=1,$B59,F59*(IF($B$40=1,1+G61,1)))</f>
        <v>0</v>
      </c>
      <c r="H59" s="304">
        <f t="shared" ref="H59:AV59" si="96">IF(H$2=1,$B59,G59*(IF($B$40=1,1+H61,1)))</f>
        <v>0</v>
      </c>
      <c r="I59" s="304">
        <f t="shared" si="96"/>
        <v>0</v>
      </c>
      <c r="J59" s="304">
        <f t="shared" si="96"/>
        <v>0</v>
      </c>
      <c r="K59" s="304">
        <f t="shared" si="96"/>
        <v>0</v>
      </c>
      <c r="L59" s="304">
        <f t="shared" si="96"/>
        <v>0</v>
      </c>
      <c r="M59" s="304">
        <f t="shared" si="96"/>
        <v>0</v>
      </c>
      <c r="N59" s="304">
        <f t="shared" si="96"/>
        <v>0</v>
      </c>
      <c r="O59" s="304">
        <f t="shared" si="96"/>
        <v>0</v>
      </c>
      <c r="P59" s="304">
        <f t="shared" si="96"/>
        <v>0</v>
      </c>
      <c r="Q59" s="304">
        <f t="shared" si="96"/>
        <v>0</v>
      </c>
      <c r="R59" s="304">
        <f t="shared" si="96"/>
        <v>0</v>
      </c>
      <c r="S59" s="304">
        <f t="shared" si="96"/>
        <v>0</v>
      </c>
      <c r="T59" s="304">
        <f t="shared" si="96"/>
        <v>0</v>
      </c>
      <c r="U59" s="304">
        <f t="shared" si="96"/>
        <v>0</v>
      </c>
      <c r="V59" s="304">
        <f t="shared" si="96"/>
        <v>0</v>
      </c>
      <c r="W59" s="304">
        <f t="shared" si="96"/>
        <v>0</v>
      </c>
      <c r="X59" s="304">
        <f t="shared" si="96"/>
        <v>0</v>
      </c>
      <c r="Y59" s="304">
        <f t="shared" si="96"/>
        <v>0</v>
      </c>
      <c r="Z59" s="304">
        <f t="shared" si="96"/>
        <v>0</v>
      </c>
      <c r="AA59" s="304">
        <f t="shared" si="96"/>
        <v>0</v>
      </c>
      <c r="AB59" s="304">
        <f t="shared" si="96"/>
        <v>0</v>
      </c>
      <c r="AC59" s="304">
        <f t="shared" si="96"/>
        <v>0</v>
      </c>
      <c r="AD59" s="304">
        <f t="shared" si="96"/>
        <v>0</v>
      </c>
      <c r="AE59" s="304">
        <f t="shared" si="96"/>
        <v>0</v>
      </c>
      <c r="AF59" s="304">
        <f t="shared" si="96"/>
        <v>0</v>
      </c>
      <c r="AG59" s="304">
        <f t="shared" si="96"/>
        <v>0</v>
      </c>
      <c r="AH59" s="304">
        <f t="shared" si="96"/>
        <v>0</v>
      </c>
      <c r="AI59" s="304">
        <f t="shared" si="96"/>
        <v>0</v>
      </c>
      <c r="AJ59" s="304">
        <f t="shared" si="96"/>
        <v>0</v>
      </c>
      <c r="AK59" s="304">
        <f t="shared" si="96"/>
        <v>0</v>
      </c>
      <c r="AL59" s="304">
        <f t="shared" si="96"/>
        <v>0</v>
      </c>
      <c r="AM59" s="304">
        <f t="shared" si="96"/>
        <v>0</v>
      </c>
      <c r="AN59" s="304">
        <f t="shared" si="96"/>
        <v>0</v>
      </c>
      <c r="AO59" s="304">
        <f t="shared" si="96"/>
        <v>0</v>
      </c>
      <c r="AP59" s="304">
        <f t="shared" si="96"/>
        <v>0</v>
      </c>
      <c r="AQ59" s="304">
        <f t="shared" si="96"/>
        <v>0</v>
      </c>
      <c r="AR59" s="304">
        <f t="shared" si="96"/>
        <v>0</v>
      </c>
      <c r="AS59" s="304">
        <f t="shared" si="96"/>
        <v>0</v>
      </c>
      <c r="AT59" s="304">
        <f t="shared" si="96"/>
        <v>0</v>
      </c>
      <c r="AU59" s="304">
        <f t="shared" si="96"/>
        <v>0</v>
      </c>
      <c r="AV59" s="304">
        <f t="shared" si="96"/>
        <v>0</v>
      </c>
    </row>
    <row r="60" spans="1:48" hidden="1" collapsed="1" x14ac:dyDescent="0.2">
      <c r="A60" s="79" t="str">
        <f ca="1">Language!A415</f>
        <v>Темпы роста курса к основной валюте</v>
      </c>
      <c r="C60" s="82" t="str">
        <f ca="1">Language!A471</f>
        <v>% в год</v>
      </c>
      <c r="D60" s="57"/>
      <c r="E60" s="57"/>
      <c r="F60" s="57" t="s">
        <v>756</v>
      </c>
      <c r="G60" s="302">
        <v>0.04</v>
      </c>
      <c r="H60" s="302">
        <f t="shared" ref="H60:AV60" si="97">G60</f>
        <v>0.04</v>
      </c>
      <c r="I60" s="302">
        <f t="shared" si="97"/>
        <v>0.04</v>
      </c>
      <c r="J60" s="302">
        <f t="shared" si="97"/>
        <v>0.04</v>
      </c>
      <c r="K60" s="302">
        <f t="shared" si="97"/>
        <v>0.04</v>
      </c>
      <c r="L60" s="302">
        <f t="shared" si="97"/>
        <v>0.04</v>
      </c>
      <c r="M60" s="302">
        <f t="shared" si="97"/>
        <v>0.04</v>
      </c>
      <c r="N60" s="302">
        <f t="shared" si="97"/>
        <v>0.04</v>
      </c>
      <c r="O60" s="302">
        <f t="shared" si="97"/>
        <v>0.04</v>
      </c>
      <c r="P60" s="302">
        <f t="shared" si="97"/>
        <v>0.04</v>
      </c>
      <c r="Q60" s="302">
        <f t="shared" si="97"/>
        <v>0.04</v>
      </c>
      <c r="R60" s="302">
        <f t="shared" si="97"/>
        <v>0.04</v>
      </c>
      <c r="S60" s="302">
        <f t="shared" si="97"/>
        <v>0.04</v>
      </c>
      <c r="T60" s="302">
        <f t="shared" si="97"/>
        <v>0.04</v>
      </c>
      <c r="U60" s="302">
        <f t="shared" si="97"/>
        <v>0.04</v>
      </c>
      <c r="V60" s="302">
        <f t="shared" si="97"/>
        <v>0.04</v>
      </c>
      <c r="W60" s="302">
        <f t="shared" si="97"/>
        <v>0.04</v>
      </c>
      <c r="X60" s="302">
        <f t="shared" si="97"/>
        <v>0.04</v>
      </c>
      <c r="Y60" s="302">
        <f t="shared" si="97"/>
        <v>0.04</v>
      </c>
      <c r="Z60" s="302">
        <f t="shared" si="97"/>
        <v>0.04</v>
      </c>
      <c r="AA60" s="302">
        <f t="shared" si="97"/>
        <v>0.04</v>
      </c>
      <c r="AB60" s="302">
        <f t="shared" si="97"/>
        <v>0.04</v>
      </c>
      <c r="AC60" s="302">
        <f t="shared" si="97"/>
        <v>0.04</v>
      </c>
      <c r="AD60" s="302">
        <f t="shared" si="97"/>
        <v>0.04</v>
      </c>
      <c r="AE60" s="302">
        <f t="shared" si="97"/>
        <v>0.04</v>
      </c>
      <c r="AF60" s="302">
        <f t="shared" si="97"/>
        <v>0.04</v>
      </c>
      <c r="AG60" s="302">
        <f t="shared" si="97"/>
        <v>0.04</v>
      </c>
      <c r="AH60" s="302">
        <f t="shared" si="97"/>
        <v>0.04</v>
      </c>
      <c r="AI60" s="302">
        <f t="shared" si="97"/>
        <v>0.04</v>
      </c>
      <c r="AJ60" s="302">
        <f t="shared" si="97"/>
        <v>0.04</v>
      </c>
      <c r="AK60" s="302">
        <f t="shared" si="97"/>
        <v>0.04</v>
      </c>
      <c r="AL60" s="302">
        <f t="shared" si="97"/>
        <v>0.04</v>
      </c>
      <c r="AM60" s="302">
        <f t="shared" si="97"/>
        <v>0.04</v>
      </c>
      <c r="AN60" s="302">
        <f t="shared" si="97"/>
        <v>0.04</v>
      </c>
      <c r="AO60" s="302">
        <f t="shared" si="97"/>
        <v>0.04</v>
      </c>
      <c r="AP60" s="302">
        <f t="shared" si="97"/>
        <v>0.04</v>
      </c>
      <c r="AQ60" s="302">
        <f t="shared" si="97"/>
        <v>0.04</v>
      </c>
      <c r="AR60" s="302">
        <f t="shared" si="97"/>
        <v>0.04</v>
      </c>
      <c r="AS60" s="302">
        <f t="shared" si="97"/>
        <v>0.04</v>
      </c>
      <c r="AT60" s="302">
        <f t="shared" si="97"/>
        <v>0.04</v>
      </c>
      <c r="AU60" s="302">
        <f t="shared" si="97"/>
        <v>0.04</v>
      </c>
      <c r="AV60" s="302">
        <f t="shared" si="97"/>
        <v>0.04</v>
      </c>
    </row>
    <row r="61" spans="1:48" hidden="1" outlineLevel="1" x14ac:dyDescent="0.2">
      <c r="A61" s="79" t="str">
        <f ca="1">Language!A416</f>
        <v>То же, в пересчете на период, равный шагу проекта</v>
      </c>
      <c r="C61" s="82" t="s">
        <v>1</v>
      </c>
      <c r="D61" s="57"/>
      <c r="E61" s="57"/>
      <c r="F61" s="57" t="s">
        <v>756</v>
      </c>
      <c r="G61" s="89">
        <f t="shared" ref="G61:AV61" si="98">POWER(1+G60,G$30/360)-1</f>
        <v>9.8534065489688238E-3</v>
      </c>
      <c r="H61" s="89">
        <f t="shared" si="98"/>
        <v>9.8534065489688238E-3</v>
      </c>
      <c r="I61" s="89">
        <f t="shared" si="98"/>
        <v>9.8534065489688238E-3</v>
      </c>
      <c r="J61" s="89">
        <f t="shared" si="98"/>
        <v>9.8534065489688238E-3</v>
      </c>
      <c r="K61" s="89">
        <f t="shared" si="98"/>
        <v>9.8534065489688238E-3</v>
      </c>
      <c r="L61" s="89">
        <f t="shared" si="98"/>
        <v>9.8534065489688238E-3</v>
      </c>
      <c r="M61" s="89">
        <f t="shared" si="98"/>
        <v>9.8534065489688238E-3</v>
      </c>
      <c r="N61" s="89">
        <f t="shared" si="98"/>
        <v>9.8534065489688238E-3</v>
      </c>
      <c r="O61" s="89">
        <f t="shared" si="98"/>
        <v>9.8534065489688238E-3</v>
      </c>
      <c r="P61" s="89">
        <f t="shared" si="98"/>
        <v>9.8534065489688238E-3</v>
      </c>
      <c r="Q61" s="89">
        <f t="shared" si="98"/>
        <v>9.8534065489688238E-3</v>
      </c>
      <c r="R61" s="89">
        <f t="shared" si="98"/>
        <v>9.8534065489688238E-3</v>
      </c>
      <c r="S61" s="89">
        <f t="shared" si="98"/>
        <v>9.8534065489688238E-3</v>
      </c>
      <c r="T61" s="89">
        <f t="shared" si="98"/>
        <v>9.8534065489688238E-3</v>
      </c>
      <c r="U61" s="89">
        <f t="shared" si="98"/>
        <v>9.8534065489688238E-3</v>
      </c>
      <c r="V61" s="89">
        <f t="shared" si="98"/>
        <v>9.8534065489688238E-3</v>
      </c>
      <c r="W61" s="89">
        <f t="shared" si="98"/>
        <v>9.8534065489688238E-3</v>
      </c>
      <c r="X61" s="89">
        <f t="shared" si="98"/>
        <v>9.8534065489688238E-3</v>
      </c>
      <c r="Y61" s="89">
        <f t="shared" si="98"/>
        <v>9.8534065489688238E-3</v>
      </c>
      <c r="Z61" s="89">
        <f t="shared" si="98"/>
        <v>9.8534065489688238E-3</v>
      </c>
      <c r="AA61" s="89">
        <f t="shared" si="98"/>
        <v>9.8534065489688238E-3</v>
      </c>
      <c r="AB61" s="89">
        <f t="shared" si="98"/>
        <v>9.8534065489688238E-3</v>
      </c>
      <c r="AC61" s="89">
        <f t="shared" si="98"/>
        <v>9.8534065489688238E-3</v>
      </c>
      <c r="AD61" s="89">
        <f t="shared" si="98"/>
        <v>9.8534065489688238E-3</v>
      </c>
      <c r="AE61" s="89">
        <f t="shared" si="98"/>
        <v>9.8534065489688238E-3</v>
      </c>
      <c r="AF61" s="89">
        <f t="shared" si="98"/>
        <v>9.8534065489688238E-3</v>
      </c>
      <c r="AG61" s="89">
        <f t="shared" si="98"/>
        <v>9.8534065489688238E-3</v>
      </c>
      <c r="AH61" s="89">
        <f t="shared" si="98"/>
        <v>9.8534065489688238E-3</v>
      </c>
      <c r="AI61" s="89">
        <f t="shared" si="98"/>
        <v>9.8534065489688238E-3</v>
      </c>
      <c r="AJ61" s="89">
        <f t="shared" si="98"/>
        <v>9.8534065489688238E-3</v>
      </c>
      <c r="AK61" s="89">
        <f t="shared" si="98"/>
        <v>9.8534065489688238E-3</v>
      </c>
      <c r="AL61" s="89">
        <f t="shared" si="98"/>
        <v>9.8534065489688238E-3</v>
      </c>
      <c r="AM61" s="89">
        <f t="shared" si="98"/>
        <v>9.8534065489688238E-3</v>
      </c>
      <c r="AN61" s="89">
        <f t="shared" si="98"/>
        <v>9.8534065489688238E-3</v>
      </c>
      <c r="AO61" s="89">
        <f t="shared" si="98"/>
        <v>9.8534065489688238E-3</v>
      </c>
      <c r="AP61" s="89">
        <f t="shared" si="98"/>
        <v>9.8534065489688238E-3</v>
      </c>
      <c r="AQ61" s="89">
        <f t="shared" si="98"/>
        <v>9.8534065489688238E-3</v>
      </c>
      <c r="AR61" s="89">
        <f t="shared" si="98"/>
        <v>9.8534065489688238E-3</v>
      </c>
      <c r="AS61" s="89">
        <f t="shared" si="98"/>
        <v>9.8534065489688238E-3</v>
      </c>
      <c r="AT61" s="89">
        <f t="shared" si="98"/>
        <v>9.8534065489688238E-3</v>
      </c>
      <c r="AU61" s="89">
        <f t="shared" si="98"/>
        <v>9.8534065489688238E-3</v>
      </c>
      <c r="AV61" s="89">
        <f t="shared" si="98"/>
        <v>9.8534065489688238E-3</v>
      </c>
    </row>
    <row r="62" spans="1:48" hidden="1" x14ac:dyDescent="0.2">
      <c r="A62" s="65" t="str">
        <f ca="1">Language!A417</f>
        <v>Предполагаемый темп годового роста цен</v>
      </c>
      <c r="C62" s="82" t="str">
        <f ca="1">Language!A471</f>
        <v>% в год</v>
      </c>
      <c r="D62" s="57"/>
      <c r="E62" s="57"/>
      <c r="F62" s="57" t="s">
        <v>756</v>
      </c>
      <c r="G62" s="302">
        <v>0.02</v>
      </c>
      <c r="H62" s="302">
        <f t="shared" ref="H62:AV62" si="99">G62</f>
        <v>0.02</v>
      </c>
      <c r="I62" s="302">
        <f t="shared" si="99"/>
        <v>0.02</v>
      </c>
      <c r="J62" s="302">
        <f t="shared" si="99"/>
        <v>0.02</v>
      </c>
      <c r="K62" s="302">
        <f t="shared" si="99"/>
        <v>0.02</v>
      </c>
      <c r="L62" s="302">
        <f t="shared" si="99"/>
        <v>0.02</v>
      </c>
      <c r="M62" s="302">
        <f t="shared" si="99"/>
        <v>0.02</v>
      </c>
      <c r="N62" s="302">
        <f t="shared" si="99"/>
        <v>0.02</v>
      </c>
      <c r="O62" s="302">
        <f t="shared" si="99"/>
        <v>0.02</v>
      </c>
      <c r="P62" s="302">
        <f t="shared" si="99"/>
        <v>0.02</v>
      </c>
      <c r="Q62" s="302">
        <f t="shared" si="99"/>
        <v>0.02</v>
      </c>
      <c r="R62" s="302">
        <f t="shared" si="99"/>
        <v>0.02</v>
      </c>
      <c r="S62" s="302">
        <f t="shared" si="99"/>
        <v>0.02</v>
      </c>
      <c r="T62" s="302">
        <f t="shared" si="99"/>
        <v>0.02</v>
      </c>
      <c r="U62" s="302">
        <f t="shared" si="99"/>
        <v>0.02</v>
      </c>
      <c r="V62" s="302">
        <f t="shared" si="99"/>
        <v>0.02</v>
      </c>
      <c r="W62" s="302">
        <f t="shared" si="99"/>
        <v>0.02</v>
      </c>
      <c r="X62" s="302">
        <f t="shared" si="99"/>
        <v>0.02</v>
      </c>
      <c r="Y62" s="302">
        <f t="shared" si="99"/>
        <v>0.02</v>
      </c>
      <c r="Z62" s="302">
        <f t="shared" si="99"/>
        <v>0.02</v>
      </c>
      <c r="AA62" s="302">
        <f t="shared" si="99"/>
        <v>0.02</v>
      </c>
      <c r="AB62" s="302">
        <f t="shared" si="99"/>
        <v>0.02</v>
      </c>
      <c r="AC62" s="302">
        <f t="shared" si="99"/>
        <v>0.02</v>
      </c>
      <c r="AD62" s="302">
        <f t="shared" si="99"/>
        <v>0.02</v>
      </c>
      <c r="AE62" s="302">
        <f t="shared" si="99"/>
        <v>0.02</v>
      </c>
      <c r="AF62" s="302">
        <f t="shared" si="99"/>
        <v>0.02</v>
      </c>
      <c r="AG62" s="302">
        <f t="shared" si="99"/>
        <v>0.02</v>
      </c>
      <c r="AH62" s="302">
        <f t="shared" si="99"/>
        <v>0.02</v>
      </c>
      <c r="AI62" s="302">
        <f t="shared" si="99"/>
        <v>0.02</v>
      </c>
      <c r="AJ62" s="302">
        <f t="shared" si="99"/>
        <v>0.02</v>
      </c>
      <c r="AK62" s="302">
        <f t="shared" si="99"/>
        <v>0.02</v>
      </c>
      <c r="AL62" s="302">
        <f t="shared" si="99"/>
        <v>0.02</v>
      </c>
      <c r="AM62" s="302">
        <f t="shared" si="99"/>
        <v>0.02</v>
      </c>
      <c r="AN62" s="302">
        <f t="shared" si="99"/>
        <v>0.02</v>
      </c>
      <c r="AO62" s="302">
        <f t="shared" si="99"/>
        <v>0.02</v>
      </c>
      <c r="AP62" s="302">
        <f t="shared" si="99"/>
        <v>0.02</v>
      </c>
      <c r="AQ62" s="302">
        <f t="shared" si="99"/>
        <v>0.02</v>
      </c>
      <c r="AR62" s="302">
        <f t="shared" si="99"/>
        <v>0.02</v>
      </c>
      <c r="AS62" s="302">
        <f t="shared" si="99"/>
        <v>0.02</v>
      </c>
      <c r="AT62" s="302">
        <f t="shared" si="99"/>
        <v>0.02</v>
      </c>
      <c r="AU62" s="302">
        <f t="shared" si="99"/>
        <v>0.02</v>
      </c>
      <c r="AV62" s="302">
        <f t="shared" si="99"/>
        <v>0.02</v>
      </c>
    </row>
    <row r="63" spans="1:48" x14ac:dyDescent="0.2">
      <c r="A63" s="79"/>
      <c r="C63" s="82"/>
      <c r="D63" s="57"/>
      <c r="E63" s="57"/>
      <c r="F63" s="57"/>
    </row>
    <row r="64" spans="1:48" x14ac:dyDescent="0.2">
      <c r="A64" s="65" t="str">
        <f ca="1">Language!A412</f>
        <v>Валюта отчетности и ее курс к основной валюте</v>
      </c>
      <c r="B64" s="77">
        <v>1</v>
      </c>
      <c r="C64" s="90" t="str">
        <f ca="1">CHOOSE(B64,CurName1,CurName2,CurName3)</f>
        <v>тыс. руб.</v>
      </c>
      <c r="D64" s="57"/>
      <c r="E64" s="57"/>
      <c r="F64" s="57"/>
      <c r="G64" s="91">
        <f t="shared" ref="G64:K64" si="100">CHOOSE(Prj_CurReport, 1, G53, G59)</f>
        <v>1</v>
      </c>
      <c r="H64" s="91">
        <f t="shared" si="100"/>
        <v>1</v>
      </c>
      <c r="I64" s="91">
        <f t="shared" si="100"/>
        <v>1</v>
      </c>
      <c r="J64" s="91">
        <f t="shared" si="100"/>
        <v>1</v>
      </c>
      <c r="K64" s="91">
        <f t="shared" si="100"/>
        <v>1</v>
      </c>
      <c r="L64" s="91">
        <f t="shared" ref="L64:M64" si="101">CHOOSE(Prj_CurReport, 1, L53, L59)</f>
        <v>1</v>
      </c>
      <c r="M64" s="91">
        <f t="shared" si="101"/>
        <v>1</v>
      </c>
      <c r="N64" s="91">
        <f t="shared" ref="N64:O64" si="102">CHOOSE(Prj_CurReport, 1, N53, N59)</f>
        <v>1</v>
      </c>
      <c r="O64" s="91">
        <f t="shared" si="102"/>
        <v>1</v>
      </c>
      <c r="P64" s="91">
        <f t="shared" ref="P64:Q64" si="103">CHOOSE(Prj_CurReport, 1, P53, P59)</f>
        <v>1</v>
      </c>
      <c r="Q64" s="91">
        <f t="shared" si="103"/>
        <v>1</v>
      </c>
      <c r="R64" s="91">
        <f t="shared" ref="R64:S64" si="104">CHOOSE(Prj_CurReport, 1, R53, R59)</f>
        <v>1</v>
      </c>
      <c r="S64" s="91">
        <f t="shared" si="104"/>
        <v>1</v>
      </c>
      <c r="T64" s="91">
        <f t="shared" ref="T64:U64" si="105">CHOOSE(Prj_CurReport, 1, T53, T59)</f>
        <v>1</v>
      </c>
      <c r="U64" s="91">
        <f t="shared" si="105"/>
        <v>1</v>
      </c>
      <c r="V64" s="91">
        <f t="shared" ref="V64:W64" si="106">CHOOSE(Prj_CurReport, 1, V53, V59)</f>
        <v>1</v>
      </c>
      <c r="W64" s="91">
        <f t="shared" si="106"/>
        <v>1</v>
      </c>
      <c r="X64" s="91">
        <f t="shared" ref="X64:Y64" si="107">CHOOSE(Prj_CurReport, 1, X53, X59)</f>
        <v>1</v>
      </c>
      <c r="Y64" s="91">
        <f t="shared" si="107"/>
        <v>1</v>
      </c>
      <c r="Z64" s="91">
        <f t="shared" ref="Z64:AA64" si="108">CHOOSE(Prj_CurReport, 1, Z53, Z59)</f>
        <v>1</v>
      </c>
      <c r="AA64" s="91">
        <f t="shared" si="108"/>
        <v>1</v>
      </c>
      <c r="AB64" s="91">
        <f t="shared" ref="AB64:AC64" si="109">CHOOSE(Prj_CurReport, 1, AB53, AB59)</f>
        <v>1</v>
      </c>
      <c r="AC64" s="91">
        <f t="shared" si="109"/>
        <v>1</v>
      </c>
      <c r="AD64" s="91">
        <f t="shared" ref="AD64:AE64" si="110">CHOOSE(Prj_CurReport, 1, AD53, AD59)</f>
        <v>1</v>
      </c>
      <c r="AE64" s="91">
        <f t="shared" si="110"/>
        <v>1</v>
      </c>
      <c r="AF64" s="91">
        <f t="shared" ref="AF64:AG64" si="111">CHOOSE(Prj_CurReport, 1, AF53, AF59)</f>
        <v>1</v>
      </c>
      <c r="AG64" s="91">
        <f t="shared" si="111"/>
        <v>1</v>
      </c>
      <c r="AH64" s="91">
        <f t="shared" ref="AH64:AI64" si="112">CHOOSE(Prj_CurReport, 1, AH53, AH59)</f>
        <v>1</v>
      </c>
      <c r="AI64" s="91">
        <f t="shared" si="112"/>
        <v>1</v>
      </c>
      <c r="AJ64" s="91">
        <f t="shared" ref="AJ64:AK64" si="113">CHOOSE(Prj_CurReport, 1, AJ53, AJ59)</f>
        <v>1</v>
      </c>
      <c r="AK64" s="91">
        <f t="shared" si="113"/>
        <v>1</v>
      </c>
      <c r="AL64" s="91">
        <f t="shared" ref="AL64:AM64" si="114">CHOOSE(Prj_CurReport, 1, AL53, AL59)</f>
        <v>1</v>
      </c>
      <c r="AM64" s="91">
        <f t="shared" si="114"/>
        <v>1</v>
      </c>
      <c r="AN64" s="91">
        <f t="shared" ref="AN64:AO64" si="115">CHOOSE(Prj_CurReport, 1, AN53, AN59)</f>
        <v>1</v>
      </c>
      <c r="AO64" s="91">
        <f t="shared" si="115"/>
        <v>1</v>
      </c>
      <c r="AP64" s="91">
        <f t="shared" ref="AP64:AQ64" si="116">CHOOSE(Prj_CurReport, 1, AP53, AP59)</f>
        <v>1</v>
      </c>
      <c r="AQ64" s="91">
        <f t="shared" si="116"/>
        <v>1</v>
      </c>
      <c r="AR64" s="91">
        <f t="shared" ref="AR64:AS64" si="117">CHOOSE(Prj_CurReport, 1, AR53, AR59)</f>
        <v>1</v>
      </c>
      <c r="AS64" s="91">
        <f t="shared" si="117"/>
        <v>1</v>
      </c>
      <c r="AT64" s="91">
        <f t="shared" ref="AT64:AU64" si="118">CHOOSE(Prj_CurReport, 1, AT53, AT59)</f>
        <v>1</v>
      </c>
      <c r="AU64" s="91">
        <f t="shared" si="118"/>
        <v>1</v>
      </c>
      <c r="AV64" s="91">
        <f t="shared" ref="AV64" si="119">CHOOSE(Prj_CurReport, 1, AV53, AV59)</f>
        <v>1</v>
      </c>
    </row>
    <row r="65" spans="1:48" x14ac:dyDescent="0.2">
      <c r="A65" s="67"/>
      <c r="B65" s="51"/>
      <c r="C65" s="51"/>
      <c r="D65" s="68"/>
      <c r="E65" s="68" t="s">
        <v>618</v>
      </c>
      <c r="F65" s="68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</row>
    <row r="66" spans="1:48" x14ac:dyDescent="0.2">
      <c r="D66" s="57"/>
      <c r="E66" s="57"/>
      <c r="F66" s="57"/>
    </row>
    <row r="67" spans="1:48" x14ac:dyDescent="0.2">
      <c r="D67" s="57"/>
      <c r="E67" s="57"/>
      <c r="F67" s="57"/>
    </row>
    <row r="68" spans="1:48" s="64" customFormat="1" ht="25.5" customHeight="1" thickBot="1" x14ac:dyDescent="0.25">
      <c r="A68" s="59" t="str">
        <f ca="1">Language!A419</f>
        <v>ПАРАМЕТРЫ НАЛОГОВ</v>
      </c>
      <c r="B68" s="60"/>
      <c r="C68" s="61"/>
      <c r="D68" s="62"/>
      <c r="E68" s="62" t="s">
        <v>887</v>
      </c>
      <c r="F68" s="62"/>
      <c r="G68" s="69" t="str">
        <f t="shared" ref="G68:AV68" ca="1" si="120">G$34</f>
        <v>4 кв. 2022</v>
      </c>
      <c r="H68" s="69" t="str">
        <f t="shared" ca="1" si="120"/>
        <v>1 кв. 2023</v>
      </c>
      <c r="I68" s="69" t="str">
        <f t="shared" ca="1" si="120"/>
        <v>2 кв. 2023</v>
      </c>
      <c r="J68" s="69" t="str">
        <f t="shared" ca="1" si="120"/>
        <v>3 кв. 2023</v>
      </c>
      <c r="K68" s="69" t="str">
        <f t="shared" ca="1" si="120"/>
        <v>4 кв. 2023</v>
      </c>
      <c r="L68" s="69" t="str">
        <f t="shared" ca="1" si="120"/>
        <v>1 кв. 2024</v>
      </c>
      <c r="M68" s="69" t="str">
        <f t="shared" ca="1" si="120"/>
        <v>2 кв. 2024</v>
      </c>
      <c r="N68" s="69" t="str">
        <f t="shared" ca="1" si="120"/>
        <v>3 кв. 2024</v>
      </c>
      <c r="O68" s="69" t="str">
        <f t="shared" ca="1" si="120"/>
        <v>4 кв. 2024</v>
      </c>
      <c r="P68" s="69" t="str">
        <f t="shared" ca="1" si="120"/>
        <v>1 кв. 2025</v>
      </c>
      <c r="Q68" s="69" t="str">
        <f t="shared" ca="1" si="120"/>
        <v>2 кв. 2025</v>
      </c>
      <c r="R68" s="69" t="str">
        <f t="shared" ca="1" si="120"/>
        <v>3 кв. 2025</v>
      </c>
      <c r="S68" s="69" t="str">
        <f t="shared" ca="1" si="120"/>
        <v>4 кв. 2025</v>
      </c>
      <c r="T68" s="69" t="str">
        <f t="shared" ca="1" si="120"/>
        <v>1 кв. 2026</v>
      </c>
      <c r="U68" s="69" t="str">
        <f t="shared" ca="1" si="120"/>
        <v>2 кв. 2026</v>
      </c>
      <c r="V68" s="69" t="str">
        <f t="shared" ca="1" si="120"/>
        <v>3 кв. 2026</v>
      </c>
      <c r="W68" s="69" t="str">
        <f t="shared" ca="1" si="120"/>
        <v>4 кв. 2026</v>
      </c>
      <c r="X68" s="69" t="str">
        <f t="shared" ca="1" si="120"/>
        <v>1 кв. 2027</v>
      </c>
      <c r="Y68" s="69" t="str">
        <f t="shared" ca="1" si="120"/>
        <v>2 кв. 2027</v>
      </c>
      <c r="Z68" s="69" t="str">
        <f t="shared" ca="1" si="120"/>
        <v>3 кв. 2027</v>
      </c>
      <c r="AA68" s="69" t="str">
        <f t="shared" ca="1" si="120"/>
        <v>4 кв. 2027</v>
      </c>
      <c r="AB68" s="69" t="str">
        <f t="shared" ca="1" si="120"/>
        <v>1 кв. 2028</v>
      </c>
      <c r="AC68" s="69" t="str">
        <f t="shared" ca="1" si="120"/>
        <v>2 кв. 2028</v>
      </c>
      <c r="AD68" s="69" t="str">
        <f t="shared" ca="1" si="120"/>
        <v>3 кв. 2028</v>
      </c>
      <c r="AE68" s="69" t="str">
        <f t="shared" ca="1" si="120"/>
        <v>4 кв. 2028</v>
      </c>
      <c r="AF68" s="69" t="str">
        <f t="shared" ca="1" si="120"/>
        <v>1 кв. 2029</v>
      </c>
      <c r="AG68" s="69" t="str">
        <f t="shared" ca="1" si="120"/>
        <v>2 кв. 2029</v>
      </c>
      <c r="AH68" s="69" t="str">
        <f t="shared" ca="1" si="120"/>
        <v>3 кв. 2029</v>
      </c>
      <c r="AI68" s="69" t="str">
        <f t="shared" ca="1" si="120"/>
        <v>4 кв. 2029</v>
      </c>
      <c r="AJ68" s="69" t="str">
        <f t="shared" ca="1" si="120"/>
        <v>1 кв. 2030</v>
      </c>
      <c r="AK68" s="69" t="str">
        <f t="shared" ca="1" si="120"/>
        <v>2 кв. 2030</v>
      </c>
      <c r="AL68" s="69" t="str">
        <f t="shared" ca="1" si="120"/>
        <v>3 кв. 2030</v>
      </c>
      <c r="AM68" s="69" t="str">
        <f t="shared" ca="1" si="120"/>
        <v>4 кв. 2030</v>
      </c>
      <c r="AN68" s="69" t="str">
        <f t="shared" ca="1" si="120"/>
        <v>1 кв. 2031</v>
      </c>
      <c r="AO68" s="69" t="str">
        <f t="shared" ca="1" si="120"/>
        <v>2 кв. 2031</v>
      </c>
      <c r="AP68" s="69" t="str">
        <f t="shared" ca="1" si="120"/>
        <v>3 кв. 2031</v>
      </c>
      <c r="AQ68" s="69" t="str">
        <f t="shared" ca="1" si="120"/>
        <v>4 кв. 2031</v>
      </c>
      <c r="AR68" s="69" t="str">
        <f t="shared" ca="1" si="120"/>
        <v>1 кв. 2032</v>
      </c>
      <c r="AS68" s="69" t="str">
        <f t="shared" ca="1" si="120"/>
        <v>2 кв. 2032</v>
      </c>
      <c r="AT68" s="69" t="str">
        <f t="shared" ca="1" si="120"/>
        <v>3 кв. 2032</v>
      </c>
      <c r="AU68" s="69" t="str">
        <f t="shared" ca="1" si="120"/>
        <v>4 кв. 2032</v>
      </c>
      <c r="AV68" s="69" t="str">
        <f t="shared" ca="1" si="120"/>
        <v>1 кв. 2033</v>
      </c>
    </row>
    <row r="69" spans="1:48" ht="13.5" thickTop="1" x14ac:dyDescent="0.2">
      <c r="A69" s="65"/>
      <c r="D69" s="57"/>
      <c r="E69" s="57" t="s">
        <v>644</v>
      </c>
      <c r="F69" s="57" t="s">
        <v>646</v>
      </c>
    </row>
    <row r="70" spans="1:48" x14ac:dyDescent="0.2">
      <c r="A70" s="92" t="str">
        <f ca="1">Language!A420</f>
        <v>НАЛОГ НА ДОБАВЛЕННУЮ СТОИМОСТЬ</v>
      </c>
      <c r="D70" s="57"/>
      <c r="E70" s="57"/>
      <c r="F70" s="57"/>
    </row>
    <row r="71" spans="1:48" x14ac:dyDescent="0.2">
      <c r="A71" s="65"/>
      <c r="D71" s="57"/>
      <c r="E71" s="57"/>
      <c r="F71" s="57"/>
    </row>
    <row r="72" spans="1:48" x14ac:dyDescent="0.2">
      <c r="A72" s="65" t="str">
        <f ca="1">Language!A421</f>
        <v>Стандартная ставка налога</v>
      </c>
      <c r="B72" s="93"/>
      <c r="C72" s="82" t="s">
        <v>1</v>
      </c>
      <c r="D72" s="57">
        <v>1</v>
      </c>
      <c r="E72" s="57"/>
      <c r="F72" s="57" t="s">
        <v>757</v>
      </c>
      <c r="G72" s="302">
        <v>0.18</v>
      </c>
      <c r="H72" s="302">
        <f t="shared" ref="H72:AV72" si="121">G72</f>
        <v>0.18</v>
      </c>
      <c r="I72" s="302">
        <f t="shared" si="121"/>
        <v>0.18</v>
      </c>
      <c r="J72" s="302">
        <f t="shared" si="121"/>
        <v>0.18</v>
      </c>
      <c r="K72" s="302">
        <f t="shared" si="121"/>
        <v>0.18</v>
      </c>
      <c r="L72" s="302">
        <f t="shared" si="121"/>
        <v>0.18</v>
      </c>
      <c r="M72" s="302">
        <f t="shared" si="121"/>
        <v>0.18</v>
      </c>
      <c r="N72" s="302">
        <f t="shared" si="121"/>
        <v>0.18</v>
      </c>
      <c r="O72" s="302">
        <f t="shared" si="121"/>
        <v>0.18</v>
      </c>
      <c r="P72" s="302">
        <f t="shared" si="121"/>
        <v>0.18</v>
      </c>
      <c r="Q72" s="302">
        <f t="shared" si="121"/>
        <v>0.18</v>
      </c>
      <c r="R72" s="302">
        <f t="shared" si="121"/>
        <v>0.18</v>
      </c>
      <c r="S72" s="302">
        <f t="shared" si="121"/>
        <v>0.18</v>
      </c>
      <c r="T72" s="302">
        <f t="shared" si="121"/>
        <v>0.18</v>
      </c>
      <c r="U72" s="302">
        <f t="shared" si="121"/>
        <v>0.18</v>
      </c>
      <c r="V72" s="302">
        <f t="shared" si="121"/>
        <v>0.18</v>
      </c>
      <c r="W72" s="302">
        <f t="shared" si="121"/>
        <v>0.18</v>
      </c>
      <c r="X72" s="302">
        <f t="shared" si="121"/>
        <v>0.18</v>
      </c>
      <c r="Y72" s="302">
        <f t="shared" si="121"/>
        <v>0.18</v>
      </c>
      <c r="Z72" s="302">
        <f t="shared" si="121"/>
        <v>0.18</v>
      </c>
      <c r="AA72" s="302">
        <f t="shared" si="121"/>
        <v>0.18</v>
      </c>
      <c r="AB72" s="302">
        <f t="shared" si="121"/>
        <v>0.18</v>
      </c>
      <c r="AC72" s="302">
        <f t="shared" si="121"/>
        <v>0.18</v>
      </c>
      <c r="AD72" s="302">
        <f t="shared" si="121"/>
        <v>0.18</v>
      </c>
      <c r="AE72" s="302">
        <f t="shared" si="121"/>
        <v>0.18</v>
      </c>
      <c r="AF72" s="302">
        <f t="shared" si="121"/>
        <v>0.18</v>
      </c>
      <c r="AG72" s="302">
        <f t="shared" si="121"/>
        <v>0.18</v>
      </c>
      <c r="AH72" s="302">
        <f t="shared" si="121"/>
        <v>0.18</v>
      </c>
      <c r="AI72" s="302">
        <f t="shared" si="121"/>
        <v>0.18</v>
      </c>
      <c r="AJ72" s="302">
        <f t="shared" si="121"/>
        <v>0.18</v>
      </c>
      <c r="AK72" s="302">
        <f t="shared" si="121"/>
        <v>0.18</v>
      </c>
      <c r="AL72" s="302">
        <f t="shared" si="121"/>
        <v>0.18</v>
      </c>
      <c r="AM72" s="302">
        <f t="shared" si="121"/>
        <v>0.18</v>
      </c>
      <c r="AN72" s="302">
        <f t="shared" si="121"/>
        <v>0.18</v>
      </c>
      <c r="AO72" s="302">
        <f t="shared" si="121"/>
        <v>0.18</v>
      </c>
      <c r="AP72" s="302">
        <f t="shared" si="121"/>
        <v>0.18</v>
      </c>
      <c r="AQ72" s="302">
        <f t="shared" si="121"/>
        <v>0.18</v>
      </c>
      <c r="AR72" s="302">
        <f t="shared" si="121"/>
        <v>0.18</v>
      </c>
      <c r="AS72" s="302">
        <f t="shared" si="121"/>
        <v>0.18</v>
      </c>
      <c r="AT72" s="302">
        <f t="shared" si="121"/>
        <v>0.18</v>
      </c>
      <c r="AU72" s="302">
        <f t="shared" si="121"/>
        <v>0.18</v>
      </c>
      <c r="AV72" s="302">
        <f t="shared" si="121"/>
        <v>0.18</v>
      </c>
    </row>
    <row r="73" spans="1:48" x14ac:dyDescent="0.2">
      <c r="A73" s="65" t="str">
        <f ca="1">Language!A422</f>
        <v>Периодичность выплаты налога, месяцев</v>
      </c>
      <c r="B73" s="305">
        <v>1</v>
      </c>
      <c r="C73" s="82" t="str">
        <f ca="1">Language!A46</f>
        <v>мес.</v>
      </c>
      <c r="D73" s="57"/>
      <c r="E73" s="57"/>
      <c r="F73" s="57"/>
      <c r="G73" s="94"/>
    </row>
    <row r="74" spans="1:48" ht="12" customHeight="1" x14ac:dyDescent="0.2">
      <c r="A74" s="65" t="str">
        <f ca="1">Language!A423</f>
        <v>Способ зачета переплаченного НДС:</v>
      </c>
      <c r="B74" s="77">
        <v>2</v>
      </c>
      <c r="C74" s="95" t="str">
        <f ca="1">CHOOSE(B74,Language!A374,Language!A375)</f>
        <v>возврат из бюджета</v>
      </c>
      <c r="D74" s="57"/>
      <c r="E74" s="57"/>
      <c r="F74" s="57"/>
      <c r="G74" s="94"/>
    </row>
    <row r="75" spans="1:48" x14ac:dyDescent="0.2">
      <c r="A75" s="96" t="str">
        <f ca="1">Language!A424</f>
        <v>прямое возмещение через</v>
      </c>
      <c r="B75" s="305">
        <v>0</v>
      </c>
      <c r="C75" s="82" t="str">
        <f ca="1">Language!A159</f>
        <v>периодов</v>
      </c>
      <c r="D75" s="57"/>
      <c r="E75" s="57"/>
      <c r="F75" s="57"/>
    </row>
    <row r="76" spans="1:48" ht="13.5" hidden="1" thickTop="1" x14ac:dyDescent="0.2">
      <c r="A76" s="65"/>
      <c r="B76" s="72"/>
      <c r="D76" s="57"/>
      <c r="E76" s="57" t="s">
        <v>645</v>
      </c>
      <c r="F76" s="57" t="s">
        <v>646</v>
      </c>
    </row>
    <row r="77" spans="1:48" ht="13.5" hidden="1" thickTop="1" x14ac:dyDescent="0.2">
      <c r="A77" s="92" t="str">
        <f ca="1">Language!A425</f>
        <v>НАЛОГ НА ПРИБЫЛЬ</v>
      </c>
      <c r="B77" s="72"/>
      <c r="D77" s="57"/>
      <c r="E77" s="57"/>
      <c r="F77" s="57"/>
    </row>
    <row r="78" spans="1:48" ht="13.5" hidden="1" thickTop="1" x14ac:dyDescent="0.2">
      <c r="A78" s="65"/>
      <c r="B78" s="72"/>
      <c r="D78" s="57"/>
      <c r="E78" s="57"/>
      <c r="F78" s="57"/>
    </row>
    <row r="79" spans="1:48" ht="13.5" hidden="1" thickTop="1" x14ac:dyDescent="0.2">
      <c r="A79" s="65" t="str">
        <f ca="1">Language!A426</f>
        <v>Ставка налога, федеральная составляющая</v>
      </c>
      <c r="B79" s="97"/>
      <c r="C79" s="82" t="s">
        <v>1</v>
      </c>
      <c r="D79" s="57">
        <v>0</v>
      </c>
      <c r="E79" s="57"/>
      <c r="F79" s="57" t="s">
        <v>757</v>
      </c>
      <c r="G79" s="302">
        <v>0</v>
      </c>
      <c r="H79" s="302">
        <f t="shared" ref="H79:AV80" si="122">G79</f>
        <v>0</v>
      </c>
      <c r="I79" s="302">
        <f t="shared" si="122"/>
        <v>0</v>
      </c>
      <c r="J79" s="302">
        <f t="shared" si="122"/>
        <v>0</v>
      </c>
      <c r="K79" s="302">
        <f t="shared" si="122"/>
        <v>0</v>
      </c>
      <c r="L79" s="302">
        <f t="shared" si="122"/>
        <v>0</v>
      </c>
      <c r="M79" s="302">
        <f t="shared" si="122"/>
        <v>0</v>
      </c>
      <c r="N79" s="302">
        <f t="shared" si="122"/>
        <v>0</v>
      </c>
      <c r="O79" s="302">
        <f t="shared" si="122"/>
        <v>0</v>
      </c>
      <c r="P79" s="302">
        <f t="shared" si="122"/>
        <v>0</v>
      </c>
      <c r="Q79" s="302">
        <f t="shared" si="122"/>
        <v>0</v>
      </c>
      <c r="R79" s="302">
        <f t="shared" si="122"/>
        <v>0</v>
      </c>
      <c r="S79" s="302">
        <f t="shared" si="122"/>
        <v>0</v>
      </c>
      <c r="T79" s="302">
        <f t="shared" si="122"/>
        <v>0</v>
      </c>
      <c r="U79" s="302">
        <f t="shared" si="122"/>
        <v>0</v>
      </c>
      <c r="V79" s="302">
        <f t="shared" si="122"/>
        <v>0</v>
      </c>
      <c r="W79" s="302">
        <f t="shared" si="122"/>
        <v>0</v>
      </c>
      <c r="X79" s="302">
        <f t="shared" si="122"/>
        <v>0</v>
      </c>
      <c r="Y79" s="302">
        <f t="shared" si="122"/>
        <v>0</v>
      </c>
      <c r="Z79" s="302">
        <f t="shared" si="122"/>
        <v>0</v>
      </c>
      <c r="AA79" s="302">
        <f t="shared" si="122"/>
        <v>0</v>
      </c>
      <c r="AB79" s="302">
        <f t="shared" si="122"/>
        <v>0</v>
      </c>
      <c r="AC79" s="302">
        <f t="shared" si="122"/>
        <v>0</v>
      </c>
      <c r="AD79" s="302">
        <f t="shared" si="122"/>
        <v>0</v>
      </c>
      <c r="AE79" s="302">
        <f t="shared" si="122"/>
        <v>0</v>
      </c>
      <c r="AF79" s="302">
        <f t="shared" si="122"/>
        <v>0</v>
      </c>
      <c r="AG79" s="302">
        <f t="shared" si="122"/>
        <v>0</v>
      </c>
      <c r="AH79" s="302">
        <f t="shared" si="122"/>
        <v>0</v>
      </c>
      <c r="AI79" s="302">
        <f t="shared" si="122"/>
        <v>0</v>
      </c>
      <c r="AJ79" s="302">
        <f t="shared" si="122"/>
        <v>0</v>
      </c>
      <c r="AK79" s="302">
        <f t="shared" si="122"/>
        <v>0</v>
      </c>
      <c r="AL79" s="302">
        <f t="shared" si="122"/>
        <v>0</v>
      </c>
      <c r="AM79" s="302">
        <f t="shared" si="122"/>
        <v>0</v>
      </c>
      <c r="AN79" s="302">
        <f t="shared" si="122"/>
        <v>0</v>
      </c>
      <c r="AO79" s="302">
        <f t="shared" si="122"/>
        <v>0</v>
      </c>
      <c r="AP79" s="302">
        <f t="shared" si="122"/>
        <v>0</v>
      </c>
      <c r="AQ79" s="302">
        <f t="shared" si="122"/>
        <v>0</v>
      </c>
      <c r="AR79" s="302">
        <f t="shared" si="122"/>
        <v>0</v>
      </c>
      <c r="AS79" s="302">
        <f t="shared" si="122"/>
        <v>0</v>
      </c>
      <c r="AT79" s="302">
        <f t="shared" si="122"/>
        <v>0</v>
      </c>
      <c r="AU79" s="302">
        <f t="shared" si="122"/>
        <v>0</v>
      </c>
      <c r="AV79" s="302">
        <f t="shared" si="122"/>
        <v>0</v>
      </c>
    </row>
    <row r="80" spans="1:48" ht="13.5" hidden="1" thickTop="1" x14ac:dyDescent="0.2">
      <c r="A80" s="65" t="str">
        <f ca="1">Language!A427</f>
        <v>Ставка налога, местная составляющая</v>
      </c>
      <c r="B80" s="97"/>
      <c r="C80" s="82" t="s">
        <v>1</v>
      </c>
      <c r="D80" s="57"/>
      <c r="E80" s="57"/>
      <c r="F80" s="57" t="s">
        <v>757</v>
      </c>
      <c r="G80" s="302">
        <v>0</v>
      </c>
      <c r="H80" s="302">
        <f t="shared" si="122"/>
        <v>0</v>
      </c>
      <c r="I80" s="302">
        <f t="shared" si="122"/>
        <v>0</v>
      </c>
      <c r="J80" s="302">
        <f t="shared" si="122"/>
        <v>0</v>
      </c>
      <c r="K80" s="302">
        <f t="shared" si="122"/>
        <v>0</v>
      </c>
      <c r="L80" s="302">
        <f t="shared" si="122"/>
        <v>0</v>
      </c>
      <c r="M80" s="302">
        <f t="shared" si="122"/>
        <v>0</v>
      </c>
      <c r="N80" s="302">
        <f t="shared" si="122"/>
        <v>0</v>
      </c>
      <c r="O80" s="302">
        <f t="shared" si="122"/>
        <v>0</v>
      </c>
      <c r="P80" s="302">
        <f t="shared" si="122"/>
        <v>0</v>
      </c>
      <c r="Q80" s="302">
        <f t="shared" si="122"/>
        <v>0</v>
      </c>
      <c r="R80" s="302">
        <f t="shared" si="122"/>
        <v>0</v>
      </c>
      <c r="S80" s="302">
        <f t="shared" si="122"/>
        <v>0</v>
      </c>
      <c r="T80" s="302">
        <f t="shared" si="122"/>
        <v>0</v>
      </c>
      <c r="U80" s="302">
        <f t="shared" si="122"/>
        <v>0</v>
      </c>
      <c r="V80" s="302">
        <f t="shared" si="122"/>
        <v>0</v>
      </c>
      <c r="W80" s="302">
        <f t="shared" si="122"/>
        <v>0</v>
      </c>
      <c r="X80" s="302">
        <f t="shared" si="122"/>
        <v>0</v>
      </c>
      <c r="Y80" s="302">
        <f t="shared" si="122"/>
        <v>0</v>
      </c>
      <c r="Z80" s="302">
        <f t="shared" si="122"/>
        <v>0</v>
      </c>
      <c r="AA80" s="302">
        <f t="shared" si="122"/>
        <v>0</v>
      </c>
      <c r="AB80" s="302">
        <f t="shared" si="122"/>
        <v>0</v>
      </c>
      <c r="AC80" s="302">
        <f t="shared" si="122"/>
        <v>0</v>
      </c>
      <c r="AD80" s="302">
        <f t="shared" si="122"/>
        <v>0</v>
      </c>
      <c r="AE80" s="302">
        <f t="shared" si="122"/>
        <v>0</v>
      </c>
      <c r="AF80" s="302">
        <f t="shared" si="122"/>
        <v>0</v>
      </c>
      <c r="AG80" s="302">
        <f t="shared" si="122"/>
        <v>0</v>
      </c>
      <c r="AH80" s="302">
        <f t="shared" si="122"/>
        <v>0</v>
      </c>
      <c r="AI80" s="302">
        <f t="shared" si="122"/>
        <v>0</v>
      </c>
      <c r="AJ80" s="302">
        <f t="shared" si="122"/>
        <v>0</v>
      </c>
      <c r="AK80" s="302">
        <f t="shared" si="122"/>
        <v>0</v>
      </c>
      <c r="AL80" s="302">
        <f t="shared" si="122"/>
        <v>0</v>
      </c>
      <c r="AM80" s="302">
        <f t="shared" si="122"/>
        <v>0</v>
      </c>
      <c r="AN80" s="302">
        <f t="shared" si="122"/>
        <v>0</v>
      </c>
      <c r="AO80" s="302">
        <f t="shared" si="122"/>
        <v>0</v>
      </c>
      <c r="AP80" s="302">
        <f t="shared" si="122"/>
        <v>0</v>
      </c>
      <c r="AQ80" s="302">
        <f t="shared" si="122"/>
        <v>0</v>
      </c>
      <c r="AR80" s="302">
        <f t="shared" si="122"/>
        <v>0</v>
      </c>
      <c r="AS80" s="302">
        <f t="shared" si="122"/>
        <v>0</v>
      </c>
      <c r="AT80" s="302">
        <f t="shared" si="122"/>
        <v>0</v>
      </c>
      <c r="AU80" s="302">
        <f t="shared" si="122"/>
        <v>0</v>
      </c>
      <c r="AV80" s="302">
        <f t="shared" si="122"/>
        <v>0</v>
      </c>
    </row>
    <row r="81" spans="1:48" ht="13.5" hidden="1" thickTop="1" x14ac:dyDescent="0.2">
      <c r="A81" s="65" t="str">
        <f ca="1">Language!A428</f>
        <v>Суммарная ставка налога на прибыль</v>
      </c>
      <c r="B81" s="97"/>
      <c r="C81" s="82" t="s">
        <v>1</v>
      </c>
      <c r="D81" s="57"/>
      <c r="E81" s="57"/>
      <c r="F81" s="57" t="s">
        <v>756</v>
      </c>
      <c r="G81" s="89">
        <f t="shared" ref="G81:K81" si="123">G79+G80</f>
        <v>0</v>
      </c>
      <c r="H81" s="89">
        <f t="shared" si="123"/>
        <v>0</v>
      </c>
      <c r="I81" s="89">
        <f t="shared" si="123"/>
        <v>0</v>
      </c>
      <c r="J81" s="89">
        <f t="shared" si="123"/>
        <v>0</v>
      </c>
      <c r="K81" s="89">
        <f t="shared" si="123"/>
        <v>0</v>
      </c>
      <c r="L81" s="89">
        <f t="shared" ref="L81:M81" si="124">L79+L80</f>
        <v>0</v>
      </c>
      <c r="M81" s="89">
        <f t="shared" si="124"/>
        <v>0</v>
      </c>
      <c r="N81" s="89">
        <f t="shared" ref="N81:O81" si="125">N79+N80</f>
        <v>0</v>
      </c>
      <c r="O81" s="89">
        <f t="shared" si="125"/>
        <v>0</v>
      </c>
      <c r="P81" s="89">
        <f t="shared" ref="P81:Q81" si="126">P79+P80</f>
        <v>0</v>
      </c>
      <c r="Q81" s="89">
        <f t="shared" si="126"/>
        <v>0</v>
      </c>
      <c r="R81" s="89">
        <f t="shared" ref="R81:S81" si="127">R79+R80</f>
        <v>0</v>
      </c>
      <c r="S81" s="89">
        <f t="shared" si="127"/>
        <v>0</v>
      </c>
      <c r="T81" s="89">
        <f t="shared" ref="T81:U81" si="128">T79+T80</f>
        <v>0</v>
      </c>
      <c r="U81" s="89">
        <f t="shared" si="128"/>
        <v>0</v>
      </c>
      <c r="V81" s="89">
        <f t="shared" ref="V81:W81" si="129">V79+V80</f>
        <v>0</v>
      </c>
      <c r="W81" s="89">
        <f t="shared" si="129"/>
        <v>0</v>
      </c>
      <c r="X81" s="89">
        <f t="shared" ref="X81:Y81" si="130">X79+X80</f>
        <v>0</v>
      </c>
      <c r="Y81" s="89">
        <f t="shared" si="130"/>
        <v>0</v>
      </c>
      <c r="Z81" s="89">
        <f t="shared" ref="Z81:AA81" si="131">Z79+Z80</f>
        <v>0</v>
      </c>
      <c r="AA81" s="89">
        <f t="shared" si="131"/>
        <v>0</v>
      </c>
      <c r="AB81" s="89">
        <f t="shared" ref="AB81:AC81" si="132">AB79+AB80</f>
        <v>0</v>
      </c>
      <c r="AC81" s="89">
        <f t="shared" si="132"/>
        <v>0</v>
      </c>
      <c r="AD81" s="89">
        <f t="shared" ref="AD81:AE81" si="133">AD79+AD80</f>
        <v>0</v>
      </c>
      <c r="AE81" s="89">
        <f t="shared" si="133"/>
        <v>0</v>
      </c>
      <c r="AF81" s="89">
        <f t="shared" ref="AF81:AG81" si="134">AF79+AF80</f>
        <v>0</v>
      </c>
      <c r="AG81" s="89">
        <f t="shared" si="134"/>
        <v>0</v>
      </c>
      <c r="AH81" s="89">
        <f t="shared" ref="AH81:AI81" si="135">AH79+AH80</f>
        <v>0</v>
      </c>
      <c r="AI81" s="89">
        <f t="shared" si="135"/>
        <v>0</v>
      </c>
      <c r="AJ81" s="89">
        <f t="shared" ref="AJ81:AK81" si="136">AJ79+AJ80</f>
        <v>0</v>
      </c>
      <c r="AK81" s="89">
        <f t="shared" si="136"/>
        <v>0</v>
      </c>
      <c r="AL81" s="89">
        <f t="shared" ref="AL81:AM81" si="137">AL79+AL80</f>
        <v>0</v>
      </c>
      <c r="AM81" s="89">
        <f t="shared" si="137"/>
        <v>0</v>
      </c>
      <c r="AN81" s="89">
        <f t="shared" ref="AN81:AO81" si="138">AN79+AN80</f>
        <v>0</v>
      </c>
      <c r="AO81" s="89">
        <f t="shared" si="138"/>
        <v>0</v>
      </c>
      <c r="AP81" s="89">
        <f t="shared" ref="AP81:AQ81" si="139">AP79+AP80</f>
        <v>0</v>
      </c>
      <c r="AQ81" s="89">
        <f t="shared" si="139"/>
        <v>0</v>
      </c>
      <c r="AR81" s="89">
        <f t="shared" ref="AR81:AS81" si="140">AR79+AR80</f>
        <v>0</v>
      </c>
      <c r="AS81" s="89">
        <f t="shared" si="140"/>
        <v>0</v>
      </c>
      <c r="AT81" s="89">
        <f t="shared" ref="AT81:AU81" si="141">AT79+AT80</f>
        <v>0</v>
      </c>
      <c r="AU81" s="89">
        <f t="shared" si="141"/>
        <v>0</v>
      </c>
      <c r="AV81" s="89">
        <f t="shared" ref="AV81" si="142">AV79+AV80</f>
        <v>0</v>
      </c>
    </row>
    <row r="82" spans="1:48" ht="13.5" hidden="1" thickTop="1" x14ac:dyDescent="0.2">
      <c r="A82" s="65" t="str">
        <f ca="1">Language!A429</f>
        <v>Периодичность выплаты налога, месяцев</v>
      </c>
      <c r="B82" s="305">
        <v>1</v>
      </c>
      <c r="C82" s="82" t="str">
        <f ca="1">Language!A46</f>
        <v>мес.</v>
      </c>
      <c r="D82" s="57"/>
      <c r="E82" s="57"/>
      <c r="F82" s="57"/>
    </row>
    <row r="83" spans="1:48" x14ac:dyDescent="0.2">
      <c r="A83" s="65"/>
      <c r="B83" s="72"/>
      <c r="D83" s="57"/>
      <c r="E83" s="57" t="s">
        <v>647</v>
      </c>
      <c r="F83" s="57" t="s">
        <v>648</v>
      </c>
    </row>
    <row r="84" spans="1:48" x14ac:dyDescent="0.2">
      <c r="A84" s="92" t="str">
        <f ca="1">Language!A430</f>
        <v>СОЦИАЛЬНЫЕ ВЗНОСЫ</v>
      </c>
      <c r="B84" s="72"/>
      <c r="D84" s="57"/>
      <c r="E84" s="57"/>
      <c r="F84" s="57"/>
    </row>
    <row r="85" spans="1:48" x14ac:dyDescent="0.2">
      <c r="A85" s="65"/>
      <c r="B85" s="72"/>
      <c r="D85" s="57"/>
      <c r="E85" s="57"/>
      <c r="F85" s="57"/>
    </row>
    <row r="86" spans="1:48" x14ac:dyDescent="0.2">
      <c r="A86" s="65" t="str">
        <f ca="1">Language!A431</f>
        <v>Ставка взносов в пенсионный фонд</v>
      </c>
      <c r="B86" s="97"/>
      <c r="C86" s="82" t="s">
        <v>1</v>
      </c>
      <c r="D86" s="57">
        <v>1</v>
      </c>
      <c r="E86" s="57"/>
      <c r="F86" s="57" t="s">
        <v>757</v>
      </c>
      <c r="G86" s="302">
        <v>0.22</v>
      </c>
      <c r="H86" s="302">
        <f t="shared" ref="H86:AV90" si="143">G86</f>
        <v>0.22</v>
      </c>
      <c r="I86" s="302">
        <f t="shared" si="143"/>
        <v>0.22</v>
      </c>
      <c r="J86" s="302">
        <f t="shared" si="143"/>
        <v>0.22</v>
      </c>
      <c r="K86" s="302">
        <f t="shared" si="143"/>
        <v>0.22</v>
      </c>
      <c r="L86" s="302">
        <f t="shared" si="143"/>
        <v>0.22</v>
      </c>
      <c r="M86" s="302">
        <f t="shared" si="143"/>
        <v>0.22</v>
      </c>
      <c r="N86" s="302">
        <f t="shared" si="143"/>
        <v>0.22</v>
      </c>
      <c r="O86" s="302">
        <f t="shared" si="143"/>
        <v>0.22</v>
      </c>
      <c r="P86" s="302">
        <f t="shared" si="143"/>
        <v>0.22</v>
      </c>
      <c r="Q86" s="302">
        <f t="shared" si="143"/>
        <v>0.22</v>
      </c>
      <c r="R86" s="302">
        <f t="shared" si="143"/>
        <v>0.22</v>
      </c>
      <c r="S86" s="302">
        <f t="shared" si="143"/>
        <v>0.22</v>
      </c>
      <c r="T86" s="302">
        <f t="shared" si="143"/>
        <v>0.22</v>
      </c>
      <c r="U86" s="302">
        <f t="shared" si="143"/>
        <v>0.22</v>
      </c>
      <c r="V86" s="302">
        <f t="shared" si="143"/>
        <v>0.22</v>
      </c>
      <c r="W86" s="302">
        <f t="shared" si="143"/>
        <v>0.22</v>
      </c>
      <c r="X86" s="302">
        <f t="shared" si="143"/>
        <v>0.22</v>
      </c>
      <c r="Y86" s="302">
        <f t="shared" si="143"/>
        <v>0.22</v>
      </c>
      <c r="Z86" s="302">
        <f t="shared" si="143"/>
        <v>0.22</v>
      </c>
      <c r="AA86" s="302">
        <f t="shared" si="143"/>
        <v>0.22</v>
      </c>
      <c r="AB86" s="302">
        <f t="shared" si="143"/>
        <v>0.22</v>
      </c>
      <c r="AC86" s="302">
        <f t="shared" si="143"/>
        <v>0.22</v>
      </c>
      <c r="AD86" s="302">
        <f t="shared" si="143"/>
        <v>0.22</v>
      </c>
      <c r="AE86" s="302">
        <f t="shared" si="143"/>
        <v>0.22</v>
      </c>
      <c r="AF86" s="302">
        <f t="shared" si="143"/>
        <v>0.22</v>
      </c>
      <c r="AG86" s="302">
        <f t="shared" si="143"/>
        <v>0.22</v>
      </c>
      <c r="AH86" s="302">
        <f t="shared" si="143"/>
        <v>0.22</v>
      </c>
      <c r="AI86" s="302">
        <f t="shared" si="143"/>
        <v>0.22</v>
      </c>
      <c r="AJ86" s="302">
        <f t="shared" si="143"/>
        <v>0.22</v>
      </c>
      <c r="AK86" s="302">
        <f t="shared" si="143"/>
        <v>0.22</v>
      </c>
      <c r="AL86" s="302">
        <f t="shared" si="143"/>
        <v>0.22</v>
      </c>
      <c r="AM86" s="302">
        <f t="shared" si="143"/>
        <v>0.22</v>
      </c>
      <c r="AN86" s="302">
        <f t="shared" si="143"/>
        <v>0.22</v>
      </c>
      <c r="AO86" s="302">
        <f t="shared" si="143"/>
        <v>0.22</v>
      </c>
      <c r="AP86" s="302">
        <f t="shared" si="143"/>
        <v>0.22</v>
      </c>
      <c r="AQ86" s="302">
        <f t="shared" si="143"/>
        <v>0.22</v>
      </c>
      <c r="AR86" s="302">
        <f t="shared" si="143"/>
        <v>0.22</v>
      </c>
      <c r="AS86" s="302">
        <f t="shared" si="143"/>
        <v>0.22</v>
      </c>
      <c r="AT86" s="302">
        <f t="shared" si="143"/>
        <v>0.22</v>
      </c>
      <c r="AU86" s="302">
        <f t="shared" si="143"/>
        <v>0.22</v>
      </c>
      <c r="AV86" s="302">
        <f t="shared" si="143"/>
        <v>0.22</v>
      </c>
    </row>
    <row r="87" spans="1:48" x14ac:dyDescent="0.2">
      <c r="A87" s="65" t="str">
        <f ca="1">Language!A432</f>
        <v>Ставка взносов на медицинское страхование</v>
      </c>
      <c r="B87" s="97"/>
      <c r="C87" s="82" t="s">
        <v>1</v>
      </c>
      <c r="D87" s="57"/>
      <c r="E87" s="57"/>
      <c r="F87" s="57" t="s">
        <v>757</v>
      </c>
      <c r="G87" s="302">
        <v>5.0999999999999997E-2</v>
      </c>
      <c r="H87" s="302">
        <f t="shared" si="143"/>
        <v>5.0999999999999997E-2</v>
      </c>
      <c r="I87" s="302">
        <f t="shared" si="143"/>
        <v>5.0999999999999997E-2</v>
      </c>
      <c r="J87" s="302">
        <f t="shared" si="143"/>
        <v>5.0999999999999997E-2</v>
      </c>
      <c r="K87" s="302">
        <f t="shared" si="143"/>
        <v>5.0999999999999997E-2</v>
      </c>
      <c r="L87" s="302">
        <f t="shared" si="143"/>
        <v>5.0999999999999997E-2</v>
      </c>
      <c r="M87" s="302">
        <f t="shared" si="143"/>
        <v>5.0999999999999997E-2</v>
      </c>
      <c r="N87" s="302">
        <f t="shared" si="143"/>
        <v>5.0999999999999997E-2</v>
      </c>
      <c r="O87" s="302">
        <f t="shared" si="143"/>
        <v>5.0999999999999997E-2</v>
      </c>
      <c r="P87" s="302">
        <f t="shared" si="143"/>
        <v>5.0999999999999997E-2</v>
      </c>
      <c r="Q87" s="302">
        <f t="shared" si="143"/>
        <v>5.0999999999999997E-2</v>
      </c>
      <c r="R87" s="302">
        <f t="shared" si="143"/>
        <v>5.0999999999999997E-2</v>
      </c>
      <c r="S87" s="302">
        <f t="shared" si="143"/>
        <v>5.0999999999999997E-2</v>
      </c>
      <c r="T87" s="302">
        <f t="shared" si="143"/>
        <v>5.0999999999999997E-2</v>
      </c>
      <c r="U87" s="302">
        <f t="shared" si="143"/>
        <v>5.0999999999999997E-2</v>
      </c>
      <c r="V87" s="302">
        <f t="shared" si="143"/>
        <v>5.0999999999999997E-2</v>
      </c>
      <c r="W87" s="302">
        <f t="shared" si="143"/>
        <v>5.0999999999999997E-2</v>
      </c>
      <c r="X87" s="302">
        <f t="shared" si="143"/>
        <v>5.0999999999999997E-2</v>
      </c>
      <c r="Y87" s="302">
        <f t="shared" si="143"/>
        <v>5.0999999999999997E-2</v>
      </c>
      <c r="Z87" s="302">
        <f t="shared" si="143"/>
        <v>5.0999999999999997E-2</v>
      </c>
      <c r="AA87" s="302">
        <f t="shared" si="143"/>
        <v>5.0999999999999997E-2</v>
      </c>
      <c r="AB87" s="302">
        <f t="shared" si="143"/>
        <v>5.0999999999999997E-2</v>
      </c>
      <c r="AC87" s="302">
        <f t="shared" si="143"/>
        <v>5.0999999999999997E-2</v>
      </c>
      <c r="AD87" s="302">
        <f t="shared" si="143"/>
        <v>5.0999999999999997E-2</v>
      </c>
      <c r="AE87" s="302">
        <f t="shared" si="143"/>
        <v>5.0999999999999997E-2</v>
      </c>
      <c r="AF87" s="302">
        <f t="shared" si="143"/>
        <v>5.0999999999999997E-2</v>
      </c>
      <c r="AG87" s="302">
        <f t="shared" si="143"/>
        <v>5.0999999999999997E-2</v>
      </c>
      <c r="AH87" s="302">
        <f t="shared" si="143"/>
        <v>5.0999999999999997E-2</v>
      </c>
      <c r="AI87" s="302">
        <f t="shared" si="143"/>
        <v>5.0999999999999997E-2</v>
      </c>
      <c r="AJ87" s="302">
        <f t="shared" si="143"/>
        <v>5.0999999999999997E-2</v>
      </c>
      <c r="AK87" s="302">
        <f t="shared" si="143"/>
        <v>5.0999999999999997E-2</v>
      </c>
      <c r="AL87" s="302">
        <f t="shared" si="143"/>
        <v>5.0999999999999997E-2</v>
      </c>
      <c r="AM87" s="302">
        <f t="shared" si="143"/>
        <v>5.0999999999999997E-2</v>
      </c>
      <c r="AN87" s="302">
        <f t="shared" si="143"/>
        <v>5.0999999999999997E-2</v>
      </c>
      <c r="AO87" s="302">
        <f t="shared" si="143"/>
        <v>5.0999999999999997E-2</v>
      </c>
      <c r="AP87" s="302">
        <f t="shared" si="143"/>
        <v>5.0999999999999997E-2</v>
      </c>
      <c r="AQ87" s="302">
        <f t="shared" si="143"/>
        <v>5.0999999999999997E-2</v>
      </c>
      <c r="AR87" s="302">
        <f t="shared" si="143"/>
        <v>5.0999999999999997E-2</v>
      </c>
      <c r="AS87" s="302">
        <f t="shared" si="143"/>
        <v>5.0999999999999997E-2</v>
      </c>
      <c r="AT87" s="302">
        <f t="shared" si="143"/>
        <v>5.0999999999999997E-2</v>
      </c>
      <c r="AU87" s="302">
        <f t="shared" si="143"/>
        <v>5.0999999999999997E-2</v>
      </c>
      <c r="AV87" s="302">
        <f t="shared" si="143"/>
        <v>5.0999999999999997E-2</v>
      </c>
    </row>
    <row r="88" spans="1:48" x14ac:dyDescent="0.2">
      <c r="A88" s="65" t="str">
        <f ca="1">Language!A433</f>
        <v>Ставка взносов в фонд социального страхования</v>
      </c>
      <c r="B88" s="97"/>
      <c r="C88" s="82" t="s">
        <v>1</v>
      </c>
      <c r="D88" s="57"/>
      <c r="E88" s="57"/>
      <c r="F88" s="57" t="s">
        <v>757</v>
      </c>
      <c r="G88" s="302">
        <v>2.9000000000000001E-2</v>
      </c>
      <c r="H88" s="302">
        <f t="shared" si="143"/>
        <v>2.9000000000000001E-2</v>
      </c>
      <c r="I88" s="302">
        <f t="shared" si="143"/>
        <v>2.9000000000000001E-2</v>
      </c>
      <c r="J88" s="302">
        <f t="shared" si="143"/>
        <v>2.9000000000000001E-2</v>
      </c>
      <c r="K88" s="302">
        <f t="shared" si="143"/>
        <v>2.9000000000000001E-2</v>
      </c>
      <c r="L88" s="302">
        <f t="shared" si="143"/>
        <v>2.9000000000000001E-2</v>
      </c>
      <c r="M88" s="302">
        <f t="shared" si="143"/>
        <v>2.9000000000000001E-2</v>
      </c>
      <c r="N88" s="302">
        <f t="shared" si="143"/>
        <v>2.9000000000000001E-2</v>
      </c>
      <c r="O88" s="302">
        <f t="shared" si="143"/>
        <v>2.9000000000000001E-2</v>
      </c>
      <c r="P88" s="302">
        <f t="shared" si="143"/>
        <v>2.9000000000000001E-2</v>
      </c>
      <c r="Q88" s="302">
        <f t="shared" si="143"/>
        <v>2.9000000000000001E-2</v>
      </c>
      <c r="R88" s="302">
        <f t="shared" si="143"/>
        <v>2.9000000000000001E-2</v>
      </c>
      <c r="S88" s="302">
        <f t="shared" si="143"/>
        <v>2.9000000000000001E-2</v>
      </c>
      <c r="T88" s="302">
        <f t="shared" si="143"/>
        <v>2.9000000000000001E-2</v>
      </c>
      <c r="U88" s="302">
        <f t="shared" si="143"/>
        <v>2.9000000000000001E-2</v>
      </c>
      <c r="V88" s="302">
        <f t="shared" si="143"/>
        <v>2.9000000000000001E-2</v>
      </c>
      <c r="W88" s="302">
        <f t="shared" si="143"/>
        <v>2.9000000000000001E-2</v>
      </c>
      <c r="X88" s="302">
        <f t="shared" si="143"/>
        <v>2.9000000000000001E-2</v>
      </c>
      <c r="Y88" s="302">
        <f t="shared" si="143"/>
        <v>2.9000000000000001E-2</v>
      </c>
      <c r="Z88" s="302">
        <f t="shared" si="143"/>
        <v>2.9000000000000001E-2</v>
      </c>
      <c r="AA88" s="302">
        <f t="shared" si="143"/>
        <v>2.9000000000000001E-2</v>
      </c>
      <c r="AB88" s="302">
        <f t="shared" si="143"/>
        <v>2.9000000000000001E-2</v>
      </c>
      <c r="AC88" s="302">
        <f t="shared" si="143"/>
        <v>2.9000000000000001E-2</v>
      </c>
      <c r="AD88" s="302">
        <f t="shared" si="143"/>
        <v>2.9000000000000001E-2</v>
      </c>
      <c r="AE88" s="302">
        <f t="shared" si="143"/>
        <v>2.9000000000000001E-2</v>
      </c>
      <c r="AF88" s="302">
        <f t="shared" si="143"/>
        <v>2.9000000000000001E-2</v>
      </c>
      <c r="AG88" s="302">
        <f t="shared" si="143"/>
        <v>2.9000000000000001E-2</v>
      </c>
      <c r="AH88" s="302">
        <f t="shared" si="143"/>
        <v>2.9000000000000001E-2</v>
      </c>
      <c r="AI88" s="302">
        <f t="shared" si="143"/>
        <v>2.9000000000000001E-2</v>
      </c>
      <c r="AJ88" s="302">
        <f t="shared" si="143"/>
        <v>2.9000000000000001E-2</v>
      </c>
      <c r="AK88" s="302">
        <f t="shared" si="143"/>
        <v>2.9000000000000001E-2</v>
      </c>
      <c r="AL88" s="302">
        <f t="shared" si="143"/>
        <v>2.9000000000000001E-2</v>
      </c>
      <c r="AM88" s="302">
        <f t="shared" si="143"/>
        <v>2.9000000000000001E-2</v>
      </c>
      <c r="AN88" s="302">
        <f t="shared" si="143"/>
        <v>2.9000000000000001E-2</v>
      </c>
      <c r="AO88" s="302">
        <f t="shared" si="143"/>
        <v>2.9000000000000001E-2</v>
      </c>
      <c r="AP88" s="302">
        <f t="shared" si="143"/>
        <v>2.9000000000000001E-2</v>
      </c>
      <c r="AQ88" s="302">
        <f t="shared" si="143"/>
        <v>2.9000000000000001E-2</v>
      </c>
      <c r="AR88" s="302">
        <f t="shared" si="143"/>
        <v>2.9000000000000001E-2</v>
      </c>
      <c r="AS88" s="302">
        <f t="shared" si="143"/>
        <v>2.9000000000000001E-2</v>
      </c>
      <c r="AT88" s="302">
        <f t="shared" si="143"/>
        <v>2.9000000000000001E-2</v>
      </c>
      <c r="AU88" s="302">
        <f t="shared" si="143"/>
        <v>2.9000000000000001E-2</v>
      </c>
      <c r="AV88" s="302">
        <f t="shared" si="143"/>
        <v>2.9000000000000001E-2</v>
      </c>
    </row>
    <row r="89" spans="1:48" x14ac:dyDescent="0.2">
      <c r="A89" s="65" t="str">
        <f ca="1">Language!A434</f>
        <v>Ставка страхования от несчастных случаев</v>
      </c>
      <c r="B89" s="97"/>
      <c r="C89" s="82" t="s">
        <v>1</v>
      </c>
      <c r="D89" s="57"/>
      <c r="E89" s="57"/>
      <c r="F89" s="57" t="s">
        <v>757</v>
      </c>
      <c r="G89" s="302">
        <v>0</v>
      </c>
      <c r="H89" s="302">
        <f t="shared" si="143"/>
        <v>0</v>
      </c>
      <c r="I89" s="302">
        <f t="shared" si="143"/>
        <v>0</v>
      </c>
      <c r="J89" s="302">
        <f t="shared" si="143"/>
        <v>0</v>
      </c>
      <c r="K89" s="302">
        <f t="shared" si="143"/>
        <v>0</v>
      </c>
      <c r="L89" s="302">
        <f t="shared" si="143"/>
        <v>0</v>
      </c>
      <c r="M89" s="302">
        <f t="shared" si="143"/>
        <v>0</v>
      </c>
      <c r="N89" s="302">
        <f t="shared" si="143"/>
        <v>0</v>
      </c>
      <c r="O89" s="302">
        <f t="shared" si="143"/>
        <v>0</v>
      </c>
      <c r="P89" s="302">
        <f t="shared" si="143"/>
        <v>0</v>
      </c>
      <c r="Q89" s="302">
        <f t="shared" si="143"/>
        <v>0</v>
      </c>
      <c r="R89" s="302">
        <f t="shared" si="143"/>
        <v>0</v>
      </c>
      <c r="S89" s="302">
        <f t="shared" si="143"/>
        <v>0</v>
      </c>
      <c r="T89" s="302">
        <f t="shared" si="143"/>
        <v>0</v>
      </c>
      <c r="U89" s="302">
        <f t="shared" si="143"/>
        <v>0</v>
      </c>
      <c r="V89" s="302">
        <f t="shared" si="143"/>
        <v>0</v>
      </c>
      <c r="W89" s="302">
        <f t="shared" si="143"/>
        <v>0</v>
      </c>
      <c r="X89" s="302">
        <f t="shared" si="143"/>
        <v>0</v>
      </c>
      <c r="Y89" s="302">
        <f t="shared" si="143"/>
        <v>0</v>
      </c>
      <c r="Z89" s="302">
        <f t="shared" si="143"/>
        <v>0</v>
      </c>
      <c r="AA89" s="302">
        <f t="shared" si="143"/>
        <v>0</v>
      </c>
      <c r="AB89" s="302">
        <f t="shared" si="143"/>
        <v>0</v>
      </c>
      <c r="AC89" s="302">
        <f t="shared" si="143"/>
        <v>0</v>
      </c>
      <c r="AD89" s="302">
        <f t="shared" si="143"/>
        <v>0</v>
      </c>
      <c r="AE89" s="302">
        <f t="shared" si="143"/>
        <v>0</v>
      </c>
      <c r="AF89" s="302">
        <f t="shared" si="143"/>
        <v>0</v>
      </c>
      <c r="AG89" s="302">
        <f t="shared" si="143"/>
        <v>0</v>
      </c>
      <c r="AH89" s="302">
        <f t="shared" si="143"/>
        <v>0</v>
      </c>
      <c r="AI89" s="302">
        <f t="shared" si="143"/>
        <v>0</v>
      </c>
      <c r="AJ89" s="302">
        <f t="shared" si="143"/>
        <v>0</v>
      </c>
      <c r="AK89" s="302">
        <f t="shared" si="143"/>
        <v>0</v>
      </c>
      <c r="AL89" s="302">
        <f t="shared" si="143"/>
        <v>0</v>
      </c>
      <c r="AM89" s="302">
        <f t="shared" si="143"/>
        <v>0</v>
      </c>
      <c r="AN89" s="302">
        <f t="shared" si="143"/>
        <v>0</v>
      </c>
      <c r="AO89" s="302">
        <f t="shared" si="143"/>
        <v>0</v>
      </c>
      <c r="AP89" s="302">
        <f t="shared" si="143"/>
        <v>0</v>
      </c>
      <c r="AQ89" s="302">
        <f t="shared" si="143"/>
        <v>0</v>
      </c>
      <c r="AR89" s="302">
        <f t="shared" si="143"/>
        <v>0</v>
      </c>
      <c r="AS89" s="302">
        <f t="shared" si="143"/>
        <v>0</v>
      </c>
      <c r="AT89" s="302">
        <f t="shared" si="143"/>
        <v>0</v>
      </c>
      <c r="AU89" s="302">
        <f t="shared" si="143"/>
        <v>0</v>
      </c>
      <c r="AV89" s="302">
        <f t="shared" si="143"/>
        <v>0</v>
      </c>
    </row>
    <row r="90" spans="1:48" x14ac:dyDescent="0.2">
      <c r="A90" s="65" t="str">
        <f ca="1">Language!A435</f>
        <v>Ставка других социальных взносов</v>
      </c>
      <c r="B90" s="97"/>
      <c r="C90" s="82" t="s">
        <v>1</v>
      </c>
      <c r="D90" s="57"/>
      <c r="E90" s="57"/>
      <c r="F90" s="57" t="s">
        <v>757</v>
      </c>
      <c r="G90" s="302">
        <v>0</v>
      </c>
      <c r="H90" s="302">
        <f t="shared" si="143"/>
        <v>0</v>
      </c>
      <c r="I90" s="302">
        <f t="shared" si="143"/>
        <v>0</v>
      </c>
      <c r="J90" s="302">
        <f t="shared" si="143"/>
        <v>0</v>
      </c>
      <c r="K90" s="302">
        <f t="shared" si="143"/>
        <v>0</v>
      </c>
      <c r="L90" s="302">
        <f t="shared" si="143"/>
        <v>0</v>
      </c>
      <c r="M90" s="302">
        <f t="shared" si="143"/>
        <v>0</v>
      </c>
      <c r="N90" s="302">
        <f t="shared" si="143"/>
        <v>0</v>
      </c>
      <c r="O90" s="302">
        <f t="shared" si="143"/>
        <v>0</v>
      </c>
      <c r="P90" s="302">
        <f t="shared" si="143"/>
        <v>0</v>
      </c>
      <c r="Q90" s="302">
        <f t="shared" si="143"/>
        <v>0</v>
      </c>
      <c r="R90" s="302">
        <f t="shared" si="143"/>
        <v>0</v>
      </c>
      <c r="S90" s="302">
        <f t="shared" si="143"/>
        <v>0</v>
      </c>
      <c r="T90" s="302">
        <f t="shared" si="143"/>
        <v>0</v>
      </c>
      <c r="U90" s="302">
        <f t="shared" si="143"/>
        <v>0</v>
      </c>
      <c r="V90" s="302">
        <f t="shared" si="143"/>
        <v>0</v>
      </c>
      <c r="W90" s="302">
        <f t="shared" si="143"/>
        <v>0</v>
      </c>
      <c r="X90" s="302">
        <f t="shared" si="143"/>
        <v>0</v>
      </c>
      <c r="Y90" s="302">
        <f t="shared" si="143"/>
        <v>0</v>
      </c>
      <c r="Z90" s="302">
        <f t="shared" si="143"/>
        <v>0</v>
      </c>
      <c r="AA90" s="302">
        <f t="shared" si="143"/>
        <v>0</v>
      </c>
      <c r="AB90" s="302">
        <f t="shared" si="143"/>
        <v>0</v>
      </c>
      <c r="AC90" s="302">
        <f t="shared" si="143"/>
        <v>0</v>
      </c>
      <c r="AD90" s="302">
        <f t="shared" si="143"/>
        <v>0</v>
      </c>
      <c r="AE90" s="302">
        <f t="shared" si="143"/>
        <v>0</v>
      </c>
      <c r="AF90" s="302">
        <f t="shared" si="143"/>
        <v>0</v>
      </c>
      <c r="AG90" s="302">
        <f t="shared" si="143"/>
        <v>0</v>
      </c>
      <c r="AH90" s="302">
        <f t="shared" si="143"/>
        <v>0</v>
      </c>
      <c r="AI90" s="302">
        <f t="shared" si="143"/>
        <v>0</v>
      </c>
      <c r="AJ90" s="302">
        <f t="shared" si="143"/>
        <v>0</v>
      </c>
      <c r="AK90" s="302">
        <f t="shared" si="143"/>
        <v>0</v>
      </c>
      <c r="AL90" s="302">
        <f t="shared" si="143"/>
        <v>0</v>
      </c>
      <c r="AM90" s="302">
        <f t="shared" si="143"/>
        <v>0</v>
      </c>
      <c r="AN90" s="302">
        <f t="shared" si="143"/>
        <v>0</v>
      </c>
      <c r="AO90" s="302">
        <f t="shared" si="143"/>
        <v>0</v>
      </c>
      <c r="AP90" s="302">
        <f t="shared" si="143"/>
        <v>0</v>
      </c>
      <c r="AQ90" s="302">
        <f t="shared" si="143"/>
        <v>0</v>
      </c>
      <c r="AR90" s="302">
        <f t="shared" si="143"/>
        <v>0</v>
      </c>
      <c r="AS90" s="302">
        <f t="shared" si="143"/>
        <v>0</v>
      </c>
      <c r="AT90" s="302">
        <f t="shared" si="143"/>
        <v>0</v>
      </c>
      <c r="AU90" s="302">
        <f t="shared" si="143"/>
        <v>0</v>
      </c>
      <c r="AV90" s="302">
        <f t="shared" si="143"/>
        <v>0</v>
      </c>
    </row>
    <row r="91" spans="1:48" s="98" customFormat="1" x14ac:dyDescent="0.2">
      <c r="A91" s="65" t="str">
        <f ca="1">Language!A436</f>
        <v>Суммарная ставка социальных взносов</v>
      </c>
      <c r="B91" s="97"/>
      <c r="C91" s="82" t="s">
        <v>1</v>
      </c>
      <c r="D91" s="57"/>
      <c r="E91" s="57"/>
      <c r="F91" s="57" t="s">
        <v>756</v>
      </c>
      <c r="G91" s="93">
        <f t="shared" ref="G91:K91" si="144">SUM(G86:G90)</f>
        <v>0.30000000000000004</v>
      </c>
      <c r="H91" s="93">
        <f t="shared" si="144"/>
        <v>0.30000000000000004</v>
      </c>
      <c r="I91" s="93">
        <f t="shared" si="144"/>
        <v>0.30000000000000004</v>
      </c>
      <c r="J91" s="93">
        <f t="shared" si="144"/>
        <v>0.30000000000000004</v>
      </c>
      <c r="K91" s="93">
        <f t="shared" si="144"/>
        <v>0.30000000000000004</v>
      </c>
      <c r="L91" s="93">
        <f t="shared" ref="L91:M91" si="145">SUM(L86:L90)</f>
        <v>0.30000000000000004</v>
      </c>
      <c r="M91" s="93">
        <f t="shared" si="145"/>
        <v>0.30000000000000004</v>
      </c>
      <c r="N91" s="93">
        <f t="shared" ref="N91:O91" si="146">SUM(N86:N90)</f>
        <v>0.30000000000000004</v>
      </c>
      <c r="O91" s="93">
        <f t="shared" si="146"/>
        <v>0.30000000000000004</v>
      </c>
      <c r="P91" s="93">
        <f t="shared" ref="P91:Q91" si="147">SUM(P86:P90)</f>
        <v>0.30000000000000004</v>
      </c>
      <c r="Q91" s="93">
        <f t="shared" si="147"/>
        <v>0.30000000000000004</v>
      </c>
      <c r="R91" s="93">
        <f t="shared" ref="R91:S91" si="148">SUM(R86:R90)</f>
        <v>0.30000000000000004</v>
      </c>
      <c r="S91" s="93">
        <f t="shared" si="148"/>
        <v>0.30000000000000004</v>
      </c>
      <c r="T91" s="93">
        <f t="shared" ref="T91:U91" si="149">SUM(T86:T90)</f>
        <v>0.30000000000000004</v>
      </c>
      <c r="U91" s="93">
        <f t="shared" si="149"/>
        <v>0.30000000000000004</v>
      </c>
      <c r="V91" s="93">
        <f t="shared" ref="V91:W91" si="150">SUM(V86:V90)</f>
        <v>0.30000000000000004</v>
      </c>
      <c r="W91" s="93">
        <f t="shared" si="150"/>
        <v>0.30000000000000004</v>
      </c>
      <c r="X91" s="93">
        <f t="shared" ref="X91:Y91" si="151">SUM(X86:X90)</f>
        <v>0.30000000000000004</v>
      </c>
      <c r="Y91" s="93">
        <f t="shared" si="151"/>
        <v>0.30000000000000004</v>
      </c>
      <c r="Z91" s="93">
        <f t="shared" ref="Z91:AA91" si="152">SUM(Z86:Z90)</f>
        <v>0.30000000000000004</v>
      </c>
      <c r="AA91" s="93">
        <f t="shared" si="152"/>
        <v>0.30000000000000004</v>
      </c>
      <c r="AB91" s="93">
        <f t="shared" ref="AB91:AC91" si="153">SUM(AB86:AB90)</f>
        <v>0.30000000000000004</v>
      </c>
      <c r="AC91" s="93">
        <f t="shared" si="153"/>
        <v>0.30000000000000004</v>
      </c>
      <c r="AD91" s="93">
        <f t="shared" ref="AD91:AE91" si="154">SUM(AD86:AD90)</f>
        <v>0.30000000000000004</v>
      </c>
      <c r="AE91" s="93">
        <f t="shared" si="154"/>
        <v>0.30000000000000004</v>
      </c>
      <c r="AF91" s="93">
        <f t="shared" ref="AF91:AG91" si="155">SUM(AF86:AF90)</f>
        <v>0.30000000000000004</v>
      </c>
      <c r="AG91" s="93">
        <f t="shared" si="155"/>
        <v>0.30000000000000004</v>
      </c>
      <c r="AH91" s="93">
        <f t="shared" ref="AH91:AI91" si="156">SUM(AH86:AH90)</f>
        <v>0.30000000000000004</v>
      </c>
      <c r="AI91" s="93">
        <f t="shared" si="156"/>
        <v>0.30000000000000004</v>
      </c>
      <c r="AJ91" s="93">
        <f t="shared" ref="AJ91:AK91" si="157">SUM(AJ86:AJ90)</f>
        <v>0.30000000000000004</v>
      </c>
      <c r="AK91" s="93">
        <f t="shared" si="157"/>
        <v>0.30000000000000004</v>
      </c>
      <c r="AL91" s="93">
        <f t="shared" ref="AL91:AM91" si="158">SUM(AL86:AL90)</f>
        <v>0.30000000000000004</v>
      </c>
      <c r="AM91" s="93">
        <f t="shared" si="158"/>
        <v>0.30000000000000004</v>
      </c>
      <c r="AN91" s="93">
        <f t="shared" ref="AN91:AO91" si="159">SUM(AN86:AN90)</f>
        <v>0.30000000000000004</v>
      </c>
      <c r="AO91" s="93">
        <f t="shared" si="159"/>
        <v>0.30000000000000004</v>
      </c>
      <c r="AP91" s="93">
        <f t="shared" ref="AP91:AQ91" si="160">SUM(AP86:AP90)</f>
        <v>0.30000000000000004</v>
      </c>
      <c r="AQ91" s="93">
        <f t="shared" si="160"/>
        <v>0.30000000000000004</v>
      </c>
      <c r="AR91" s="93">
        <f t="shared" ref="AR91:AS91" si="161">SUM(AR86:AR90)</f>
        <v>0.30000000000000004</v>
      </c>
      <c r="AS91" s="93">
        <f t="shared" si="161"/>
        <v>0.30000000000000004</v>
      </c>
      <c r="AT91" s="93">
        <f t="shared" ref="AT91:AU91" si="162">SUM(AT86:AT90)</f>
        <v>0.30000000000000004</v>
      </c>
      <c r="AU91" s="93">
        <f t="shared" si="162"/>
        <v>0.30000000000000004</v>
      </c>
      <c r="AV91" s="93">
        <f t="shared" ref="AV91" si="163">SUM(AV86:AV90)</f>
        <v>0.30000000000000004</v>
      </c>
    </row>
    <row r="92" spans="1:48" x14ac:dyDescent="0.2">
      <c r="A92" s="65" t="str">
        <f ca="1">Language!A437</f>
        <v>Периодичность выплаты налога, месяцев</v>
      </c>
      <c r="B92" s="305">
        <v>1</v>
      </c>
      <c r="C92" s="82" t="str">
        <f ca="1">Language!A46</f>
        <v>мес.</v>
      </c>
      <c r="D92" s="57"/>
      <c r="E92" s="57"/>
      <c r="F92" s="57"/>
    </row>
    <row r="93" spans="1:48" hidden="1" x14ac:dyDescent="0.2">
      <c r="A93" s="65"/>
      <c r="B93" s="72"/>
      <c r="D93" s="57"/>
      <c r="E93" s="57" t="s">
        <v>649</v>
      </c>
      <c r="F93" s="57" t="s">
        <v>641</v>
      </c>
    </row>
    <row r="94" spans="1:48" hidden="1" x14ac:dyDescent="0.2">
      <c r="A94" s="92" t="str">
        <f ca="1">Language!A438</f>
        <v>НАЛОГ НА ИМУЩЕСТВО</v>
      </c>
      <c r="B94" s="72"/>
      <c r="D94" s="57"/>
      <c r="E94" s="57"/>
      <c r="F94" s="57"/>
    </row>
    <row r="95" spans="1:48" hidden="1" x14ac:dyDescent="0.2">
      <c r="A95" s="65"/>
      <c r="B95" s="72"/>
      <c r="D95" s="57"/>
      <c r="E95" s="57"/>
      <c r="F95" s="57"/>
    </row>
    <row r="96" spans="1:48" hidden="1" x14ac:dyDescent="0.2">
      <c r="A96" s="65" t="str">
        <f ca="1">Language!A439</f>
        <v>Ставка налога для недвижимости</v>
      </c>
      <c r="B96" s="97"/>
      <c r="C96" s="82" t="s">
        <v>1</v>
      </c>
      <c r="D96" s="57">
        <v>0</v>
      </c>
      <c r="E96" s="57"/>
      <c r="F96" s="57" t="s">
        <v>757</v>
      </c>
      <c r="G96" s="302">
        <v>0</v>
      </c>
      <c r="H96" s="302">
        <f t="shared" ref="H96:AV97" si="164">G96</f>
        <v>0</v>
      </c>
      <c r="I96" s="302">
        <f t="shared" si="164"/>
        <v>0</v>
      </c>
      <c r="J96" s="302">
        <f t="shared" si="164"/>
        <v>0</v>
      </c>
      <c r="K96" s="302">
        <f t="shared" si="164"/>
        <v>0</v>
      </c>
      <c r="L96" s="302">
        <f t="shared" si="164"/>
        <v>0</v>
      </c>
      <c r="M96" s="302">
        <f t="shared" si="164"/>
        <v>0</v>
      </c>
      <c r="N96" s="302">
        <f t="shared" si="164"/>
        <v>0</v>
      </c>
      <c r="O96" s="302">
        <f t="shared" si="164"/>
        <v>0</v>
      </c>
      <c r="P96" s="302">
        <f t="shared" si="164"/>
        <v>0</v>
      </c>
      <c r="Q96" s="302">
        <f t="shared" si="164"/>
        <v>0</v>
      </c>
      <c r="R96" s="302">
        <f t="shared" si="164"/>
        <v>0</v>
      </c>
      <c r="S96" s="302">
        <f t="shared" si="164"/>
        <v>0</v>
      </c>
      <c r="T96" s="302">
        <f t="shared" si="164"/>
        <v>0</v>
      </c>
      <c r="U96" s="302">
        <f t="shared" si="164"/>
        <v>0</v>
      </c>
      <c r="V96" s="302">
        <f t="shared" si="164"/>
        <v>0</v>
      </c>
      <c r="W96" s="302">
        <f t="shared" si="164"/>
        <v>0</v>
      </c>
      <c r="X96" s="302">
        <f t="shared" si="164"/>
        <v>0</v>
      </c>
      <c r="Y96" s="302">
        <f t="shared" si="164"/>
        <v>0</v>
      </c>
      <c r="Z96" s="302">
        <f t="shared" si="164"/>
        <v>0</v>
      </c>
      <c r="AA96" s="302">
        <f t="shared" si="164"/>
        <v>0</v>
      </c>
      <c r="AB96" s="302">
        <f t="shared" si="164"/>
        <v>0</v>
      </c>
      <c r="AC96" s="302">
        <f t="shared" si="164"/>
        <v>0</v>
      </c>
      <c r="AD96" s="302">
        <f t="shared" si="164"/>
        <v>0</v>
      </c>
      <c r="AE96" s="302">
        <f t="shared" si="164"/>
        <v>0</v>
      </c>
      <c r="AF96" s="302">
        <f t="shared" si="164"/>
        <v>0</v>
      </c>
      <c r="AG96" s="302">
        <f t="shared" si="164"/>
        <v>0</v>
      </c>
      <c r="AH96" s="302">
        <f t="shared" si="164"/>
        <v>0</v>
      </c>
      <c r="AI96" s="302">
        <f t="shared" si="164"/>
        <v>0</v>
      </c>
      <c r="AJ96" s="302">
        <f t="shared" si="164"/>
        <v>0</v>
      </c>
      <c r="AK96" s="302">
        <f t="shared" si="164"/>
        <v>0</v>
      </c>
      <c r="AL96" s="302">
        <f t="shared" si="164"/>
        <v>0</v>
      </c>
      <c r="AM96" s="302">
        <f t="shared" si="164"/>
        <v>0</v>
      </c>
      <c r="AN96" s="302">
        <f t="shared" si="164"/>
        <v>0</v>
      </c>
      <c r="AO96" s="302">
        <f t="shared" si="164"/>
        <v>0</v>
      </c>
      <c r="AP96" s="302">
        <f t="shared" si="164"/>
        <v>0</v>
      </c>
      <c r="AQ96" s="302">
        <f t="shared" si="164"/>
        <v>0</v>
      </c>
      <c r="AR96" s="302">
        <f t="shared" si="164"/>
        <v>0</v>
      </c>
      <c r="AS96" s="302">
        <f t="shared" si="164"/>
        <v>0</v>
      </c>
      <c r="AT96" s="302">
        <f t="shared" si="164"/>
        <v>0</v>
      </c>
      <c r="AU96" s="302">
        <f t="shared" si="164"/>
        <v>0</v>
      </c>
      <c r="AV96" s="302">
        <f t="shared" si="164"/>
        <v>0</v>
      </c>
    </row>
    <row r="97" spans="1:48" hidden="1" x14ac:dyDescent="0.2">
      <c r="A97" s="65" t="str">
        <f ca="1">Language!A440</f>
        <v>Ставка налога для оборудования</v>
      </c>
      <c r="B97" s="97"/>
      <c r="C97" s="82" t="s">
        <v>1</v>
      </c>
      <c r="D97" s="57"/>
      <c r="E97" s="57"/>
      <c r="F97" s="57" t="s">
        <v>757</v>
      </c>
      <c r="G97" s="302">
        <v>0</v>
      </c>
      <c r="H97" s="302">
        <f t="shared" si="164"/>
        <v>0</v>
      </c>
      <c r="I97" s="302">
        <f t="shared" si="164"/>
        <v>0</v>
      </c>
      <c r="J97" s="302">
        <f t="shared" si="164"/>
        <v>0</v>
      </c>
      <c r="K97" s="302">
        <f t="shared" si="164"/>
        <v>0</v>
      </c>
      <c r="L97" s="302">
        <f t="shared" si="164"/>
        <v>0</v>
      </c>
      <c r="M97" s="302">
        <f t="shared" si="164"/>
        <v>0</v>
      </c>
      <c r="N97" s="302">
        <f t="shared" si="164"/>
        <v>0</v>
      </c>
      <c r="O97" s="302">
        <f t="shared" si="164"/>
        <v>0</v>
      </c>
      <c r="P97" s="302">
        <f t="shared" si="164"/>
        <v>0</v>
      </c>
      <c r="Q97" s="302">
        <f t="shared" si="164"/>
        <v>0</v>
      </c>
      <c r="R97" s="302">
        <f t="shared" si="164"/>
        <v>0</v>
      </c>
      <c r="S97" s="302">
        <f t="shared" si="164"/>
        <v>0</v>
      </c>
      <c r="T97" s="302">
        <f t="shared" si="164"/>
        <v>0</v>
      </c>
      <c r="U97" s="302">
        <f t="shared" si="164"/>
        <v>0</v>
      </c>
      <c r="V97" s="302">
        <f t="shared" si="164"/>
        <v>0</v>
      </c>
      <c r="W97" s="302">
        <f t="shared" si="164"/>
        <v>0</v>
      </c>
      <c r="X97" s="302">
        <f t="shared" si="164"/>
        <v>0</v>
      </c>
      <c r="Y97" s="302">
        <f t="shared" si="164"/>
        <v>0</v>
      </c>
      <c r="Z97" s="302">
        <f t="shared" si="164"/>
        <v>0</v>
      </c>
      <c r="AA97" s="302">
        <f t="shared" si="164"/>
        <v>0</v>
      </c>
      <c r="AB97" s="302">
        <f t="shared" si="164"/>
        <v>0</v>
      </c>
      <c r="AC97" s="302">
        <f t="shared" si="164"/>
        <v>0</v>
      </c>
      <c r="AD97" s="302">
        <f t="shared" si="164"/>
        <v>0</v>
      </c>
      <c r="AE97" s="302">
        <f t="shared" si="164"/>
        <v>0</v>
      </c>
      <c r="AF97" s="302">
        <f t="shared" si="164"/>
        <v>0</v>
      </c>
      <c r="AG97" s="302">
        <f t="shared" si="164"/>
        <v>0</v>
      </c>
      <c r="AH97" s="302">
        <f t="shared" si="164"/>
        <v>0</v>
      </c>
      <c r="AI97" s="302">
        <f t="shared" si="164"/>
        <v>0</v>
      </c>
      <c r="AJ97" s="302">
        <f t="shared" si="164"/>
        <v>0</v>
      </c>
      <c r="AK97" s="302">
        <f t="shared" si="164"/>
        <v>0</v>
      </c>
      <c r="AL97" s="302">
        <f t="shared" si="164"/>
        <v>0</v>
      </c>
      <c r="AM97" s="302">
        <f t="shared" si="164"/>
        <v>0</v>
      </c>
      <c r="AN97" s="302">
        <f t="shared" si="164"/>
        <v>0</v>
      </c>
      <c r="AO97" s="302">
        <f t="shared" si="164"/>
        <v>0</v>
      </c>
      <c r="AP97" s="302">
        <f t="shared" si="164"/>
        <v>0</v>
      </c>
      <c r="AQ97" s="302">
        <f t="shared" si="164"/>
        <v>0</v>
      </c>
      <c r="AR97" s="302">
        <f t="shared" si="164"/>
        <v>0</v>
      </c>
      <c r="AS97" s="302">
        <f t="shared" si="164"/>
        <v>0</v>
      </c>
      <c r="AT97" s="302">
        <f t="shared" si="164"/>
        <v>0</v>
      </c>
      <c r="AU97" s="302">
        <f t="shared" si="164"/>
        <v>0</v>
      </c>
      <c r="AV97" s="302">
        <f t="shared" si="164"/>
        <v>0</v>
      </c>
    </row>
    <row r="98" spans="1:48" hidden="1" x14ac:dyDescent="0.2">
      <c r="A98" s="65" t="str">
        <f ca="1">Language!A441</f>
        <v>Периодичность выплаты налога, месяцев</v>
      </c>
      <c r="B98" s="305">
        <v>1</v>
      </c>
      <c r="C98" s="82" t="str">
        <f ca="1">Language!A46</f>
        <v>мес.</v>
      </c>
      <c r="D98" s="57"/>
      <c r="E98" s="57"/>
      <c r="F98" s="57"/>
    </row>
    <row r="99" spans="1:48" hidden="1" x14ac:dyDescent="0.2">
      <c r="A99" s="65"/>
      <c r="B99" s="72"/>
      <c r="D99" s="57"/>
      <c r="E99" s="57" t="s">
        <v>650</v>
      </c>
      <c r="F99" s="57" t="s">
        <v>651</v>
      </c>
    </row>
    <row r="100" spans="1:48" hidden="1" x14ac:dyDescent="0.2">
      <c r="A100" s="92" t="str">
        <f ca="1">Language!A442</f>
        <v>НАЛОГ С ОБОРОТА (УСН)</v>
      </c>
      <c r="B100" s="72"/>
      <c r="D100" s="57"/>
      <c r="E100" s="57"/>
      <c r="F100" s="57"/>
    </row>
    <row r="101" spans="1:48" hidden="1" x14ac:dyDescent="0.2">
      <c r="A101" s="65"/>
      <c r="B101" s="72"/>
      <c r="D101" s="57"/>
      <c r="E101" s="57"/>
      <c r="F101" s="57"/>
    </row>
    <row r="102" spans="1:48" hidden="1" x14ac:dyDescent="0.2">
      <c r="A102" s="65" t="str">
        <f ca="1">Language!A443</f>
        <v>Ставка налога</v>
      </c>
      <c r="B102" s="97"/>
      <c r="C102" s="82" t="s">
        <v>1</v>
      </c>
      <c r="D102" s="57">
        <v>0</v>
      </c>
      <c r="E102" s="57"/>
      <c r="F102" s="57" t="s">
        <v>757</v>
      </c>
      <c r="G102" s="302">
        <v>0</v>
      </c>
      <c r="H102" s="302">
        <f t="shared" ref="H102:AV102" si="165">G102</f>
        <v>0</v>
      </c>
      <c r="I102" s="302">
        <f t="shared" si="165"/>
        <v>0</v>
      </c>
      <c r="J102" s="302">
        <f t="shared" si="165"/>
        <v>0</v>
      </c>
      <c r="K102" s="302">
        <f t="shared" si="165"/>
        <v>0</v>
      </c>
      <c r="L102" s="302">
        <f t="shared" si="165"/>
        <v>0</v>
      </c>
      <c r="M102" s="302">
        <f t="shared" si="165"/>
        <v>0</v>
      </c>
      <c r="N102" s="302">
        <f t="shared" si="165"/>
        <v>0</v>
      </c>
      <c r="O102" s="302">
        <f t="shared" si="165"/>
        <v>0</v>
      </c>
      <c r="P102" s="302">
        <f t="shared" si="165"/>
        <v>0</v>
      </c>
      <c r="Q102" s="302">
        <f t="shared" si="165"/>
        <v>0</v>
      </c>
      <c r="R102" s="302">
        <f t="shared" si="165"/>
        <v>0</v>
      </c>
      <c r="S102" s="302">
        <f t="shared" si="165"/>
        <v>0</v>
      </c>
      <c r="T102" s="302">
        <f t="shared" si="165"/>
        <v>0</v>
      </c>
      <c r="U102" s="302">
        <f t="shared" si="165"/>
        <v>0</v>
      </c>
      <c r="V102" s="302">
        <f t="shared" si="165"/>
        <v>0</v>
      </c>
      <c r="W102" s="302">
        <f t="shared" si="165"/>
        <v>0</v>
      </c>
      <c r="X102" s="302">
        <f t="shared" si="165"/>
        <v>0</v>
      </c>
      <c r="Y102" s="302">
        <f t="shared" si="165"/>
        <v>0</v>
      </c>
      <c r="Z102" s="302">
        <f t="shared" si="165"/>
        <v>0</v>
      </c>
      <c r="AA102" s="302">
        <f t="shared" si="165"/>
        <v>0</v>
      </c>
      <c r="AB102" s="302">
        <f t="shared" si="165"/>
        <v>0</v>
      </c>
      <c r="AC102" s="302">
        <f t="shared" si="165"/>
        <v>0</v>
      </c>
      <c r="AD102" s="302">
        <f t="shared" si="165"/>
        <v>0</v>
      </c>
      <c r="AE102" s="302">
        <f t="shared" si="165"/>
        <v>0</v>
      </c>
      <c r="AF102" s="302">
        <f t="shared" si="165"/>
        <v>0</v>
      </c>
      <c r="AG102" s="302">
        <f t="shared" si="165"/>
        <v>0</v>
      </c>
      <c r="AH102" s="302">
        <f t="shared" si="165"/>
        <v>0</v>
      </c>
      <c r="AI102" s="302">
        <f t="shared" si="165"/>
        <v>0</v>
      </c>
      <c r="AJ102" s="302">
        <f t="shared" si="165"/>
        <v>0</v>
      </c>
      <c r="AK102" s="302">
        <f t="shared" si="165"/>
        <v>0</v>
      </c>
      <c r="AL102" s="302">
        <f t="shared" si="165"/>
        <v>0</v>
      </c>
      <c r="AM102" s="302">
        <f t="shared" si="165"/>
        <v>0</v>
      </c>
      <c r="AN102" s="302">
        <f t="shared" si="165"/>
        <v>0</v>
      </c>
      <c r="AO102" s="302">
        <f t="shared" si="165"/>
        <v>0</v>
      </c>
      <c r="AP102" s="302">
        <f t="shared" si="165"/>
        <v>0</v>
      </c>
      <c r="AQ102" s="302">
        <f t="shared" si="165"/>
        <v>0</v>
      </c>
      <c r="AR102" s="302">
        <f t="shared" si="165"/>
        <v>0</v>
      </c>
      <c r="AS102" s="302">
        <f t="shared" si="165"/>
        <v>0</v>
      </c>
      <c r="AT102" s="302">
        <f t="shared" si="165"/>
        <v>0</v>
      </c>
      <c r="AU102" s="302">
        <f t="shared" si="165"/>
        <v>0</v>
      </c>
      <c r="AV102" s="302">
        <f t="shared" si="165"/>
        <v>0</v>
      </c>
    </row>
    <row r="103" spans="1:48" hidden="1" x14ac:dyDescent="0.2">
      <c r="A103" s="65" t="str">
        <f ca="1">Language!A444</f>
        <v>Периодичность выплаты налога, месяцев</v>
      </c>
      <c r="B103" s="305">
        <v>1</v>
      </c>
      <c r="C103" s="82" t="str">
        <f ca="1">Language!A46</f>
        <v>мес.</v>
      </c>
      <c r="D103" s="57"/>
      <c r="E103" s="57"/>
      <c r="F103" s="57"/>
    </row>
    <row r="104" spans="1:48" hidden="1" x14ac:dyDescent="0.2">
      <c r="A104" s="65"/>
      <c r="B104" s="72"/>
      <c r="D104" s="57"/>
      <c r="E104" s="57" t="s">
        <v>652</v>
      </c>
      <c r="F104" s="57" t="s">
        <v>641</v>
      </c>
    </row>
    <row r="105" spans="1:48" hidden="1" x14ac:dyDescent="0.2">
      <c r="A105" s="92" t="str">
        <f ca="1">Language!A445</f>
        <v>НАЛОГ С ДОХОДА, УМЕНЬШЕННОГО НА РАСХОДЫ (УСН, ЕСХН)</v>
      </c>
      <c r="B105" s="72"/>
      <c r="D105" s="57"/>
      <c r="E105" s="57"/>
      <c r="F105" s="57"/>
    </row>
    <row r="106" spans="1:48" hidden="1" x14ac:dyDescent="0.2">
      <c r="A106" s="65"/>
      <c r="B106" s="72"/>
      <c r="D106" s="57"/>
      <c r="E106" s="57"/>
      <c r="F106" s="57"/>
    </row>
    <row r="107" spans="1:48" hidden="1" x14ac:dyDescent="0.2">
      <c r="A107" s="65" t="str">
        <f ca="1">Language!A446</f>
        <v>Ставка налога</v>
      </c>
      <c r="B107" s="97"/>
      <c r="C107" s="82" t="s">
        <v>1</v>
      </c>
      <c r="D107" s="57">
        <v>0</v>
      </c>
      <c r="E107" s="57"/>
      <c r="F107" s="57" t="s">
        <v>757</v>
      </c>
      <c r="G107" s="302">
        <v>0</v>
      </c>
      <c r="H107" s="302">
        <f t="shared" ref="H107:AV107" si="166">G107</f>
        <v>0</v>
      </c>
      <c r="I107" s="302">
        <f t="shared" si="166"/>
        <v>0</v>
      </c>
      <c r="J107" s="302">
        <f t="shared" si="166"/>
        <v>0</v>
      </c>
      <c r="K107" s="302">
        <f t="shared" si="166"/>
        <v>0</v>
      </c>
      <c r="L107" s="302">
        <f t="shared" si="166"/>
        <v>0</v>
      </c>
      <c r="M107" s="302">
        <f t="shared" si="166"/>
        <v>0</v>
      </c>
      <c r="N107" s="302">
        <f t="shared" si="166"/>
        <v>0</v>
      </c>
      <c r="O107" s="302">
        <f t="shared" si="166"/>
        <v>0</v>
      </c>
      <c r="P107" s="302">
        <f t="shared" si="166"/>
        <v>0</v>
      </c>
      <c r="Q107" s="302">
        <f t="shared" si="166"/>
        <v>0</v>
      </c>
      <c r="R107" s="302">
        <f t="shared" si="166"/>
        <v>0</v>
      </c>
      <c r="S107" s="302">
        <f t="shared" si="166"/>
        <v>0</v>
      </c>
      <c r="T107" s="302">
        <f t="shared" si="166"/>
        <v>0</v>
      </c>
      <c r="U107" s="302">
        <f t="shared" si="166"/>
        <v>0</v>
      </c>
      <c r="V107" s="302">
        <f t="shared" si="166"/>
        <v>0</v>
      </c>
      <c r="W107" s="302">
        <f t="shared" si="166"/>
        <v>0</v>
      </c>
      <c r="X107" s="302">
        <f t="shared" si="166"/>
        <v>0</v>
      </c>
      <c r="Y107" s="302">
        <f t="shared" si="166"/>
        <v>0</v>
      </c>
      <c r="Z107" s="302">
        <f t="shared" si="166"/>
        <v>0</v>
      </c>
      <c r="AA107" s="302">
        <f t="shared" si="166"/>
        <v>0</v>
      </c>
      <c r="AB107" s="302">
        <f t="shared" si="166"/>
        <v>0</v>
      </c>
      <c r="AC107" s="302">
        <f t="shared" si="166"/>
        <v>0</v>
      </c>
      <c r="AD107" s="302">
        <f t="shared" si="166"/>
        <v>0</v>
      </c>
      <c r="AE107" s="302">
        <f t="shared" si="166"/>
        <v>0</v>
      </c>
      <c r="AF107" s="302">
        <f t="shared" si="166"/>
        <v>0</v>
      </c>
      <c r="AG107" s="302">
        <f t="shared" si="166"/>
        <v>0</v>
      </c>
      <c r="AH107" s="302">
        <f t="shared" si="166"/>
        <v>0</v>
      </c>
      <c r="AI107" s="302">
        <f t="shared" si="166"/>
        <v>0</v>
      </c>
      <c r="AJ107" s="302">
        <f t="shared" si="166"/>
        <v>0</v>
      </c>
      <c r="AK107" s="302">
        <f t="shared" si="166"/>
        <v>0</v>
      </c>
      <c r="AL107" s="302">
        <f t="shared" si="166"/>
        <v>0</v>
      </c>
      <c r="AM107" s="302">
        <f t="shared" si="166"/>
        <v>0</v>
      </c>
      <c r="AN107" s="302">
        <f t="shared" si="166"/>
        <v>0</v>
      </c>
      <c r="AO107" s="302">
        <f t="shared" si="166"/>
        <v>0</v>
      </c>
      <c r="AP107" s="302">
        <f t="shared" si="166"/>
        <v>0</v>
      </c>
      <c r="AQ107" s="302">
        <f t="shared" si="166"/>
        <v>0</v>
      </c>
      <c r="AR107" s="302">
        <f t="shared" si="166"/>
        <v>0</v>
      </c>
      <c r="AS107" s="302">
        <f t="shared" si="166"/>
        <v>0</v>
      </c>
      <c r="AT107" s="302">
        <f t="shared" si="166"/>
        <v>0</v>
      </c>
      <c r="AU107" s="302">
        <f t="shared" si="166"/>
        <v>0</v>
      </c>
      <c r="AV107" s="302">
        <f t="shared" si="166"/>
        <v>0</v>
      </c>
    </row>
    <row r="108" spans="1:48" hidden="1" x14ac:dyDescent="0.2">
      <c r="A108" s="65" t="str">
        <f ca="1">Language!A447</f>
        <v>Периодичность выплаты налога, месяцев</v>
      </c>
      <c r="B108" s="305">
        <v>1</v>
      </c>
      <c r="C108" s="82" t="str">
        <f ca="1">Language!A46</f>
        <v>мес.</v>
      </c>
      <c r="D108" s="57"/>
      <c r="E108" s="57"/>
      <c r="F108" s="57"/>
    </row>
    <row r="109" spans="1:48" hidden="1" x14ac:dyDescent="0.2">
      <c r="A109" s="38" t="str">
        <f ca="1">Language!A$1181</f>
        <v>Минимальный налог (% от доходов)</v>
      </c>
      <c r="B109" s="97"/>
      <c r="C109" s="82" t="s">
        <v>1</v>
      </c>
      <c r="D109" s="57"/>
      <c r="E109" s="57"/>
      <c r="F109" s="57" t="s">
        <v>757</v>
      </c>
      <c r="G109" s="302">
        <v>0</v>
      </c>
      <c r="H109" s="302">
        <f t="shared" ref="H109" si="167">G109</f>
        <v>0</v>
      </c>
      <c r="I109" s="302">
        <f t="shared" ref="I109" si="168">H109</f>
        <v>0</v>
      </c>
      <c r="J109" s="302">
        <f t="shared" ref="J109" si="169">I109</f>
        <v>0</v>
      </c>
      <c r="K109" s="302">
        <f t="shared" ref="K109:AV109" si="170">J109</f>
        <v>0</v>
      </c>
      <c r="L109" s="302">
        <f t="shared" si="170"/>
        <v>0</v>
      </c>
      <c r="M109" s="302">
        <f t="shared" si="170"/>
        <v>0</v>
      </c>
      <c r="N109" s="302">
        <f t="shared" si="170"/>
        <v>0</v>
      </c>
      <c r="O109" s="302">
        <f t="shared" si="170"/>
        <v>0</v>
      </c>
      <c r="P109" s="302">
        <f t="shared" si="170"/>
        <v>0</v>
      </c>
      <c r="Q109" s="302">
        <f t="shared" si="170"/>
        <v>0</v>
      </c>
      <c r="R109" s="302">
        <f t="shared" si="170"/>
        <v>0</v>
      </c>
      <c r="S109" s="302">
        <f t="shared" si="170"/>
        <v>0</v>
      </c>
      <c r="T109" s="302">
        <f t="shared" si="170"/>
        <v>0</v>
      </c>
      <c r="U109" s="302">
        <f t="shared" si="170"/>
        <v>0</v>
      </c>
      <c r="V109" s="302">
        <f t="shared" si="170"/>
        <v>0</v>
      </c>
      <c r="W109" s="302">
        <f t="shared" si="170"/>
        <v>0</v>
      </c>
      <c r="X109" s="302">
        <f t="shared" si="170"/>
        <v>0</v>
      </c>
      <c r="Y109" s="302">
        <f t="shared" si="170"/>
        <v>0</v>
      </c>
      <c r="Z109" s="302">
        <f t="shared" si="170"/>
        <v>0</v>
      </c>
      <c r="AA109" s="302">
        <f t="shared" si="170"/>
        <v>0</v>
      </c>
      <c r="AB109" s="302">
        <f t="shared" si="170"/>
        <v>0</v>
      </c>
      <c r="AC109" s="302">
        <f t="shared" si="170"/>
        <v>0</v>
      </c>
      <c r="AD109" s="302">
        <f t="shared" si="170"/>
        <v>0</v>
      </c>
      <c r="AE109" s="302">
        <f t="shared" si="170"/>
        <v>0</v>
      </c>
      <c r="AF109" s="302">
        <f t="shared" si="170"/>
        <v>0</v>
      </c>
      <c r="AG109" s="302">
        <f t="shared" si="170"/>
        <v>0</v>
      </c>
      <c r="AH109" s="302">
        <f t="shared" si="170"/>
        <v>0</v>
      </c>
      <c r="AI109" s="302">
        <f t="shared" si="170"/>
        <v>0</v>
      </c>
      <c r="AJ109" s="302">
        <f t="shared" si="170"/>
        <v>0</v>
      </c>
      <c r="AK109" s="302">
        <f t="shared" si="170"/>
        <v>0</v>
      </c>
      <c r="AL109" s="302">
        <f t="shared" si="170"/>
        <v>0</v>
      </c>
      <c r="AM109" s="302">
        <f t="shared" si="170"/>
        <v>0</v>
      </c>
      <c r="AN109" s="302">
        <f t="shared" si="170"/>
        <v>0</v>
      </c>
      <c r="AO109" s="302">
        <f t="shared" si="170"/>
        <v>0</v>
      </c>
      <c r="AP109" s="302">
        <f t="shared" si="170"/>
        <v>0</v>
      </c>
      <c r="AQ109" s="302">
        <f t="shared" si="170"/>
        <v>0</v>
      </c>
      <c r="AR109" s="302">
        <f t="shared" si="170"/>
        <v>0</v>
      </c>
      <c r="AS109" s="302">
        <f t="shared" si="170"/>
        <v>0</v>
      </c>
      <c r="AT109" s="302">
        <f t="shared" si="170"/>
        <v>0</v>
      </c>
      <c r="AU109" s="302">
        <f t="shared" si="170"/>
        <v>0</v>
      </c>
      <c r="AV109" s="302">
        <f t="shared" si="170"/>
        <v>0</v>
      </c>
    </row>
    <row r="110" spans="1:48" x14ac:dyDescent="0.2">
      <c r="A110" s="67"/>
      <c r="B110" s="51"/>
      <c r="C110" s="51"/>
      <c r="D110" s="68"/>
      <c r="E110" s="68" t="s">
        <v>617</v>
      </c>
      <c r="F110" s="68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</row>
    <row r="111" spans="1:48" x14ac:dyDescent="0.2">
      <c r="D111" s="57"/>
      <c r="E111" s="57"/>
      <c r="F111" s="57"/>
    </row>
    <row r="112" spans="1:48" x14ac:dyDescent="0.2">
      <c r="D112" s="57"/>
      <c r="E112" s="57"/>
      <c r="F112" s="57"/>
    </row>
    <row r="113" spans="1:48" s="64" customFormat="1" ht="25.5" customHeight="1" thickBot="1" x14ac:dyDescent="0.25">
      <c r="A113" s="59" t="str">
        <f ca="1">Language!A448</f>
        <v>СТАВКИ ДИСКОНТИРОВАНИЯ</v>
      </c>
      <c r="B113" s="60"/>
      <c r="C113" s="61"/>
      <c r="D113" s="62"/>
      <c r="E113" s="62" t="s">
        <v>888</v>
      </c>
      <c r="F113" s="62"/>
      <c r="G113" s="69" t="str">
        <f t="shared" ref="G113:AV113" ca="1" si="171">G$34</f>
        <v>4 кв. 2022</v>
      </c>
      <c r="H113" s="69" t="str">
        <f t="shared" ca="1" si="171"/>
        <v>1 кв. 2023</v>
      </c>
      <c r="I113" s="69" t="str">
        <f t="shared" ca="1" si="171"/>
        <v>2 кв. 2023</v>
      </c>
      <c r="J113" s="69" t="str">
        <f t="shared" ca="1" si="171"/>
        <v>3 кв. 2023</v>
      </c>
      <c r="K113" s="69" t="str">
        <f t="shared" ca="1" si="171"/>
        <v>4 кв. 2023</v>
      </c>
      <c r="L113" s="69" t="str">
        <f t="shared" ca="1" si="171"/>
        <v>1 кв. 2024</v>
      </c>
      <c r="M113" s="69" t="str">
        <f t="shared" ca="1" si="171"/>
        <v>2 кв. 2024</v>
      </c>
      <c r="N113" s="69" t="str">
        <f t="shared" ca="1" si="171"/>
        <v>3 кв. 2024</v>
      </c>
      <c r="O113" s="69" t="str">
        <f t="shared" ca="1" si="171"/>
        <v>4 кв. 2024</v>
      </c>
      <c r="P113" s="69" t="str">
        <f t="shared" ca="1" si="171"/>
        <v>1 кв. 2025</v>
      </c>
      <c r="Q113" s="69" t="str">
        <f t="shared" ca="1" si="171"/>
        <v>2 кв. 2025</v>
      </c>
      <c r="R113" s="69" t="str">
        <f t="shared" ca="1" si="171"/>
        <v>3 кв. 2025</v>
      </c>
      <c r="S113" s="69" t="str">
        <f t="shared" ca="1" si="171"/>
        <v>4 кв. 2025</v>
      </c>
      <c r="T113" s="69" t="str">
        <f t="shared" ca="1" si="171"/>
        <v>1 кв. 2026</v>
      </c>
      <c r="U113" s="69" t="str">
        <f t="shared" ca="1" si="171"/>
        <v>2 кв. 2026</v>
      </c>
      <c r="V113" s="69" t="str">
        <f t="shared" ca="1" si="171"/>
        <v>3 кв. 2026</v>
      </c>
      <c r="W113" s="69" t="str">
        <f t="shared" ca="1" si="171"/>
        <v>4 кв. 2026</v>
      </c>
      <c r="X113" s="69" t="str">
        <f t="shared" ca="1" si="171"/>
        <v>1 кв. 2027</v>
      </c>
      <c r="Y113" s="69" t="str">
        <f t="shared" ca="1" si="171"/>
        <v>2 кв. 2027</v>
      </c>
      <c r="Z113" s="69" t="str">
        <f t="shared" ca="1" si="171"/>
        <v>3 кв. 2027</v>
      </c>
      <c r="AA113" s="69" t="str">
        <f t="shared" ca="1" si="171"/>
        <v>4 кв. 2027</v>
      </c>
      <c r="AB113" s="69" t="str">
        <f t="shared" ca="1" si="171"/>
        <v>1 кв. 2028</v>
      </c>
      <c r="AC113" s="69" t="str">
        <f t="shared" ca="1" si="171"/>
        <v>2 кв. 2028</v>
      </c>
      <c r="AD113" s="69" t="str">
        <f t="shared" ca="1" si="171"/>
        <v>3 кв. 2028</v>
      </c>
      <c r="AE113" s="69" t="str">
        <f t="shared" ca="1" si="171"/>
        <v>4 кв. 2028</v>
      </c>
      <c r="AF113" s="69" t="str">
        <f t="shared" ca="1" si="171"/>
        <v>1 кв. 2029</v>
      </c>
      <c r="AG113" s="69" t="str">
        <f t="shared" ca="1" si="171"/>
        <v>2 кв. 2029</v>
      </c>
      <c r="AH113" s="69" t="str">
        <f t="shared" ca="1" si="171"/>
        <v>3 кв. 2029</v>
      </c>
      <c r="AI113" s="69" t="str">
        <f t="shared" ca="1" si="171"/>
        <v>4 кв. 2029</v>
      </c>
      <c r="AJ113" s="69" t="str">
        <f t="shared" ca="1" si="171"/>
        <v>1 кв. 2030</v>
      </c>
      <c r="AK113" s="69" t="str">
        <f t="shared" ca="1" si="171"/>
        <v>2 кв. 2030</v>
      </c>
      <c r="AL113" s="69" t="str">
        <f t="shared" ca="1" si="171"/>
        <v>3 кв. 2030</v>
      </c>
      <c r="AM113" s="69" t="str">
        <f t="shared" ca="1" si="171"/>
        <v>4 кв. 2030</v>
      </c>
      <c r="AN113" s="69" t="str">
        <f t="shared" ca="1" si="171"/>
        <v>1 кв. 2031</v>
      </c>
      <c r="AO113" s="69" t="str">
        <f t="shared" ca="1" si="171"/>
        <v>2 кв. 2031</v>
      </c>
      <c r="AP113" s="69" t="str">
        <f t="shared" ca="1" si="171"/>
        <v>3 кв. 2031</v>
      </c>
      <c r="AQ113" s="69" t="str">
        <f t="shared" ca="1" si="171"/>
        <v>4 кв. 2031</v>
      </c>
      <c r="AR113" s="69" t="str">
        <f t="shared" ca="1" si="171"/>
        <v>1 кв. 2032</v>
      </c>
      <c r="AS113" s="69" t="str">
        <f t="shared" ca="1" si="171"/>
        <v>2 кв. 2032</v>
      </c>
      <c r="AT113" s="69" t="str">
        <f t="shared" ca="1" si="171"/>
        <v>3 кв. 2032</v>
      </c>
      <c r="AU113" s="69" t="str">
        <f t="shared" ca="1" si="171"/>
        <v>4 кв. 2032</v>
      </c>
      <c r="AV113" s="69" t="str">
        <f t="shared" ca="1" si="171"/>
        <v>1 кв. 2033</v>
      </c>
    </row>
    <row r="114" spans="1:48" ht="13.5" thickTop="1" x14ac:dyDescent="0.2">
      <c r="A114" s="65"/>
      <c r="D114" s="57"/>
      <c r="E114" s="57"/>
      <c r="F114" s="57"/>
    </row>
    <row r="115" spans="1:48" x14ac:dyDescent="0.2">
      <c r="A115" s="65" t="str">
        <f ca="1">Language!A449</f>
        <v>Валюта, используемая при расчете эффективности</v>
      </c>
      <c r="B115" s="78" t="str">
        <f ca="1">C64</f>
        <v>тыс. руб.</v>
      </c>
      <c r="D115" s="57"/>
      <c r="E115" s="57"/>
      <c r="F115" s="57"/>
    </row>
    <row r="116" spans="1:48" x14ac:dyDescent="0.2">
      <c r="A116" s="65" t="str">
        <f ca="1">OFFSET(Language!A450,Prj_Inflation,0)</f>
        <v>Расчет выполняется в номинальных ценах</v>
      </c>
      <c r="B116" s="96"/>
      <c r="D116" s="57"/>
      <c r="E116" s="57"/>
      <c r="F116" s="57"/>
    </row>
    <row r="117" spans="1:48" x14ac:dyDescent="0.2">
      <c r="A117" s="65"/>
      <c r="D117" s="57"/>
      <c r="E117" s="57"/>
      <c r="F117" s="57"/>
    </row>
    <row r="118" spans="1:48" collapsed="1" x14ac:dyDescent="0.2">
      <c r="A118" s="65" t="str">
        <f ca="1">Language!A452</f>
        <v>Ставка для собственного капитала, Re</v>
      </c>
      <c r="B118" s="306">
        <v>0.2</v>
      </c>
      <c r="D118" s="57"/>
      <c r="E118" s="57"/>
      <c r="F118" s="57"/>
    </row>
    <row r="119" spans="1:48" hidden="1" outlineLevel="1" x14ac:dyDescent="0.2">
      <c r="A119" s="99" t="str">
        <f ca="1">Language!A453</f>
        <v>ставка на расчетный период</v>
      </c>
      <c r="B119" s="72"/>
      <c r="C119" s="82" t="s">
        <v>1</v>
      </c>
      <c r="D119" s="57"/>
      <c r="E119" s="57"/>
      <c r="F119" s="57" t="s">
        <v>756</v>
      </c>
      <c r="G119" s="89">
        <f t="shared" ref="G119:AV119" si="172">((1+$B118) / IF(Prj_Inflation, 1, 1+CHOOSE(Prj_CurReport, G$43,G$56,G$62))) ^ (G$31/12) -1</f>
        <v>4.6635139392105618E-2</v>
      </c>
      <c r="H119" s="89">
        <f t="shared" si="172"/>
        <v>4.6635139392105618E-2</v>
      </c>
      <c r="I119" s="89">
        <f t="shared" si="172"/>
        <v>4.6635139392105618E-2</v>
      </c>
      <c r="J119" s="89">
        <f t="shared" si="172"/>
        <v>4.6635139392105618E-2</v>
      </c>
      <c r="K119" s="89">
        <f t="shared" si="172"/>
        <v>4.6635139392105618E-2</v>
      </c>
      <c r="L119" s="89">
        <f t="shared" si="172"/>
        <v>4.6635139392105618E-2</v>
      </c>
      <c r="M119" s="89">
        <f t="shared" si="172"/>
        <v>4.6635139392105618E-2</v>
      </c>
      <c r="N119" s="89">
        <f t="shared" si="172"/>
        <v>4.6635139392105618E-2</v>
      </c>
      <c r="O119" s="89">
        <f t="shared" si="172"/>
        <v>4.6635139392105618E-2</v>
      </c>
      <c r="P119" s="89">
        <f t="shared" si="172"/>
        <v>4.6635139392105618E-2</v>
      </c>
      <c r="Q119" s="89">
        <f t="shared" si="172"/>
        <v>4.6635139392105618E-2</v>
      </c>
      <c r="R119" s="89">
        <f t="shared" si="172"/>
        <v>4.6635139392105618E-2</v>
      </c>
      <c r="S119" s="89">
        <f t="shared" si="172"/>
        <v>4.6635139392105618E-2</v>
      </c>
      <c r="T119" s="89">
        <f t="shared" si="172"/>
        <v>4.6635139392105618E-2</v>
      </c>
      <c r="U119" s="89">
        <f t="shared" si="172"/>
        <v>4.6635139392105618E-2</v>
      </c>
      <c r="V119" s="89">
        <f t="shared" si="172"/>
        <v>4.6635139392105618E-2</v>
      </c>
      <c r="W119" s="89">
        <f t="shared" si="172"/>
        <v>4.6635139392105618E-2</v>
      </c>
      <c r="X119" s="89">
        <f t="shared" si="172"/>
        <v>4.6635139392105618E-2</v>
      </c>
      <c r="Y119" s="89">
        <f t="shared" si="172"/>
        <v>4.6635139392105618E-2</v>
      </c>
      <c r="Z119" s="89">
        <f t="shared" si="172"/>
        <v>4.6635139392105618E-2</v>
      </c>
      <c r="AA119" s="89">
        <f t="shared" si="172"/>
        <v>4.6635139392105618E-2</v>
      </c>
      <c r="AB119" s="89">
        <f t="shared" si="172"/>
        <v>4.6635139392105618E-2</v>
      </c>
      <c r="AC119" s="89">
        <f t="shared" si="172"/>
        <v>4.6635139392105618E-2</v>
      </c>
      <c r="AD119" s="89">
        <f t="shared" si="172"/>
        <v>4.6635139392105618E-2</v>
      </c>
      <c r="AE119" s="89">
        <f t="shared" si="172"/>
        <v>4.6635139392105618E-2</v>
      </c>
      <c r="AF119" s="89">
        <f t="shared" si="172"/>
        <v>4.6635139392105618E-2</v>
      </c>
      <c r="AG119" s="89">
        <f t="shared" si="172"/>
        <v>4.6635139392105618E-2</v>
      </c>
      <c r="AH119" s="89">
        <f t="shared" si="172"/>
        <v>4.6635139392105618E-2</v>
      </c>
      <c r="AI119" s="89">
        <f t="shared" si="172"/>
        <v>4.6635139392105618E-2</v>
      </c>
      <c r="AJ119" s="89">
        <f t="shared" si="172"/>
        <v>4.6635139392105618E-2</v>
      </c>
      <c r="AK119" s="89">
        <f t="shared" si="172"/>
        <v>4.6635139392105618E-2</v>
      </c>
      <c r="AL119" s="89">
        <f t="shared" si="172"/>
        <v>4.6635139392105618E-2</v>
      </c>
      <c r="AM119" s="89">
        <f t="shared" si="172"/>
        <v>4.6635139392105618E-2</v>
      </c>
      <c r="AN119" s="89">
        <f t="shared" si="172"/>
        <v>4.6635139392105618E-2</v>
      </c>
      <c r="AO119" s="89">
        <f t="shared" si="172"/>
        <v>4.6635139392105618E-2</v>
      </c>
      <c r="AP119" s="89">
        <f t="shared" si="172"/>
        <v>4.6635139392105618E-2</v>
      </c>
      <c r="AQ119" s="89">
        <f t="shared" si="172"/>
        <v>4.6635139392105618E-2</v>
      </c>
      <c r="AR119" s="89">
        <f t="shared" si="172"/>
        <v>4.6635139392105618E-2</v>
      </c>
      <c r="AS119" s="89">
        <f t="shared" si="172"/>
        <v>4.6635139392105618E-2</v>
      </c>
      <c r="AT119" s="89">
        <f t="shared" si="172"/>
        <v>4.6635139392105618E-2</v>
      </c>
      <c r="AU119" s="89">
        <f t="shared" si="172"/>
        <v>4.6635139392105618E-2</v>
      </c>
      <c r="AV119" s="89">
        <f t="shared" si="172"/>
        <v>4.6635139392105618E-2</v>
      </c>
    </row>
    <row r="120" spans="1:48" hidden="1" outlineLevel="1" x14ac:dyDescent="0.2">
      <c r="A120" s="99" t="str">
        <f ca="1">Language!A454</f>
        <v>коэффициент дисконта на начало периода</v>
      </c>
      <c r="B120" s="72"/>
      <c r="D120" s="57"/>
      <c r="E120" s="57"/>
      <c r="F120" s="57" t="s">
        <v>756</v>
      </c>
      <c r="G120" s="91">
        <f t="shared" ref="G120:AV120" si="173">IF(G$2=1,1,F120*(1+F119))</f>
        <v>1</v>
      </c>
      <c r="H120" s="91">
        <f t="shared" si="173"/>
        <v>1.0466351393921056</v>
      </c>
      <c r="I120" s="91">
        <f t="shared" si="173"/>
        <v>1.0954451150103324</v>
      </c>
      <c r="J120" s="91">
        <f t="shared" si="173"/>
        <v>1.1465313506452404</v>
      </c>
      <c r="K120" s="91">
        <f t="shared" si="173"/>
        <v>1.2000000000000002</v>
      </c>
      <c r="L120" s="91">
        <f t="shared" si="173"/>
        <v>1.255962167270527</v>
      </c>
      <c r="M120" s="91">
        <f t="shared" si="173"/>
        <v>1.3145341380123992</v>
      </c>
      <c r="N120" s="91">
        <f t="shared" si="173"/>
        <v>1.3758376207742888</v>
      </c>
      <c r="O120" s="91">
        <f t="shared" si="173"/>
        <v>1.4400000000000008</v>
      </c>
      <c r="P120" s="91">
        <f t="shared" si="173"/>
        <v>1.507154600724633</v>
      </c>
      <c r="Q120" s="91">
        <f t="shared" si="173"/>
        <v>1.5774409656148796</v>
      </c>
      <c r="R120" s="91">
        <f t="shared" si="173"/>
        <v>1.6510051449291472</v>
      </c>
      <c r="S120" s="91">
        <f t="shared" si="173"/>
        <v>1.7280000000000015</v>
      </c>
      <c r="T120" s="91">
        <f t="shared" si="173"/>
        <v>1.80858552086956</v>
      </c>
      <c r="U120" s="91">
        <f t="shared" si="173"/>
        <v>1.8929291587378558</v>
      </c>
      <c r="V120" s="91">
        <f t="shared" si="173"/>
        <v>1.9812061739149769</v>
      </c>
      <c r="W120" s="91">
        <f t="shared" si="173"/>
        <v>2.0736000000000021</v>
      </c>
      <c r="X120" s="91">
        <f t="shared" si="173"/>
        <v>2.1703026250434725</v>
      </c>
      <c r="Y120" s="91">
        <f t="shared" si="173"/>
        <v>2.2715149904854277</v>
      </c>
      <c r="Z120" s="91">
        <f t="shared" si="173"/>
        <v>2.3774474086979729</v>
      </c>
      <c r="AA120" s="91">
        <f t="shared" si="173"/>
        <v>2.488320000000003</v>
      </c>
      <c r="AB120" s="91">
        <f t="shared" si="173"/>
        <v>2.6043631500521673</v>
      </c>
      <c r="AC120" s="91">
        <f t="shared" si="173"/>
        <v>2.7258179885825133</v>
      </c>
      <c r="AD120" s="91">
        <f t="shared" si="173"/>
        <v>2.8529368904375678</v>
      </c>
      <c r="AE120" s="91">
        <f t="shared" si="173"/>
        <v>2.9859840000000042</v>
      </c>
      <c r="AF120" s="91">
        <f t="shared" si="173"/>
        <v>3.1252357800626016</v>
      </c>
      <c r="AG120" s="91">
        <f t="shared" si="173"/>
        <v>3.2709815862990168</v>
      </c>
      <c r="AH120" s="91">
        <f t="shared" si="173"/>
        <v>3.4235242685250822</v>
      </c>
      <c r="AI120" s="91">
        <f t="shared" si="173"/>
        <v>3.5831808000000058</v>
      </c>
      <c r="AJ120" s="91">
        <f t="shared" si="173"/>
        <v>3.7502829360751226</v>
      </c>
      <c r="AK120" s="91">
        <f t="shared" si="173"/>
        <v>3.9251779035588212</v>
      </c>
      <c r="AL120" s="91">
        <f t="shared" si="173"/>
        <v>4.1082291222300995</v>
      </c>
      <c r="AM120" s="91">
        <f t="shared" si="173"/>
        <v>4.2998169600000082</v>
      </c>
      <c r="AN120" s="91">
        <f t="shared" si="173"/>
        <v>4.5003395232901484</v>
      </c>
      <c r="AO120" s="91">
        <f t="shared" si="173"/>
        <v>4.7102134842705867</v>
      </c>
      <c r="AP120" s="91">
        <f t="shared" si="173"/>
        <v>4.9298749466761214</v>
      </c>
      <c r="AQ120" s="91">
        <f t="shared" si="173"/>
        <v>5.1597803520000118</v>
      </c>
      <c r="AR120" s="91">
        <f t="shared" si="173"/>
        <v>5.4004074279481804</v>
      </c>
      <c r="AS120" s="91">
        <f t="shared" si="173"/>
        <v>5.6522561811247067</v>
      </c>
      <c r="AT120" s="91">
        <f t="shared" si="173"/>
        <v>5.9158499360113481</v>
      </c>
      <c r="AU120" s="91">
        <f t="shared" si="173"/>
        <v>6.1917364224000169</v>
      </c>
      <c r="AV120" s="91">
        <f t="shared" si="173"/>
        <v>6.480488913537819</v>
      </c>
    </row>
    <row r="121" spans="1:48" collapsed="1" x14ac:dyDescent="0.2">
      <c r="A121" s="65" t="str">
        <f ca="1">Language!A455</f>
        <v>Ставка для заемного капитала, Rd</v>
      </c>
      <c r="B121" s="306">
        <v>0.01</v>
      </c>
      <c r="D121" s="57"/>
      <c r="E121" s="57"/>
      <c r="F121" s="57"/>
    </row>
    <row r="122" spans="1:48" hidden="1" outlineLevel="1" x14ac:dyDescent="0.2">
      <c r="A122" s="99" t="str">
        <f ca="1">Language!A453</f>
        <v>ставка на расчетный период</v>
      </c>
      <c r="B122" s="72"/>
      <c r="C122" s="82" t="s">
        <v>1</v>
      </c>
      <c r="D122" s="57"/>
      <c r="E122" s="57"/>
      <c r="F122" s="57" t="s">
        <v>756</v>
      </c>
      <c r="G122" s="89">
        <f t="shared" ref="G122:AV122" si="174">((1+$B121) / IF(Prj_Inflation, 1, 1+CHOOSE(Prj_CurReport, G$43,G$56,G$62))) ^ (G$31/12) -1</f>
        <v>2.4906793143211203E-3</v>
      </c>
      <c r="H122" s="89">
        <f t="shared" si="174"/>
        <v>2.4906793143211203E-3</v>
      </c>
      <c r="I122" s="89">
        <f t="shared" si="174"/>
        <v>2.4906793143211203E-3</v>
      </c>
      <c r="J122" s="89">
        <f t="shared" si="174"/>
        <v>2.4906793143211203E-3</v>
      </c>
      <c r="K122" s="89">
        <f t="shared" si="174"/>
        <v>2.4906793143211203E-3</v>
      </c>
      <c r="L122" s="89">
        <f t="shared" si="174"/>
        <v>2.4906793143211203E-3</v>
      </c>
      <c r="M122" s="89">
        <f t="shared" si="174"/>
        <v>2.4906793143211203E-3</v>
      </c>
      <c r="N122" s="89">
        <f t="shared" si="174"/>
        <v>2.4906793143211203E-3</v>
      </c>
      <c r="O122" s="89">
        <f t="shared" si="174"/>
        <v>2.4906793143211203E-3</v>
      </c>
      <c r="P122" s="89">
        <f t="shared" si="174"/>
        <v>2.4906793143211203E-3</v>
      </c>
      <c r="Q122" s="89">
        <f t="shared" si="174"/>
        <v>2.4906793143211203E-3</v>
      </c>
      <c r="R122" s="89">
        <f t="shared" si="174"/>
        <v>2.4906793143211203E-3</v>
      </c>
      <c r="S122" s="89">
        <f t="shared" si="174"/>
        <v>2.4906793143211203E-3</v>
      </c>
      <c r="T122" s="89">
        <f t="shared" si="174"/>
        <v>2.4906793143211203E-3</v>
      </c>
      <c r="U122" s="89">
        <f t="shared" si="174"/>
        <v>2.4906793143211203E-3</v>
      </c>
      <c r="V122" s="89">
        <f t="shared" si="174"/>
        <v>2.4906793143211203E-3</v>
      </c>
      <c r="W122" s="89">
        <f t="shared" si="174"/>
        <v>2.4906793143211203E-3</v>
      </c>
      <c r="X122" s="89">
        <f t="shared" si="174"/>
        <v>2.4906793143211203E-3</v>
      </c>
      <c r="Y122" s="89">
        <f t="shared" si="174"/>
        <v>2.4906793143211203E-3</v>
      </c>
      <c r="Z122" s="89">
        <f t="shared" si="174"/>
        <v>2.4906793143211203E-3</v>
      </c>
      <c r="AA122" s="89">
        <f t="shared" si="174"/>
        <v>2.4906793143211203E-3</v>
      </c>
      <c r="AB122" s="89">
        <f t="shared" si="174"/>
        <v>2.4906793143211203E-3</v>
      </c>
      <c r="AC122" s="89">
        <f t="shared" si="174"/>
        <v>2.4906793143211203E-3</v>
      </c>
      <c r="AD122" s="89">
        <f t="shared" si="174"/>
        <v>2.4906793143211203E-3</v>
      </c>
      <c r="AE122" s="89">
        <f t="shared" si="174"/>
        <v>2.4906793143211203E-3</v>
      </c>
      <c r="AF122" s="89">
        <f t="shared" si="174"/>
        <v>2.4906793143211203E-3</v>
      </c>
      <c r="AG122" s="89">
        <f t="shared" si="174"/>
        <v>2.4906793143211203E-3</v>
      </c>
      <c r="AH122" s="89">
        <f t="shared" si="174"/>
        <v>2.4906793143211203E-3</v>
      </c>
      <c r="AI122" s="89">
        <f t="shared" si="174"/>
        <v>2.4906793143211203E-3</v>
      </c>
      <c r="AJ122" s="89">
        <f t="shared" si="174"/>
        <v>2.4906793143211203E-3</v>
      </c>
      <c r="AK122" s="89">
        <f t="shared" si="174"/>
        <v>2.4906793143211203E-3</v>
      </c>
      <c r="AL122" s="89">
        <f t="shared" si="174"/>
        <v>2.4906793143211203E-3</v>
      </c>
      <c r="AM122" s="89">
        <f t="shared" si="174"/>
        <v>2.4906793143211203E-3</v>
      </c>
      <c r="AN122" s="89">
        <f t="shared" si="174"/>
        <v>2.4906793143211203E-3</v>
      </c>
      <c r="AO122" s="89">
        <f t="shared" si="174"/>
        <v>2.4906793143211203E-3</v>
      </c>
      <c r="AP122" s="89">
        <f t="shared" si="174"/>
        <v>2.4906793143211203E-3</v>
      </c>
      <c r="AQ122" s="89">
        <f t="shared" si="174"/>
        <v>2.4906793143211203E-3</v>
      </c>
      <c r="AR122" s="89">
        <f t="shared" si="174"/>
        <v>2.4906793143211203E-3</v>
      </c>
      <c r="AS122" s="89">
        <f t="shared" si="174"/>
        <v>2.4906793143211203E-3</v>
      </c>
      <c r="AT122" s="89">
        <f t="shared" si="174"/>
        <v>2.4906793143211203E-3</v>
      </c>
      <c r="AU122" s="89">
        <f t="shared" si="174"/>
        <v>2.4906793143211203E-3</v>
      </c>
      <c r="AV122" s="89">
        <f t="shared" si="174"/>
        <v>2.4906793143211203E-3</v>
      </c>
    </row>
    <row r="123" spans="1:48" hidden="1" outlineLevel="1" x14ac:dyDescent="0.2">
      <c r="A123" s="99" t="str">
        <f ca="1">Language!A454</f>
        <v>коэффициент дисконта на начало периода</v>
      </c>
      <c r="B123" s="72"/>
      <c r="D123" s="57"/>
      <c r="E123" s="57"/>
      <c r="F123" s="57" t="s">
        <v>756</v>
      </c>
      <c r="G123" s="91">
        <f>IF(G$2=1,1,F123*(1+F122))</f>
        <v>1</v>
      </c>
      <c r="H123" s="91">
        <f>IF(H$2=1,1,G123*(1+G122))</f>
        <v>1.0024906793143211</v>
      </c>
      <c r="I123" s="91">
        <f t="shared" ref="I123:AV123" si="175">IF(I$2=1,1,H123*(1+H122))</f>
        <v>1.004987562112089</v>
      </c>
      <c r="J123" s="91">
        <f t="shared" si="175"/>
        <v>1.0074906638441916</v>
      </c>
      <c r="K123" s="91">
        <f t="shared" si="175"/>
        <v>1.01</v>
      </c>
      <c r="L123" s="91">
        <f t="shared" si="175"/>
        <v>1.0125155861074644</v>
      </c>
      <c r="M123" s="91">
        <f t="shared" si="175"/>
        <v>1.0150374377332101</v>
      </c>
      <c r="N123" s="91">
        <f t="shared" si="175"/>
        <v>1.0175655704826336</v>
      </c>
      <c r="O123" s="91">
        <f t="shared" si="175"/>
        <v>1.0201</v>
      </c>
      <c r="P123" s="91">
        <f t="shared" si="175"/>
        <v>1.022640741968539</v>
      </c>
      <c r="Q123" s="91">
        <f t="shared" si="175"/>
        <v>1.025187812110542</v>
      </c>
      <c r="R123" s="91">
        <f t="shared" si="175"/>
        <v>1.0277412261874599</v>
      </c>
      <c r="S123" s="91">
        <f t="shared" si="175"/>
        <v>1.0303009999999999</v>
      </c>
      <c r="T123" s="91">
        <f t="shared" si="175"/>
        <v>1.0328671493882242</v>
      </c>
      <c r="U123" s="91">
        <f t="shared" si="175"/>
        <v>1.0354396902316474</v>
      </c>
      <c r="V123" s="91">
        <f t="shared" si="175"/>
        <v>1.0380186384493344</v>
      </c>
      <c r="W123" s="91">
        <f t="shared" si="175"/>
        <v>1.04060401</v>
      </c>
      <c r="X123" s="91">
        <f t="shared" si="175"/>
        <v>1.0431958208821066</v>
      </c>
      <c r="Y123" s="91">
        <f t="shared" si="175"/>
        <v>1.0457940871339639</v>
      </c>
      <c r="Z123" s="91">
        <f t="shared" si="175"/>
        <v>1.0483988248338278</v>
      </c>
      <c r="AA123" s="91">
        <f t="shared" si="175"/>
        <v>1.0510100500999999</v>
      </c>
      <c r="AB123" s="91">
        <f t="shared" si="175"/>
        <v>1.0536277790909276</v>
      </c>
      <c r="AC123" s="91">
        <f t="shared" si="175"/>
        <v>1.0562520280053036</v>
      </c>
      <c r="AD123" s="91">
        <f t="shared" si="175"/>
        <v>1.0588828130821661</v>
      </c>
      <c r="AE123" s="91">
        <f t="shared" si="175"/>
        <v>1.0615201506010001</v>
      </c>
      <c r="AF123" s="91">
        <f t="shared" si="175"/>
        <v>1.0641640568818371</v>
      </c>
      <c r="AG123" s="91">
        <f t="shared" si="175"/>
        <v>1.0668145482853568</v>
      </c>
      <c r="AH123" s="91">
        <f t="shared" si="175"/>
        <v>1.0694716412129881</v>
      </c>
      <c r="AI123" s="91">
        <f t="shared" si="175"/>
        <v>1.0721353521070103</v>
      </c>
      <c r="AJ123" s="91">
        <f t="shared" si="175"/>
        <v>1.0748056974506557</v>
      </c>
      <c r="AK123" s="91">
        <f t="shared" si="175"/>
        <v>1.0774826937682105</v>
      </c>
      <c r="AL123" s="91">
        <f t="shared" si="175"/>
        <v>1.0801663576251179</v>
      </c>
      <c r="AM123" s="91">
        <f t="shared" si="175"/>
        <v>1.0828567056280805</v>
      </c>
      <c r="AN123" s="91">
        <f t="shared" si="175"/>
        <v>1.0855537544251623</v>
      </c>
      <c r="AO123" s="91">
        <f t="shared" si="175"/>
        <v>1.0882575207058927</v>
      </c>
      <c r="AP123" s="91">
        <f t="shared" si="175"/>
        <v>1.0909680212013693</v>
      </c>
      <c r="AQ123" s="91">
        <f t="shared" si="175"/>
        <v>1.0936852726843613</v>
      </c>
      <c r="AR123" s="91">
        <f t="shared" si="175"/>
        <v>1.0964092919694139</v>
      </c>
      <c r="AS123" s="91">
        <f t="shared" si="175"/>
        <v>1.0991400959129516</v>
      </c>
      <c r="AT123" s="91">
        <f t="shared" si="175"/>
        <v>1.1018777014133829</v>
      </c>
      <c r="AU123" s="91">
        <f t="shared" si="175"/>
        <v>1.104622125411205</v>
      </c>
      <c r="AV123" s="91">
        <f t="shared" si="175"/>
        <v>1.1073733848891081</v>
      </c>
    </row>
    <row r="124" spans="1:48" x14ac:dyDescent="0.2">
      <c r="A124" s="65"/>
      <c r="B124" s="72"/>
      <c r="D124" s="57"/>
      <c r="E124" s="57"/>
      <c r="F124" s="57"/>
    </row>
    <row r="125" spans="1:48" x14ac:dyDescent="0.2">
      <c r="A125" s="65" t="str">
        <f ca="1">Language!A456</f>
        <v>Расчет средневзвешенной ставки:</v>
      </c>
      <c r="B125" s="72"/>
      <c r="D125" s="57"/>
      <c r="E125" s="57"/>
      <c r="F125" s="57"/>
    </row>
    <row r="126" spans="1:48" x14ac:dyDescent="0.2">
      <c r="A126" s="65" t="str">
        <f ca="1">Language!A457</f>
        <v>Ставка налога на прибыль, T</v>
      </c>
      <c r="B126" s="306">
        <f>$G81</f>
        <v>0</v>
      </c>
      <c r="D126" s="57"/>
      <c r="E126" s="57"/>
      <c r="F126" s="57"/>
    </row>
    <row r="127" spans="1:48" x14ac:dyDescent="0.2">
      <c r="A127" s="65" t="str">
        <f ca="1">Language!A458</f>
        <v>Доля заемного капитала в расчете ставки, Wd</v>
      </c>
      <c r="B127" s="306">
        <v>0.74</v>
      </c>
      <c r="D127" s="57"/>
      <c r="E127" s="57"/>
      <c r="F127" s="57"/>
    </row>
    <row r="128" spans="1:48" x14ac:dyDescent="0.2">
      <c r="A128" s="65" t="str">
        <f ca="1">Language!A459</f>
        <v>Доля собственного капитала в расчете ставки, We</v>
      </c>
      <c r="B128" s="97">
        <f>100%-B127</f>
        <v>0.26</v>
      </c>
      <c r="D128" s="57"/>
      <c r="E128" s="57"/>
      <c r="F128" s="57"/>
    </row>
    <row r="129" spans="1:48" collapsed="1" x14ac:dyDescent="0.2">
      <c r="A129" s="79" t="str">
        <f ca="1">Language!A460</f>
        <v xml:space="preserve">WACC = Re * We + Rd * Wd * (1-T) = </v>
      </c>
      <c r="B129" s="307">
        <f>B118*B128+B121*B127*(1-B126)</f>
        <v>5.9400000000000008E-2</v>
      </c>
      <c r="C129" s="44"/>
      <c r="D129" s="100"/>
      <c r="E129" s="100"/>
      <c r="F129" s="100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</row>
    <row r="130" spans="1:48" hidden="1" outlineLevel="1" x14ac:dyDescent="0.2">
      <c r="A130" s="101" t="str">
        <f ca="1">Language!A453</f>
        <v>ставка на расчетный период</v>
      </c>
      <c r="B130" s="102"/>
      <c r="C130" s="103" t="s">
        <v>1</v>
      </c>
      <c r="D130" s="100"/>
      <c r="E130" s="100"/>
      <c r="F130" s="100" t="s">
        <v>756</v>
      </c>
      <c r="G130" s="104">
        <f t="shared" ref="G130:AV130" si="176">((1+$B129) / IF(Prj_Inflation, 1, 1+CHOOSE(Prj_CurReport, G$43,G$56,G$62))) ^ (G$31/12) -1</f>
        <v>1.4530229758820568E-2</v>
      </c>
      <c r="H130" s="104">
        <f t="shared" si="176"/>
        <v>1.4530229758820568E-2</v>
      </c>
      <c r="I130" s="104">
        <f t="shared" si="176"/>
        <v>1.4530229758820568E-2</v>
      </c>
      <c r="J130" s="104">
        <f t="shared" si="176"/>
        <v>1.4530229758820568E-2</v>
      </c>
      <c r="K130" s="104">
        <f t="shared" si="176"/>
        <v>1.4530229758820568E-2</v>
      </c>
      <c r="L130" s="104">
        <f t="shared" si="176"/>
        <v>1.4530229758820568E-2</v>
      </c>
      <c r="M130" s="104">
        <f t="shared" si="176"/>
        <v>1.4530229758820568E-2</v>
      </c>
      <c r="N130" s="104">
        <f t="shared" si="176"/>
        <v>1.4530229758820568E-2</v>
      </c>
      <c r="O130" s="104">
        <f t="shared" si="176"/>
        <v>1.4530229758820568E-2</v>
      </c>
      <c r="P130" s="104">
        <f t="shared" si="176"/>
        <v>1.4530229758820568E-2</v>
      </c>
      <c r="Q130" s="104">
        <f t="shared" si="176"/>
        <v>1.4530229758820568E-2</v>
      </c>
      <c r="R130" s="104">
        <f t="shared" si="176"/>
        <v>1.4530229758820568E-2</v>
      </c>
      <c r="S130" s="104">
        <f t="shared" si="176"/>
        <v>1.4530229758820568E-2</v>
      </c>
      <c r="T130" s="104">
        <f t="shared" si="176"/>
        <v>1.4530229758820568E-2</v>
      </c>
      <c r="U130" s="104">
        <f t="shared" si="176"/>
        <v>1.4530229758820568E-2</v>
      </c>
      <c r="V130" s="104">
        <f t="shared" si="176"/>
        <v>1.4530229758820568E-2</v>
      </c>
      <c r="W130" s="104">
        <f t="shared" si="176"/>
        <v>1.4530229758820568E-2</v>
      </c>
      <c r="X130" s="104">
        <f t="shared" si="176"/>
        <v>1.4530229758820568E-2</v>
      </c>
      <c r="Y130" s="104">
        <f t="shared" si="176"/>
        <v>1.4530229758820568E-2</v>
      </c>
      <c r="Z130" s="104">
        <f t="shared" si="176"/>
        <v>1.4530229758820568E-2</v>
      </c>
      <c r="AA130" s="104">
        <f t="shared" si="176"/>
        <v>1.4530229758820568E-2</v>
      </c>
      <c r="AB130" s="104">
        <f t="shared" si="176"/>
        <v>1.4530229758820568E-2</v>
      </c>
      <c r="AC130" s="104">
        <f t="shared" si="176"/>
        <v>1.4530229758820568E-2</v>
      </c>
      <c r="AD130" s="104">
        <f t="shared" si="176"/>
        <v>1.4530229758820568E-2</v>
      </c>
      <c r="AE130" s="104">
        <f t="shared" si="176"/>
        <v>1.4530229758820568E-2</v>
      </c>
      <c r="AF130" s="104">
        <f t="shared" si="176"/>
        <v>1.4530229758820568E-2</v>
      </c>
      <c r="AG130" s="104">
        <f t="shared" si="176"/>
        <v>1.4530229758820568E-2</v>
      </c>
      <c r="AH130" s="104">
        <f t="shared" si="176"/>
        <v>1.4530229758820568E-2</v>
      </c>
      <c r="AI130" s="104">
        <f t="shared" si="176"/>
        <v>1.4530229758820568E-2</v>
      </c>
      <c r="AJ130" s="104">
        <f t="shared" si="176"/>
        <v>1.4530229758820568E-2</v>
      </c>
      <c r="AK130" s="104">
        <f t="shared" si="176"/>
        <v>1.4530229758820568E-2</v>
      </c>
      <c r="AL130" s="104">
        <f t="shared" si="176"/>
        <v>1.4530229758820568E-2</v>
      </c>
      <c r="AM130" s="104">
        <f t="shared" si="176"/>
        <v>1.4530229758820568E-2</v>
      </c>
      <c r="AN130" s="104">
        <f t="shared" si="176"/>
        <v>1.4530229758820568E-2</v>
      </c>
      <c r="AO130" s="104">
        <f t="shared" si="176"/>
        <v>1.4530229758820568E-2</v>
      </c>
      <c r="AP130" s="104">
        <f t="shared" si="176"/>
        <v>1.4530229758820568E-2</v>
      </c>
      <c r="AQ130" s="104">
        <f t="shared" si="176"/>
        <v>1.4530229758820568E-2</v>
      </c>
      <c r="AR130" s="104">
        <f t="shared" si="176"/>
        <v>1.4530229758820568E-2</v>
      </c>
      <c r="AS130" s="104">
        <f t="shared" si="176"/>
        <v>1.4530229758820568E-2</v>
      </c>
      <c r="AT130" s="104">
        <f t="shared" si="176"/>
        <v>1.4530229758820568E-2</v>
      </c>
      <c r="AU130" s="104">
        <f t="shared" si="176"/>
        <v>1.4530229758820568E-2</v>
      </c>
      <c r="AV130" s="104">
        <f t="shared" si="176"/>
        <v>1.4530229758820568E-2</v>
      </c>
    </row>
    <row r="131" spans="1:48" hidden="1" outlineLevel="1" x14ac:dyDescent="0.2">
      <c r="A131" s="101" t="str">
        <f ca="1">Language!A454</f>
        <v>коэффициент дисконта на начало периода</v>
      </c>
      <c r="B131" s="102"/>
      <c r="C131" s="44"/>
      <c r="D131" s="100"/>
      <c r="E131" s="100"/>
      <c r="F131" s="100" t="s">
        <v>756</v>
      </c>
      <c r="G131" s="105">
        <f>IF(G$2=1,1,F131*(1+F130))</f>
        <v>1</v>
      </c>
      <c r="H131" s="105">
        <f t="shared" ref="H131:AV131" si="177">IF(H$2=1,1,G131*(1+G130))</f>
        <v>1.0145302297588206</v>
      </c>
      <c r="I131" s="105">
        <f t="shared" si="177"/>
        <v>1.0292715870944853</v>
      </c>
      <c r="J131" s="105">
        <f t="shared" si="177"/>
        <v>1.044227139739194</v>
      </c>
      <c r="K131" s="105">
        <f t="shared" si="177"/>
        <v>1.0594000000000006</v>
      </c>
      <c r="L131" s="105">
        <f t="shared" si="177"/>
        <v>1.074793325406495</v>
      </c>
      <c r="M131" s="105">
        <f t="shared" si="177"/>
        <v>1.0904103193678982</v>
      </c>
      <c r="N131" s="105">
        <f t="shared" si="177"/>
        <v>1.1062542318397026</v>
      </c>
      <c r="O131" s="105">
        <f t="shared" si="177"/>
        <v>1.1223283600000011</v>
      </c>
      <c r="P131" s="105">
        <f t="shared" si="177"/>
        <v>1.1386360489356415</v>
      </c>
      <c r="Q131" s="105">
        <f t="shared" si="177"/>
        <v>1.1551806923383521</v>
      </c>
      <c r="R131" s="105">
        <f t="shared" si="177"/>
        <v>1.1719657332109819</v>
      </c>
      <c r="S131" s="105">
        <f t="shared" si="177"/>
        <v>1.1889946645840019</v>
      </c>
      <c r="T131" s="105">
        <f t="shared" si="177"/>
        <v>1.2062710302424193</v>
      </c>
      <c r="U131" s="105">
        <f t="shared" si="177"/>
        <v>1.2237984254632508</v>
      </c>
      <c r="V131" s="105">
        <f t="shared" si="177"/>
        <v>1.2415804977637146</v>
      </c>
      <c r="W131" s="105">
        <f t="shared" si="177"/>
        <v>1.2596209476602922</v>
      </c>
      <c r="X131" s="105">
        <f t="shared" si="177"/>
        <v>1.2779235294388196</v>
      </c>
      <c r="Y131" s="105">
        <f t="shared" si="177"/>
        <v>1.2964920519357686</v>
      </c>
      <c r="Z131" s="105">
        <f t="shared" si="177"/>
        <v>1.3153303793308799</v>
      </c>
      <c r="AA131" s="105">
        <f t="shared" si="177"/>
        <v>1.3344424319513142</v>
      </c>
      <c r="AB131" s="105">
        <f t="shared" si="177"/>
        <v>1.3538321870874861</v>
      </c>
      <c r="AC131" s="105">
        <f t="shared" si="177"/>
        <v>1.3735036798207538</v>
      </c>
      <c r="AD131" s="105">
        <f t="shared" si="177"/>
        <v>1.393461003863135</v>
      </c>
      <c r="AE131" s="105">
        <f t="shared" si="177"/>
        <v>1.4137083124092231</v>
      </c>
      <c r="AF131" s="105">
        <f t="shared" si="177"/>
        <v>1.4342498190004835</v>
      </c>
      <c r="AG131" s="105">
        <f t="shared" si="177"/>
        <v>1.4550897984021074</v>
      </c>
      <c r="AH131" s="105">
        <f t="shared" si="177"/>
        <v>1.4762325874926059</v>
      </c>
      <c r="AI131" s="105">
        <f t="shared" si="177"/>
        <v>1.4976825861663317</v>
      </c>
      <c r="AJ131" s="105">
        <f t="shared" si="177"/>
        <v>1.519444258249113</v>
      </c>
      <c r="AK131" s="105">
        <f t="shared" si="177"/>
        <v>1.5415221324271933</v>
      </c>
      <c r="AL131" s="105">
        <f t="shared" si="177"/>
        <v>1.5639208031896674</v>
      </c>
      <c r="AM131" s="105">
        <f t="shared" si="177"/>
        <v>1.5866449317846125</v>
      </c>
      <c r="AN131" s="105">
        <f t="shared" si="177"/>
        <v>1.6096992471891112</v>
      </c>
      <c r="AO131" s="105">
        <f t="shared" si="177"/>
        <v>1.6330885470933694</v>
      </c>
      <c r="AP131" s="105">
        <f t="shared" si="177"/>
        <v>1.6568176988991345</v>
      </c>
      <c r="AQ131" s="105">
        <f t="shared" si="177"/>
        <v>1.6808916407326193</v>
      </c>
      <c r="AR131" s="105">
        <f t="shared" si="177"/>
        <v>1.7053153824721452</v>
      </c>
      <c r="AS131" s="105">
        <f t="shared" si="177"/>
        <v>1.7300940067907165</v>
      </c>
      <c r="AT131" s="105">
        <f t="shared" si="177"/>
        <v>1.755232670213744</v>
      </c>
      <c r="AU131" s="105">
        <f t="shared" si="177"/>
        <v>1.7807366041921378</v>
      </c>
      <c r="AV131" s="105">
        <f t="shared" si="177"/>
        <v>1.8066111161909915</v>
      </c>
    </row>
    <row r="132" spans="1:48" x14ac:dyDescent="0.2">
      <c r="A132" s="67"/>
      <c r="B132" s="106"/>
      <c r="C132" s="51"/>
      <c r="D132" s="68"/>
      <c r="E132" s="68"/>
      <c r="F132" s="68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</row>
    <row r="133" spans="1:48" x14ac:dyDescent="0.2">
      <c r="A133" s="79"/>
      <c r="B133" s="102"/>
      <c r="C133" s="44"/>
      <c r="D133" s="100"/>
      <c r="E133" s="100"/>
      <c r="F133" s="100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</row>
    <row r="134" spans="1:48" x14ac:dyDescent="0.2">
      <c r="A134" s="107" t="str">
        <f ca="1">Language!A461</f>
        <v>Учитывать рыночную стоимость начальных активов?</v>
      </c>
      <c r="B134" s="308">
        <v>1</v>
      </c>
      <c r="C134" s="108" t="str">
        <f ca="1">IF(B134=1,Language!$A$1447,Language!$A$1448)</f>
        <v>Да</v>
      </c>
      <c r="D134" s="100"/>
      <c r="E134" s="100"/>
      <c r="F134" s="100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</row>
    <row r="135" spans="1:48" x14ac:dyDescent="0.2">
      <c r="A135" s="107" t="str">
        <f ca="1">Language!A462</f>
        <v>Учитывать продленную стоимость?</v>
      </c>
      <c r="B135" s="308">
        <v>0</v>
      </c>
      <c r="C135" s="108" t="str">
        <f ca="1">IF(B135=1,Language!$A$1447,Language!$A$1448)</f>
        <v>Нет</v>
      </c>
      <c r="D135" s="100"/>
      <c r="E135" s="100"/>
      <c r="F135" s="100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</row>
    <row r="136" spans="1:48" collapsed="1" x14ac:dyDescent="0.2">
      <c r="A136" s="79" t="str">
        <f ca="1">Language!A463</f>
        <v>Долгосрочные темпы роста в постпрогнозный период</v>
      </c>
      <c r="B136" s="309">
        <f ca="1">OFFSET(CHOOSE($B$64,G43,G56,G62),0,D17-1)</f>
        <v>0.06</v>
      </c>
      <c r="C136" s="44"/>
      <c r="D136" s="100"/>
      <c r="E136" s="100"/>
      <c r="F136" s="100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</row>
    <row r="137" spans="1:48" hidden="1" outlineLevel="1" x14ac:dyDescent="0.2">
      <c r="A137" s="101" t="str">
        <f ca="1">Language!A464</f>
        <v>в пересчете на шаг планирования</v>
      </c>
      <c r="B137" s="109">
        <f ca="1">((1+$B136) / IF(Prj_Inflation, 1, 1+OFFSET(CHOOSE($B$64,G43,G56,G62),0,D17-1))) ^ (G$31/12) -1</f>
        <v>1.4673846168659299E-2</v>
      </c>
      <c r="C137" s="44"/>
      <c r="D137" s="100"/>
      <c r="E137" s="100"/>
      <c r="F137" s="100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</row>
    <row r="138" spans="1:48" collapsed="1" x14ac:dyDescent="0.2">
      <c r="A138" s="79" t="str">
        <f ca="1">Language!A465</f>
        <v>Ставка реинвестирования доходов (для расчета MIRR)</v>
      </c>
      <c r="B138" s="309">
        <f>B118</f>
        <v>0.2</v>
      </c>
      <c r="C138" s="44"/>
      <c r="D138" s="100"/>
      <c r="E138" s="100"/>
      <c r="F138" s="100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</row>
    <row r="139" spans="1:48" hidden="1" outlineLevel="1" x14ac:dyDescent="0.2">
      <c r="A139" s="99" t="str">
        <f ca="1">Language!A453</f>
        <v>ставка на расчетный период</v>
      </c>
      <c r="B139" s="72"/>
      <c r="C139" s="82" t="s">
        <v>1</v>
      </c>
      <c r="D139" s="57"/>
      <c r="E139" s="57"/>
      <c r="F139" s="57" t="s">
        <v>756</v>
      </c>
      <c r="G139" s="89">
        <f t="shared" ref="G139:AV139" si="178">((1+$B138) / IF(Prj_Inflation, 1, 1+CHOOSE(Prj_CurReport, G$43,G$56,G$62))) ^ (G$31/12) -1</f>
        <v>4.6635139392105618E-2</v>
      </c>
      <c r="H139" s="89">
        <f t="shared" si="178"/>
        <v>4.6635139392105618E-2</v>
      </c>
      <c r="I139" s="89">
        <f t="shared" si="178"/>
        <v>4.6635139392105618E-2</v>
      </c>
      <c r="J139" s="89">
        <f t="shared" si="178"/>
        <v>4.6635139392105618E-2</v>
      </c>
      <c r="K139" s="89">
        <f t="shared" si="178"/>
        <v>4.6635139392105618E-2</v>
      </c>
      <c r="L139" s="89">
        <f t="shared" si="178"/>
        <v>4.6635139392105618E-2</v>
      </c>
      <c r="M139" s="89">
        <f t="shared" si="178"/>
        <v>4.6635139392105618E-2</v>
      </c>
      <c r="N139" s="89">
        <f t="shared" si="178"/>
        <v>4.6635139392105618E-2</v>
      </c>
      <c r="O139" s="89">
        <f t="shared" si="178"/>
        <v>4.6635139392105618E-2</v>
      </c>
      <c r="P139" s="89">
        <f t="shared" si="178"/>
        <v>4.6635139392105618E-2</v>
      </c>
      <c r="Q139" s="89">
        <f t="shared" si="178"/>
        <v>4.6635139392105618E-2</v>
      </c>
      <c r="R139" s="89">
        <f t="shared" si="178"/>
        <v>4.6635139392105618E-2</v>
      </c>
      <c r="S139" s="89">
        <f t="shared" si="178"/>
        <v>4.6635139392105618E-2</v>
      </c>
      <c r="T139" s="89">
        <f t="shared" si="178"/>
        <v>4.6635139392105618E-2</v>
      </c>
      <c r="U139" s="89">
        <f t="shared" si="178"/>
        <v>4.6635139392105618E-2</v>
      </c>
      <c r="V139" s="89">
        <f t="shared" si="178"/>
        <v>4.6635139392105618E-2</v>
      </c>
      <c r="W139" s="89">
        <f t="shared" si="178"/>
        <v>4.6635139392105618E-2</v>
      </c>
      <c r="X139" s="89">
        <f t="shared" si="178"/>
        <v>4.6635139392105618E-2</v>
      </c>
      <c r="Y139" s="89">
        <f t="shared" si="178"/>
        <v>4.6635139392105618E-2</v>
      </c>
      <c r="Z139" s="89">
        <f t="shared" si="178"/>
        <v>4.6635139392105618E-2</v>
      </c>
      <c r="AA139" s="89">
        <f t="shared" si="178"/>
        <v>4.6635139392105618E-2</v>
      </c>
      <c r="AB139" s="89">
        <f t="shared" si="178"/>
        <v>4.6635139392105618E-2</v>
      </c>
      <c r="AC139" s="89">
        <f t="shared" si="178"/>
        <v>4.6635139392105618E-2</v>
      </c>
      <c r="AD139" s="89">
        <f t="shared" si="178"/>
        <v>4.6635139392105618E-2</v>
      </c>
      <c r="AE139" s="89">
        <f t="shared" si="178"/>
        <v>4.6635139392105618E-2</v>
      </c>
      <c r="AF139" s="89">
        <f t="shared" si="178"/>
        <v>4.6635139392105618E-2</v>
      </c>
      <c r="AG139" s="89">
        <f t="shared" si="178"/>
        <v>4.6635139392105618E-2</v>
      </c>
      <c r="AH139" s="89">
        <f t="shared" si="178"/>
        <v>4.6635139392105618E-2</v>
      </c>
      <c r="AI139" s="89">
        <f t="shared" si="178"/>
        <v>4.6635139392105618E-2</v>
      </c>
      <c r="AJ139" s="89">
        <f t="shared" si="178"/>
        <v>4.6635139392105618E-2</v>
      </c>
      <c r="AK139" s="89">
        <f t="shared" si="178"/>
        <v>4.6635139392105618E-2</v>
      </c>
      <c r="AL139" s="89">
        <f t="shared" si="178"/>
        <v>4.6635139392105618E-2</v>
      </c>
      <c r="AM139" s="89">
        <f t="shared" si="178"/>
        <v>4.6635139392105618E-2</v>
      </c>
      <c r="AN139" s="89">
        <f t="shared" si="178"/>
        <v>4.6635139392105618E-2</v>
      </c>
      <c r="AO139" s="89">
        <f t="shared" si="178"/>
        <v>4.6635139392105618E-2</v>
      </c>
      <c r="AP139" s="89">
        <f t="shared" si="178"/>
        <v>4.6635139392105618E-2</v>
      </c>
      <c r="AQ139" s="89">
        <f t="shared" si="178"/>
        <v>4.6635139392105618E-2</v>
      </c>
      <c r="AR139" s="89">
        <f t="shared" si="178"/>
        <v>4.6635139392105618E-2</v>
      </c>
      <c r="AS139" s="89">
        <f t="shared" si="178"/>
        <v>4.6635139392105618E-2</v>
      </c>
      <c r="AT139" s="89">
        <f t="shared" si="178"/>
        <v>4.6635139392105618E-2</v>
      </c>
      <c r="AU139" s="89">
        <f t="shared" si="178"/>
        <v>4.6635139392105618E-2</v>
      </c>
      <c r="AV139" s="89">
        <f t="shared" si="178"/>
        <v>4.6635139392105618E-2</v>
      </c>
    </row>
    <row r="140" spans="1:48" hidden="1" outlineLevel="1" x14ac:dyDescent="0.2">
      <c r="A140" s="99" t="str">
        <f ca="1">Language!A454</f>
        <v>коэффициент дисконта на начало периода</v>
      </c>
      <c r="B140" s="72"/>
      <c r="C140" s="82" t="str">
        <f ca="1">Language!$A$1449</f>
        <v>раз</v>
      </c>
      <c r="D140" s="57"/>
      <c r="E140" s="57"/>
      <c r="F140" s="57" t="s">
        <v>756</v>
      </c>
      <c r="G140" s="91">
        <f>IF(G$2=1,1,F140*(1+F139))</f>
        <v>1</v>
      </c>
      <c r="H140" s="91">
        <f t="shared" ref="H140:AV140" si="179">IF(H$2=1,1,G140*(1+G139))</f>
        <v>1.0466351393921056</v>
      </c>
      <c r="I140" s="91">
        <f t="shared" si="179"/>
        <v>1.0954451150103324</v>
      </c>
      <c r="J140" s="91">
        <f t="shared" si="179"/>
        <v>1.1465313506452404</v>
      </c>
      <c r="K140" s="91">
        <f t="shared" si="179"/>
        <v>1.2000000000000002</v>
      </c>
      <c r="L140" s="91">
        <f t="shared" si="179"/>
        <v>1.255962167270527</v>
      </c>
      <c r="M140" s="91">
        <f t="shared" si="179"/>
        <v>1.3145341380123992</v>
      </c>
      <c r="N140" s="91">
        <f t="shared" si="179"/>
        <v>1.3758376207742888</v>
      </c>
      <c r="O140" s="91">
        <f t="shared" si="179"/>
        <v>1.4400000000000008</v>
      </c>
      <c r="P140" s="91">
        <f t="shared" si="179"/>
        <v>1.507154600724633</v>
      </c>
      <c r="Q140" s="91">
        <f t="shared" si="179"/>
        <v>1.5774409656148796</v>
      </c>
      <c r="R140" s="91">
        <f t="shared" si="179"/>
        <v>1.6510051449291472</v>
      </c>
      <c r="S140" s="91">
        <f t="shared" si="179"/>
        <v>1.7280000000000015</v>
      </c>
      <c r="T140" s="91">
        <f t="shared" si="179"/>
        <v>1.80858552086956</v>
      </c>
      <c r="U140" s="91">
        <f t="shared" si="179"/>
        <v>1.8929291587378558</v>
      </c>
      <c r="V140" s="91">
        <f t="shared" si="179"/>
        <v>1.9812061739149769</v>
      </c>
      <c r="W140" s="91">
        <f t="shared" si="179"/>
        <v>2.0736000000000021</v>
      </c>
      <c r="X140" s="91">
        <f t="shared" si="179"/>
        <v>2.1703026250434725</v>
      </c>
      <c r="Y140" s="91">
        <f t="shared" si="179"/>
        <v>2.2715149904854277</v>
      </c>
      <c r="Z140" s="91">
        <f t="shared" si="179"/>
        <v>2.3774474086979729</v>
      </c>
      <c r="AA140" s="91">
        <f t="shared" si="179"/>
        <v>2.488320000000003</v>
      </c>
      <c r="AB140" s="91">
        <f t="shared" si="179"/>
        <v>2.6043631500521673</v>
      </c>
      <c r="AC140" s="91">
        <f t="shared" si="179"/>
        <v>2.7258179885825133</v>
      </c>
      <c r="AD140" s="91">
        <f t="shared" si="179"/>
        <v>2.8529368904375678</v>
      </c>
      <c r="AE140" s="91">
        <f t="shared" si="179"/>
        <v>2.9859840000000042</v>
      </c>
      <c r="AF140" s="91">
        <f t="shared" si="179"/>
        <v>3.1252357800626016</v>
      </c>
      <c r="AG140" s="91">
        <f t="shared" si="179"/>
        <v>3.2709815862990168</v>
      </c>
      <c r="AH140" s="91">
        <f t="shared" si="179"/>
        <v>3.4235242685250822</v>
      </c>
      <c r="AI140" s="91">
        <f t="shared" si="179"/>
        <v>3.5831808000000058</v>
      </c>
      <c r="AJ140" s="91">
        <f t="shared" si="179"/>
        <v>3.7502829360751226</v>
      </c>
      <c r="AK140" s="91">
        <f t="shared" si="179"/>
        <v>3.9251779035588212</v>
      </c>
      <c r="AL140" s="91">
        <f t="shared" si="179"/>
        <v>4.1082291222300995</v>
      </c>
      <c r="AM140" s="91">
        <f t="shared" si="179"/>
        <v>4.2998169600000082</v>
      </c>
      <c r="AN140" s="91">
        <f t="shared" si="179"/>
        <v>4.5003395232901484</v>
      </c>
      <c r="AO140" s="91">
        <f t="shared" si="179"/>
        <v>4.7102134842705867</v>
      </c>
      <c r="AP140" s="91">
        <f t="shared" si="179"/>
        <v>4.9298749466761214</v>
      </c>
      <c r="AQ140" s="91">
        <f t="shared" si="179"/>
        <v>5.1597803520000118</v>
      </c>
      <c r="AR140" s="91">
        <f t="shared" si="179"/>
        <v>5.4004074279481804</v>
      </c>
      <c r="AS140" s="91">
        <f t="shared" si="179"/>
        <v>5.6522561811247067</v>
      </c>
      <c r="AT140" s="91">
        <f t="shared" si="179"/>
        <v>5.9158499360113481</v>
      </c>
      <c r="AU140" s="91">
        <f t="shared" si="179"/>
        <v>6.1917364224000169</v>
      </c>
      <c r="AV140" s="91">
        <f t="shared" si="179"/>
        <v>6.480488913537819</v>
      </c>
    </row>
    <row r="141" spans="1:48" hidden="1" outlineLevel="1" x14ac:dyDescent="0.2">
      <c r="A141" s="99" t="str">
        <f ca="1">Language!A466</f>
        <v>коэффициент реинвестирования</v>
      </c>
      <c r="B141" s="72"/>
      <c r="C141" s="82" t="str">
        <f ca="1">Language!$A$1449</f>
        <v>раз</v>
      </c>
      <c r="D141" s="57"/>
      <c r="E141" s="57"/>
      <c r="F141" s="57" t="s">
        <v>756</v>
      </c>
      <c r="G141" s="91">
        <f t="shared" ref="G141:AV141" ca="1" si="180">OFFSET(G140,0,Prj_Len-G25-G25+1)</f>
        <v>6.480488913537819</v>
      </c>
      <c r="H141" s="91">
        <f t="shared" ca="1" si="180"/>
        <v>6.1917364224000169</v>
      </c>
      <c r="I141" s="91">
        <f t="shared" ca="1" si="180"/>
        <v>5.9158499360113481</v>
      </c>
      <c r="J141" s="91">
        <f t="shared" ca="1" si="180"/>
        <v>5.6522561811247067</v>
      </c>
      <c r="K141" s="91">
        <f t="shared" ca="1" si="180"/>
        <v>5.4004074279481804</v>
      </c>
      <c r="L141" s="91">
        <f t="shared" ca="1" si="180"/>
        <v>5.1597803520000118</v>
      </c>
      <c r="M141" s="91">
        <f t="shared" ca="1" si="180"/>
        <v>4.9298749466761214</v>
      </c>
      <c r="N141" s="91">
        <f t="shared" ca="1" si="180"/>
        <v>4.7102134842705867</v>
      </c>
      <c r="O141" s="91">
        <f t="shared" ca="1" si="180"/>
        <v>4.5003395232901484</v>
      </c>
      <c r="P141" s="91">
        <f t="shared" ca="1" si="180"/>
        <v>4.2998169600000082</v>
      </c>
      <c r="Q141" s="91">
        <f t="shared" ca="1" si="180"/>
        <v>4.1082291222300995</v>
      </c>
      <c r="R141" s="91">
        <f t="shared" ca="1" si="180"/>
        <v>3.9251779035588212</v>
      </c>
      <c r="S141" s="91">
        <f t="shared" ca="1" si="180"/>
        <v>3.7502829360751226</v>
      </c>
      <c r="T141" s="91">
        <f t="shared" ca="1" si="180"/>
        <v>3.5831808000000058</v>
      </c>
      <c r="U141" s="91">
        <f t="shared" ca="1" si="180"/>
        <v>3.4235242685250822</v>
      </c>
      <c r="V141" s="91">
        <f t="shared" ca="1" si="180"/>
        <v>3.2709815862990168</v>
      </c>
      <c r="W141" s="91">
        <f t="shared" ca="1" si="180"/>
        <v>3.1252357800626016</v>
      </c>
      <c r="X141" s="91">
        <f t="shared" ca="1" si="180"/>
        <v>2.9859840000000042</v>
      </c>
      <c r="Y141" s="91">
        <f t="shared" ca="1" si="180"/>
        <v>2.8529368904375678</v>
      </c>
      <c r="Z141" s="91">
        <f t="shared" ca="1" si="180"/>
        <v>2.7258179885825133</v>
      </c>
      <c r="AA141" s="91">
        <f t="shared" ca="1" si="180"/>
        <v>2.6043631500521673</v>
      </c>
      <c r="AB141" s="91">
        <f t="shared" ca="1" si="180"/>
        <v>2.488320000000003</v>
      </c>
      <c r="AC141" s="91">
        <f t="shared" ca="1" si="180"/>
        <v>2.3774474086979729</v>
      </c>
      <c r="AD141" s="91">
        <f t="shared" ca="1" si="180"/>
        <v>2.2715149904854277</v>
      </c>
      <c r="AE141" s="91">
        <f t="shared" ca="1" si="180"/>
        <v>2.1703026250434725</v>
      </c>
      <c r="AF141" s="91">
        <f t="shared" ca="1" si="180"/>
        <v>2.0736000000000021</v>
      </c>
      <c r="AG141" s="91">
        <f t="shared" ca="1" si="180"/>
        <v>1.9812061739149769</v>
      </c>
      <c r="AH141" s="91">
        <f t="shared" ca="1" si="180"/>
        <v>1.8929291587378558</v>
      </c>
      <c r="AI141" s="91">
        <f t="shared" ca="1" si="180"/>
        <v>1.80858552086956</v>
      </c>
      <c r="AJ141" s="91">
        <f t="shared" ca="1" si="180"/>
        <v>1.7280000000000015</v>
      </c>
      <c r="AK141" s="91">
        <f t="shared" ca="1" si="180"/>
        <v>1.6510051449291472</v>
      </c>
      <c r="AL141" s="91">
        <f t="shared" ca="1" si="180"/>
        <v>1.5774409656148796</v>
      </c>
      <c r="AM141" s="91">
        <f t="shared" ca="1" si="180"/>
        <v>1.507154600724633</v>
      </c>
      <c r="AN141" s="91">
        <f t="shared" ca="1" si="180"/>
        <v>1.4400000000000008</v>
      </c>
      <c r="AO141" s="91">
        <f t="shared" ca="1" si="180"/>
        <v>1.3758376207742888</v>
      </c>
      <c r="AP141" s="91">
        <f t="shared" ca="1" si="180"/>
        <v>1.3145341380123992</v>
      </c>
      <c r="AQ141" s="91">
        <f t="shared" ca="1" si="180"/>
        <v>1.255962167270527</v>
      </c>
      <c r="AR141" s="91">
        <f t="shared" ca="1" si="180"/>
        <v>1.2000000000000002</v>
      </c>
      <c r="AS141" s="91">
        <f t="shared" ca="1" si="180"/>
        <v>1.1465313506452404</v>
      </c>
      <c r="AT141" s="91">
        <f t="shared" ca="1" si="180"/>
        <v>1.0954451150103324</v>
      </c>
      <c r="AU141" s="91">
        <f t="shared" ca="1" si="180"/>
        <v>1.0466351393921056</v>
      </c>
      <c r="AV141" s="91">
        <f t="shared" ca="1" si="180"/>
        <v>1</v>
      </c>
    </row>
    <row r="142" spans="1:48" s="94" customFormat="1" x14ac:dyDescent="0.2">
      <c r="A142" s="110"/>
      <c r="B142" s="111"/>
      <c r="C142" s="112"/>
      <c r="D142" s="113"/>
      <c r="E142" s="113"/>
      <c r="F142" s="113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</row>
    <row r="143" spans="1:48" s="94" customFormat="1" x14ac:dyDescent="0.2">
      <c r="A143" s="95"/>
      <c r="B143" s="97"/>
      <c r="D143" s="114"/>
      <c r="E143" s="114"/>
      <c r="F143" s="114"/>
    </row>
    <row r="144" spans="1:48" collapsed="1" x14ac:dyDescent="0.2">
      <c r="A144" s="65" t="str">
        <f ca="1">Language!A468</f>
        <v>Ставка дисконтирования для бюджетной эффективности</v>
      </c>
      <c r="B144" s="306">
        <v>0.1</v>
      </c>
      <c r="D144" s="57"/>
      <c r="E144" s="57"/>
      <c r="F144" s="57"/>
    </row>
    <row r="145" spans="1:48" hidden="1" outlineLevel="1" x14ac:dyDescent="0.2">
      <c r="A145" s="99" t="str">
        <f ca="1">Language!A453</f>
        <v>ставка на расчетный период</v>
      </c>
      <c r="B145" s="72"/>
      <c r="C145" s="82" t="s">
        <v>1</v>
      </c>
      <c r="D145" s="57"/>
      <c r="E145" s="57"/>
      <c r="F145" s="57" t="s">
        <v>756</v>
      </c>
      <c r="G145" s="89">
        <f t="shared" ref="G145:AV145" si="181">((1+$B144) / IF(Prj_Inflation, 1, 1+CHOOSE(Prj_CurReport, G$43,G$56,G$62))) ^ (G$31/12) -1</f>
        <v>2.4113689084445111E-2</v>
      </c>
      <c r="H145" s="89">
        <f t="shared" si="181"/>
        <v>2.4113689084445111E-2</v>
      </c>
      <c r="I145" s="89">
        <f t="shared" si="181"/>
        <v>2.4113689084445111E-2</v>
      </c>
      <c r="J145" s="89">
        <f t="shared" si="181"/>
        <v>2.4113689084445111E-2</v>
      </c>
      <c r="K145" s="89">
        <f t="shared" si="181"/>
        <v>2.4113689084445111E-2</v>
      </c>
      <c r="L145" s="89">
        <f t="shared" si="181"/>
        <v>2.4113689084445111E-2</v>
      </c>
      <c r="M145" s="89">
        <f t="shared" si="181"/>
        <v>2.4113689084445111E-2</v>
      </c>
      <c r="N145" s="89">
        <f t="shared" si="181"/>
        <v>2.4113689084445111E-2</v>
      </c>
      <c r="O145" s="89">
        <f t="shared" si="181"/>
        <v>2.4113689084445111E-2</v>
      </c>
      <c r="P145" s="89">
        <f t="shared" si="181"/>
        <v>2.4113689084445111E-2</v>
      </c>
      <c r="Q145" s="89">
        <f t="shared" si="181"/>
        <v>2.4113689084445111E-2</v>
      </c>
      <c r="R145" s="89">
        <f t="shared" si="181"/>
        <v>2.4113689084445111E-2</v>
      </c>
      <c r="S145" s="89">
        <f t="shared" si="181"/>
        <v>2.4113689084445111E-2</v>
      </c>
      <c r="T145" s="89">
        <f t="shared" si="181"/>
        <v>2.4113689084445111E-2</v>
      </c>
      <c r="U145" s="89">
        <f t="shared" si="181"/>
        <v>2.4113689084445111E-2</v>
      </c>
      <c r="V145" s="89">
        <f t="shared" si="181"/>
        <v>2.4113689084445111E-2</v>
      </c>
      <c r="W145" s="89">
        <f t="shared" si="181"/>
        <v>2.4113689084445111E-2</v>
      </c>
      <c r="X145" s="89">
        <f t="shared" si="181"/>
        <v>2.4113689084445111E-2</v>
      </c>
      <c r="Y145" s="89">
        <f t="shared" si="181"/>
        <v>2.4113689084445111E-2</v>
      </c>
      <c r="Z145" s="89">
        <f t="shared" si="181"/>
        <v>2.4113689084445111E-2</v>
      </c>
      <c r="AA145" s="89">
        <f t="shared" si="181"/>
        <v>2.4113689084445111E-2</v>
      </c>
      <c r="AB145" s="89">
        <f t="shared" si="181"/>
        <v>2.4113689084445111E-2</v>
      </c>
      <c r="AC145" s="89">
        <f t="shared" si="181"/>
        <v>2.4113689084445111E-2</v>
      </c>
      <c r="AD145" s="89">
        <f t="shared" si="181"/>
        <v>2.4113689084445111E-2</v>
      </c>
      <c r="AE145" s="89">
        <f t="shared" si="181"/>
        <v>2.4113689084445111E-2</v>
      </c>
      <c r="AF145" s="89">
        <f t="shared" si="181"/>
        <v>2.4113689084445111E-2</v>
      </c>
      <c r="AG145" s="89">
        <f t="shared" si="181"/>
        <v>2.4113689084445111E-2</v>
      </c>
      <c r="AH145" s="89">
        <f t="shared" si="181"/>
        <v>2.4113689084445111E-2</v>
      </c>
      <c r="AI145" s="89">
        <f t="shared" si="181"/>
        <v>2.4113689084445111E-2</v>
      </c>
      <c r="AJ145" s="89">
        <f t="shared" si="181"/>
        <v>2.4113689084445111E-2</v>
      </c>
      <c r="AK145" s="89">
        <f t="shared" si="181"/>
        <v>2.4113689084445111E-2</v>
      </c>
      <c r="AL145" s="89">
        <f t="shared" si="181"/>
        <v>2.4113689084445111E-2</v>
      </c>
      <c r="AM145" s="89">
        <f t="shared" si="181"/>
        <v>2.4113689084445111E-2</v>
      </c>
      <c r="AN145" s="89">
        <f t="shared" si="181"/>
        <v>2.4113689084445111E-2</v>
      </c>
      <c r="AO145" s="89">
        <f t="shared" si="181"/>
        <v>2.4113689084445111E-2</v>
      </c>
      <c r="AP145" s="89">
        <f t="shared" si="181"/>
        <v>2.4113689084445111E-2</v>
      </c>
      <c r="AQ145" s="89">
        <f t="shared" si="181"/>
        <v>2.4113689084445111E-2</v>
      </c>
      <c r="AR145" s="89">
        <f t="shared" si="181"/>
        <v>2.4113689084445111E-2</v>
      </c>
      <c r="AS145" s="89">
        <f t="shared" si="181"/>
        <v>2.4113689084445111E-2</v>
      </c>
      <c r="AT145" s="89">
        <f t="shared" si="181"/>
        <v>2.4113689084445111E-2</v>
      </c>
      <c r="AU145" s="89">
        <f t="shared" si="181"/>
        <v>2.4113689084445111E-2</v>
      </c>
      <c r="AV145" s="89">
        <f t="shared" si="181"/>
        <v>2.4113689084445111E-2</v>
      </c>
    </row>
    <row r="146" spans="1:48" hidden="1" outlineLevel="1" x14ac:dyDescent="0.2">
      <c r="A146" s="99" t="str">
        <f ca="1">Language!A454</f>
        <v>коэффициент дисконта на начало периода</v>
      </c>
      <c r="B146" s="72"/>
      <c r="D146" s="57"/>
      <c r="E146" s="57"/>
      <c r="F146" s="57" t="s">
        <v>756</v>
      </c>
      <c r="G146" s="91">
        <f>IF(G$2=1,1,F146*(1+F145))</f>
        <v>1</v>
      </c>
      <c r="H146" s="91">
        <f>IF(H$2=1,1,G146*(1+G145))</f>
        <v>1.0241136890844451</v>
      </c>
      <c r="I146" s="91">
        <f t="shared" ref="I146" si="182">IF(I$2=1,1,H146*(1+H145))</f>
        <v>1.0488088481701514</v>
      </c>
      <c r="J146" s="91">
        <f t="shared" ref="J146" si="183">IF(J$2=1,1,I146*(1+I145))</f>
        <v>1.0740994986439414</v>
      </c>
      <c r="K146" s="91">
        <f t="shared" ref="K146:AV146" si="184">IF(K$2=1,1,J146*(1+J145))</f>
        <v>1.0999999999999999</v>
      </c>
      <c r="L146" s="91">
        <f t="shared" si="184"/>
        <v>1.1265250579928894</v>
      </c>
      <c r="M146" s="91">
        <f t="shared" si="184"/>
        <v>1.1536897329871665</v>
      </c>
      <c r="N146" s="91">
        <f t="shared" si="184"/>
        <v>1.1815094485083355</v>
      </c>
      <c r="O146" s="91">
        <f t="shared" si="184"/>
        <v>1.2099999999999997</v>
      </c>
      <c r="P146" s="91">
        <f t="shared" si="184"/>
        <v>1.2391775637921782</v>
      </c>
      <c r="Q146" s="91">
        <f t="shared" si="184"/>
        <v>1.2690587062858829</v>
      </c>
      <c r="R146" s="91">
        <f t="shared" si="184"/>
        <v>1.2996603933591688</v>
      </c>
      <c r="S146" s="91">
        <f t="shared" si="184"/>
        <v>1.3309999999999995</v>
      </c>
      <c r="T146" s="91">
        <f t="shared" si="184"/>
        <v>1.363095320171396</v>
      </c>
      <c r="U146" s="91">
        <f t="shared" si="184"/>
        <v>1.3959645769144713</v>
      </c>
      <c r="V146" s="91">
        <f t="shared" si="184"/>
        <v>1.4296264326950858</v>
      </c>
      <c r="W146" s="91">
        <f t="shared" si="184"/>
        <v>1.4640999999999995</v>
      </c>
      <c r="X146" s="91">
        <f t="shared" si="184"/>
        <v>1.4994048521885357</v>
      </c>
      <c r="Y146" s="91">
        <f t="shared" si="184"/>
        <v>1.5355610346059185</v>
      </c>
      <c r="Z146" s="91">
        <f t="shared" si="184"/>
        <v>1.5725890759645944</v>
      </c>
      <c r="AA146" s="91">
        <f t="shared" si="184"/>
        <v>1.6105099999999994</v>
      </c>
      <c r="AB146" s="91">
        <f t="shared" si="184"/>
        <v>1.6493453374073892</v>
      </c>
      <c r="AC146" s="91">
        <f t="shared" si="184"/>
        <v>1.6891171380665102</v>
      </c>
      <c r="AD146" s="91">
        <f t="shared" si="184"/>
        <v>1.7298479835610538</v>
      </c>
      <c r="AE146" s="91">
        <f t="shared" si="184"/>
        <v>1.7715609999999995</v>
      </c>
      <c r="AF146" s="91">
        <f t="shared" si="184"/>
        <v>1.8142798711481281</v>
      </c>
      <c r="AG146" s="91">
        <f t="shared" si="184"/>
        <v>1.8580288518731611</v>
      </c>
      <c r="AH146" s="91">
        <f t="shared" si="184"/>
        <v>1.9028327819171591</v>
      </c>
      <c r="AI146" s="91">
        <f t="shared" si="184"/>
        <v>1.9487170999999992</v>
      </c>
      <c r="AJ146" s="91">
        <f t="shared" si="184"/>
        <v>1.9957078582629406</v>
      </c>
      <c r="AK146" s="91">
        <f t="shared" si="184"/>
        <v>2.043831737060477</v>
      </c>
      <c r="AL146" s="91">
        <f t="shared" si="184"/>
        <v>2.093116060108875</v>
      </c>
      <c r="AM146" s="91">
        <f t="shared" si="184"/>
        <v>2.1435888099999989</v>
      </c>
      <c r="AN146" s="91">
        <f t="shared" si="184"/>
        <v>2.1952786440892345</v>
      </c>
      <c r="AO146" s="91">
        <f t="shared" si="184"/>
        <v>2.2482149107665244</v>
      </c>
      <c r="AP146" s="91">
        <f t="shared" si="184"/>
        <v>2.3024276661197618</v>
      </c>
      <c r="AQ146" s="91">
        <f t="shared" si="184"/>
        <v>2.3579476909999983</v>
      </c>
      <c r="AR146" s="91">
        <f t="shared" si="184"/>
        <v>2.4148065084981574</v>
      </c>
      <c r="AS146" s="91">
        <f t="shared" si="184"/>
        <v>2.4730364018431765</v>
      </c>
      <c r="AT146" s="91">
        <f t="shared" si="184"/>
        <v>2.5326704327317375</v>
      </c>
      <c r="AU146" s="91">
        <f t="shared" si="184"/>
        <v>2.5937424600999979</v>
      </c>
      <c r="AV146" s="91">
        <f t="shared" si="184"/>
        <v>2.6562871593479729</v>
      </c>
    </row>
    <row r="147" spans="1:48" x14ac:dyDescent="0.2">
      <c r="A147" s="67"/>
      <c r="B147" s="51"/>
      <c r="C147" s="51"/>
      <c r="D147" s="68"/>
      <c r="E147" s="68" t="s">
        <v>619</v>
      </c>
      <c r="F147" s="68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</row>
  </sheetData>
  <sheetProtection formatCells="0"/>
  <dataConsolidate/>
  <mergeCells count="1">
    <mergeCell ref="A1:C2"/>
  </mergeCells>
  <dataValidations disablePrompts="1" count="1">
    <dataValidation type="list" allowBlank="1" showInputMessage="1" showErrorMessage="1" sqref="B134:B135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">
    <outlinePr summaryBelow="0" summaryRight="0"/>
  </sheetPr>
  <dimension ref="A2:E75"/>
  <sheetViews>
    <sheetView workbookViewId="0">
      <selection activeCell="B5" sqref="B5"/>
    </sheetView>
  </sheetViews>
  <sheetFormatPr defaultRowHeight="12.75" x14ac:dyDescent="0.2"/>
  <cols>
    <col min="1" max="1" width="50.7109375" customWidth="1"/>
    <col min="2" max="5" width="12.7109375" customWidth="1"/>
  </cols>
  <sheetData>
    <row r="2" spans="1:2" x14ac:dyDescent="0.2">
      <c r="A2" s="5" t="s">
        <v>99</v>
      </c>
    </row>
    <row r="4" spans="1:2" x14ac:dyDescent="0.2">
      <c r="A4" t="s">
        <v>102</v>
      </c>
      <c r="B4" s="5" t="e">
        <f>"Альт-Инвест" &amp; IF(Opt_Bld_Summ," Сумм", "")</f>
        <v>#NAME?</v>
      </c>
    </row>
    <row r="5" spans="1:2" x14ac:dyDescent="0.2">
      <c r="A5" t="s">
        <v>100</v>
      </c>
      <c r="B5" s="8">
        <v>1</v>
      </c>
    </row>
    <row r="6" spans="1:2" x14ac:dyDescent="0.2">
      <c r="A6" t="s">
        <v>101</v>
      </c>
      <c r="B6" s="8">
        <v>1</v>
      </c>
    </row>
    <row r="7" spans="1:2" x14ac:dyDescent="0.2">
      <c r="A7" t="s">
        <v>2172</v>
      </c>
      <c r="B7" s="8">
        <v>1</v>
      </c>
    </row>
    <row r="8" spans="1:2" x14ac:dyDescent="0.2">
      <c r="A8" t="s">
        <v>477</v>
      </c>
      <c r="B8" s="8" t="s">
        <v>1388</v>
      </c>
    </row>
    <row r="10" spans="1:2" x14ac:dyDescent="0.2">
      <c r="A10" s="5" t="s">
        <v>86</v>
      </c>
    </row>
    <row r="12" spans="1:2" x14ac:dyDescent="0.2">
      <c r="A12" t="s">
        <v>82</v>
      </c>
      <c r="B12" s="8">
        <v>1</v>
      </c>
    </row>
    <row r="13" spans="1:2" x14ac:dyDescent="0.2">
      <c r="A13" t="s">
        <v>83</v>
      </c>
      <c r="B13" s="9">
        <v>42516</v>
      </c>
    </row>
    <row r="14" spans="1:2" x14ac:dyDescent="0.2">
      <c r="A14" t="s">
        <v>85</v>
      </c>
      <c r="B14" s="8">
        <v>1</v>
      </c>
    </row>
    <row r="15" spans="1:2" x14ac:dyDescent="0.2">
      <c r="A15" t="s">
        <v>84</v>
      </c>
      <c r="B15" s="8">
        <v>0</v>
      </c>
    </row>
    <row r="16" spans="1:2" x14ac:dyDescent="0.2">
      <c r="A16" t="s">
        <v>98</v>
      </c>
      <c r="B16" s="8"/>
    </row>
    <row r="17" spans="1:5" x14ac:dyDescent="0.2">
      <c r="A17" t="s">
        <v>276</v>
      </c>
      <c r="B17" s="8">
        <v>32</v>
      </c>
    </row>
    <row r="18" spans="1:5" x14ac:dyDescent="0.2">
      <c r="A18" t="s">
        <v>796</v>
      </c>
      <c r="B18" s="23" t="s">
        <v>723</v>
      </c>
    </row>
    <row r="20" spans="1:5" x14ac:dyDescent="0.2">
      <c r="A20" s="11" t="s">
        <v>908</v>
      </c>
      <c r="B20" s="14" t="s">
        <v>883</v>
      </c>
      <c r="C20" s="14" t="s">
        <v>1020</v>
      </c>
    </row>
    <row r="21" spans="1:5" x14ac:dyDescent="0.2">
      <c r="A21" s="1" t="s">
        <v>87</v>
      </c>
      <c r="B21" s="8">
        <v>4</v>
      </c>
      <c r="C21" s="8">
        <v>1</v>
      </c>
    </row>
    <row r="22" spans="1:5" x14ac:dyDescent="0.2">
      <c r="A22" s="1" t="s">
        <v>88</v>
      </c>
      <c r="B22" s="8">
        <v>4</v>
      </c>
      <c r="C22" s="8">
        <v>1</v>
      </c>
    </row>
    <row r="23" spans="1:5" x14ac:dyDescent="0.2">
      <c r="A23" s="1" t="s">
        <v>948</v>
      </c>
      <c r="B23" s="8">
        <v>4</v>
      </c>
      <c r="C23" s="8">
        <v>1</v>
      </c>
    </row>
    <row r="24" spans="1:5" x14ac:dyDescent="0.2">
      <c r="A24" s="1" t="s">
        <v>89</v>
      </c>
      <c r="B24" s="8">
        <v>4</v>
      </c>
      <c r="C24" s="8">
        <v>1</v>
      </c>
    </row>
    <row r="25" spans="1:5" x14ac:dyDescent="0.2">
      <c r="A25" s="1" t="s">
        <v>90</v>
      </c>
      <c r="B25" s="8">
        <v>4</v>
      </c>
      <c r="C25" s="8">
        <v>1</v>
      </c>
    </row>
    <row r="26" spans="1:5" x14ac:dyDescent="0.2">
      <c r="A26" s="1" t="s">
        <v>91</v>
      </c>
      <c r="B26" s="8">
        <v>2</v>
      </c>
      <c r="C26" s="8">
        <v>0</v>
      </c>
    </row>
    <row r="27" spans="1:5" x14ac:dyDescent="0.2">
      <c r="A27" s="1" t="s">
        <v>92</v>
      </c>
      <c r="B27" s="8">
        <v>0</v>
      </c>
      <c r="C27" s="8">
        <v>0</v>
      </c>
    </row>
    <row r="29" spans="1:5" x14ac:dyDescent="0.2">
      <c r="A29" s="11" t="s">
        <v>93</v>
      </c>
      <c r="B29" s="10" t="s">
        <v>96</v>
      </c>
      <c r="C29" s="10" t="s">
        <v>233</v>
      </c>
      <c r="D29" s="10" t="s">
        <v>97</v>
      </c>
      <c r="E29" s="10" t="s">
        <v>817</v>
      </c>
    </row>
    <row r="30" spans="1:5" x14ac:dyDescent="0.2">
      <c r="A30" t="str">
        <f ca="1">Language!A131</f>
        <v>Стандартный</v>
      </c>
      <c r="B30" s="15"/>
      <c r="C30" s="15"/>
      <c r="D30" s="1"/>
      <c r="E30" s="30"/>
    </row>
    <row r="31" spans="1:5" x14ac:dyDescent="0.2">
      <c r="A31" t="str">
        <f ca="1">Language!A132</f>
        <v>Синие заголовки, зеленые ячейки</v>
      </c>
      <c r="B31" s="18"/>
      <c r="C31" s="18"/>
      <c r="D31" s="15"/>
      <c r="E31" s="30"/>
    </row>
    <row r="32" spans="1:5" x14ac:dyDescent="0.2">
      <c r="A32" t="str">
        <f ca="1">Language!A133</f>
        <v>Оттенки серого</v>
      </c>
      <c r="B32" s="27"/>
      <c r="C32" s="27"/>
      <c r="D32" s="28"/>
      <c r="E32" s="30"/>
    </row>
    <row r="33" spans="1:5" x14ac:dyDescent="0.2">
      <c r="A33" t="str">
        <f ca="1">Language!A134</f>
        <v>Красные заголовки и розовые ячейки</v>
      </c>
      <c r="B33" s="16"/>
      <c r="C33" s="16"/>
      <c r="D33" s="12"/>
      <c r="E33" s="30"/>
    </row>
    <row r="34" spans="1:5" x14ac:dyDescent="0.2">
      <c r="A34" t="str">
        <f ca="1">Language!A135</f>
        <v>Зеленые заголовки, выделить инвестиционную фазу</v>
      </c>
      <c r="B34" s="15"/>
      <c r="C34" s="17"/>
      <c r="D34" s="1"/>
      <c r="E34" s="30"/>
    </row>
    <row r="35" spans="1:5" x14ac:dyDescent="0.2">
      <c r="A35" t="str">
        <f ca="1">Language!A136</f>
        <v>Синие заголовки, выделить инвестиционную фазу</v>
      </c>
      <c r="B35" s="18"/>
      <c r="C35" s="1"/>
      <c r="D35" s="15"/>
      <c r="E35" s="30"/>
    </row>
    <row r="36" spans="1:5" x14ac:dyDescent="0.2">
      <c r="A36" t="str">
        <f ca="1">Language!A137</f>
        <v>Оттенки серого, выделить инвестиционную фазу</v>
      </c>
      <c r="B36" s="27"/>
      <c r="C36" s="29"/>
      <c r="D36" s="28"/>
      <c r="E36" s="30"/>
    </row>
    <row r="37" spans="1:5" x14ac:dyDescent="0.2">
      <c r="A37" t="str">
        <f ca="1">Language!A138</f>
        <v>Красные заголовки, выделить инвестиционную фазу</v>
      </c>
      <c r="B37" s="16"/>
      <c r="C37" s="25"/>
      <c r="D37" s="12"/>
      <c r="E37" s="30"/>
    </row>
    <row r="38" spans="1:5" x14ac:dyDescent="0.2">
      <c r="A38" t="str">
        <f ca="1">Language!A139</f>
        <v>Настройки пользователя</v>
      </c>
      <c r="B38" s="26"/>
      <c r="C38" s="21"/>
      <c r="D38" s="20"/>
      <c r="E38" s="30"/>
    </row>
    <row r="40" spans="1:5" x14ac:dyDescent="0.2">
      <c r="A40" s="5" t="s">
        <v>95</v>
      </c>
      <c r="B40" s="33" t="s">
        <v>854</v>
      </c>
      <c r="C40" s="34" t="s">
        <v>854</v>
      </c>
      <c r="D40" s="35" t="s">
        <v>854</v>
      </c>
      <c r="E40" s="36" t="s">
        <v>854</v>
      </c>
    </row>
    <row r="42" spans="1:5" x14ac:dyDescent="0.2">
      <c r="A42" s="11" t="s">
        <v>273</v>
      </c>
      <c r="B42" s="14" t="s">
        <v>274</v>
      </c>
      <c r="C42" s="14" t="s">
        <v>275</v>
      </c>
      <c r="D42" s="3" t="s">
        <v>730</v>
      </c>
    </row>
    <row r="43" spans="1:5" x14ac:dyDescent="0.2">
      <c r="A43" s="1" t="str">
        <f ca="1">Language!A284</f>
        <v>Земельный участок</v>
      </c>
      <c r="B43" s="8" t="s">
        <v>799</v>
      </c>
      <c r="C43" s="8">
        <v>1</v>
      </c>
      <c r="D43" s="8">
        <v>1</v>
      </c>
    </row>
    <row r="44" spans="1:5" x14ac:dyDescent="0.2">
      <c r="A44" s="1" t="str">
        <f ca="1">Language!A285</f>
        <v>Подготовка территории строительства</v>
      </c>
      <c r="B44" s="8" t="s">
        <v>799</v>
      </c>
      <c r="C44" s="8">
        <v>2</v>
      </c>
      <c r="D44" s="8">
        <v>2</v>
      </c>
    </row>
    <row r="45" spans="1:5" x14ac:dyDescent="0.2">
      <c r="A45" s="1" t="str">
        <f ca="1">Language!A286</f>
        <v>Проектирование здания</v>
      </c>
      <c r="B45" s="8" t="s">
        <v>799</v>
      </c>
      <c r="C45" s="8">
        <v>2</v>
      </c>
      <c r="D45" s="8">
        <v>2</v>
      </c>
    </row>
    <row r="46" spans="1:5" x14ac:dyDescent="0.2">
      <c r="A46" s="1" t="str">
        <f ca="1">Language!A287</f>
        <v>Строительство здания</v>
      </c>
      <c r="B46" s="8" t="s">
        <v>799</v>
      </c>
      <c r="C46" s="8">
        <v>2</v>
      </c>
      <c r="D46" s="8">
        <v>2</v>
      </c>
    </row>
    <row r="47" spans="1:5" x14ac:dyDescent="0.2">
      <c r="A47" s="1" t="str">
        <f ca="1">Language!A288</f>
        <v>Внутренняя отделка здания</v>
      </c>
      <c r="B47" s="8" t="s">
        <v>799</v>
      </c>
      <c r="C47" s="8">
        <v>2</v>
      </c>
      <c r="D47" s="8">
        <v>2</v>
      </c>
    </row>
    <row r="48" spans="1:5" x14ac:dyDescent="0.2">
      <c r="A48" s="1" t="str">
        <f ca="1">Language!A289</f>
        <v>Коммуникации</v>
      </c>
      <c r="B48" s="8" t="s">
        <v>799</v>
      </c>
      <c r="C48" s="8">
        <v>2</v>
      </c>
      <c r="D48" s="8">
        <v>2</v>
      </c>
    </row>
    <row r="49" spans="1:4" x14ac:dyDescent="0.2">
      <c r="A49" s="1" t="str">
        <f ca="1">Language!A290</f>
        <v>Благоустройство территории</v>
      </c>
      <c r="B49" s="8" t="s">
        <v>799</v>
      </c>
      <c r="C49" s="8">
        <v>2</v>
      </c>
      <c r="D49" s="8">
        <v>2</v>
      </c>
    </row>
    <row r="50" spans="1:4" x14ac:dyDescent="0.2">
      <c r="A50" s="1" t="str">
        <f ca="1">Language!A291</f>
        <v>Основное оборудование</v>
      </c>
      <c r="B50" s="8" t="s">
        <v>799</v>
      </c>
      <c r="C50" s="8">
        <v>3</v>
      </c>
      <c r="D50" s="8">
        <v>3</v>
      </c>
    </row>
    <row r="51" spans="1:4" x14ac:dyDescent="0.2">
      <c r="A51" s="1" t="str">
        <f ca="1">Language!A292</f>
        <v>Вспомогательное оборудование</v>
      </c>
      <c r="B51" s="8" t="s">
        <v>799</v>
      </c>
      <c r="C51" s="8">
        <v>3</v>
      </c>
      <c r="D51" s="8">
        <v>3</v>
      </c>
    </row>
    <row r="52" spans="1:4" x14ac:dyDescent="0.2">
      <c r="A52" s="1" t="str">
        <f ca="1">Language!A293</f>
        <v>Оборудование склада</v>
      </c>
      <c r="B52" s="8" t="s">
        <v>799</v>
      </c>
      <c r="C52" s="8">
        <v>3</v>
      </c>
      <c r="D52" s="8">
        <v>3</v>
      </c>
    </row>
    <row r="53" spans="1:4" x14ac:dyDescent="0.2">
      <c r="A53" s="1" t="str">
        <f ca="1">Language!A294</f>
        <v>Транспорт</v>
      </c>
      <c r="B53" s="8" t="s">
        <v>799</v>
      </c>
      <c r="C53" s="8">
        <v>3</v>
      </c>
      <c r="D53" s="8">
        <v>3</v>
      </c>
    </row>
    <row r="54" spans="1:4" x14ac:dyDescent="0.2">
      <c r="A54" s="1" t="str">
        <f ca="1">Language!A295</f>
        <v>Офисная мебель, компьютеры, оргтехника</v>
      </c>
      <c r="B54" s="8" t="s">
        <v>799</v>
      </c>
      <c r="C54" s="8">
        <v>3</v>
      </c>
      <c r="D54" s="8">
        <v>3</v>
      </c>
    </row>
    <row r="55" spans="1:4" x14ac:dyDescent="0.2">
      <c r="A55" s="1" t="str">
        <f ca="1">Language!A296</f>
        <v>Получение лицензии</v>
      </c>
      <c r="B55" s="8" t="s">
        <v>799</v>
      </c>
      <c r="C55" s="8">
        <v>4</v>
      </c>
      <c r="D55" s="8">
        <v>4</v>
      </c>
    </row>
    <row r="56" spans="1:4" x14ac:dyDescent="0.2">
      <c r="A56" s="1" t="str">
        <f ca="1">Language!A297</f>
        <v>Разработка сайта</v>
      </c>
      <c r="B56" s="8" t="s">
        <v>799</v>
      </c>
      <c r="C56" s="8">
        <v>4</v>
      </c>
      <c r="D56" s="8">
        <v>4</v>
      </c>
    </row>
    <row r="57" spans="1:4" x14ac:dyDescent="0.2">
      <c r="A57" s="1" t="str">
        <f ca="1">Language!A298</f>
        <v>Система бухгалтерского учета</v>
      </c>
      <c r="B57" s="8" t="s">
        <v>799</v>
      </c>
      <c r="C57" s="8">
        <v>4</v>
      </c>
      <c r="D57" s="8">
        <v>4</v>
      </c>
    </row>
    <row r="58" spans="1:4" x14ac:dyDescent="0.2">
      <c r="A58" s="1" t="str">
        <f ca="1">Language!A299</f>
        <v>Система взаимодействия с клиентами (CRM)</v>
      </c>
      <c r="B58" s="8" t="s">
        <v>799</v>
      </c>
      <c r="C58" s="8">
        <v>4</v>
      </c>
      <c r="D58" s="8">
        <v>4</v>
      </c>
    </row>
    <row r="59" spans="1:4" x14ac:dyDescent="0.2">
      <c r="A59" s="1" t="str">
        <f ca="1">Language!A300</f>
        <v>Программы для рабочих мест сотрудников</v>
      </c>
      <c r="B59" s="8" t="s">
        <v>799</v>
      </c>
      <c r="C59" s="8">
        <v>4</v>
      </c>
      <c r="D59" s="8">
        <v>4</v>
      </c>
    </row>
    <row r="60" spans="1:4" x14ac:dyDescent="0.2">
      <c r="A60" s="1" t="str">
        <f ca="1">Language!A301</f>
        <v>Аренда производственного помещения</v>
      </c>
      <c r="B60" s="8" t="s">
        <v>813</v>
      </c>
      <c r="C60" s="8">
        <v>1</v>
      </c>
      <c r="D60" s="8">
        <v>1</v>
      </c>
    </row>
    <row r="61" spans="1:4" x14ac:dyDescent="0.2">
      <c r="A61" s="1" t="str">
        <f ca="1">Language!A302</f>
        <v>Коммунальные расходы</v>
      </c>
      <c r="B61" s="8" t="s">
        <v>813</v>
      </c>
      <c r="C61" s="8">
        <v>1</v>
      </c>
      <c r="D61" s="8">
        <v>1</v>
      </c>
    </row>
    <row r="62" spans="1:4" x14ac:dyDescent="0.2">
      <c r="A62" s="1" t="str">
        <f ca="1">Language!A303</f>
        <v>Содержание оборудования</v>
      </c>
      <c r="B62" s="8" t="s">
        <v>813</v>
      </c>
      <c r="C62" s="8">
        <v>1</v>
      </c>
      <c r="D62" s="8">
        <v>1</v>
      </c>
    </row>
    <row r="63" spans="1:4" x14ac:dyDescent="0.2">
      <c r="A63" s="1" t="str">
        <f ca="1">Language!A304</f>
        <v>Охрана и безопасность</v>
      </c>
      <c r="B63" s="8" t="s">
        <v>813</v>
      </c>
      <c r="C63" s="8">
        <v>1</v>
      </c>
      <c r="D63" s="8">
        <v>1</v>
      </c>
    </row>
    <row r="64" spans="1:4" x14ac:dyDescent="0.2">
      <c r="A64" s="1" t="str">
        <f ca="1">Language!A305</f>
        <v>Уборка и содержание территории</v>
      </c>
      <c r="B64" s="8" t="s">
        <v>813</v>
      </c>
      <c r="C64" s="8">
        <v>1</v>
      </c>
      <c r="D64" s="8">
        <v>1</v>
      </c>
    </row>
    <row r="65" spans="1:4" x14ac:dyDescent="0.2">
      <c r="A65" s="1" t="str">
        <f ca="1">Language!A306</f>
        <v>Транспортные расходы</v>
      </c>
      <c r="B65" s="8" t="s">
        <v>813</v>
      </c>
      <c r="C65" s="8">
        <v>1</v>
      </c>
      <c r="D65" s="8">
        <v>1</v>
      </c>
    </row>
    <row r="66" spans="1:4" x14ac:dyDescent="0.2">
      <c r="A66" s="1" t="str">
        <f ca="1">Language!A307</f>
        <v>Аренда офиса</v>
      </c>
      <c r="B66" s="8" t="s">
        <v>813</v>
      </c>
      <c r="C66" s="8">
        <v>2</v>
      </c>
      <c r="D66" s="8">
        <v>1</v>
      </c>
    </row>
    <row r="67" spans="1:4" x14ac:dyDescent="0.2">
      <c r="A67" s="1" t="str">
        <f ca="1">Language!A308</f>
        <v>Офисные расходы</v>
      </c>
      <c r="B67" s="8" t="s">
        <v>813</v>
      </c>
      <c r="C67" s="8">
        <v>2</v>
      </c>
      <c r="D67" s="8">
        <v>1</v>
      </c>
    </row>
    <row r="68" spans="1:4" x14ac:dyDescent="0.2">
      <c r="A68" s="1" t="str">
        <f ca="1">Language!A309</f>
        <v>Телекоммуникации</v>
      </c>
      <c r="B68" s="8" t="s">
        <v>813</v>
      </c>
      <c r="C68" s="8">
        <v>2</v>
      </c>
      <c r="D68" s="8">
        <v>1</v>
      </c>
    </row>
    <row r="69" spans="1:4" x14ac:dyDescent="0.2">
      <c r="A69" s="1" t="str">
        <f ca="1">Language!A310</f>
        <v>IT расходы</v>
      </c>
      <c r="B69" s="8" t="s">
        <v>813</v>
      </c>
      <c r="C69" s="8">
        <v>2</v>
      </c>
      <c r="D69" s="8">
        <v>1</v>
      </c>
    </row>
    <row r="70" spans="1:4" x14ac:dyDescent="0.2">
      <c r="A70" s="1" t="str">
        <f ca="1">Language!A311</f>
        <v>Командировки</v>
      </c>
      <c r="B70" s="8" t="s">
        <v>813</v>
      </c>
      <c r="C70" s="8">
        <v>2</v>
      </c>
      <c r="D70" s="8">
        <v>1</v>
      </c>
    </row>
    <row r="71" spans="1:4" x14ac:dyDescent="0.2">
      <c r="A71" s="1" t="str">
        <f ca="1">Language!A312</f>
        <v>Услуги юристов и консультантов</v>
      </c>
      <c r="B71" s="8" t="s">
        <v>813</v>
      </c>
      <c r="C71" s="8">
        <v>2</v>
      </c>
      <c r="D71" s="8">
        <v>1</v>
      </c>
    </row>
    <row r="72" spans="1:4" x14ac:dyDescent="0.2">
      <c r="A72" s="1" t="str">
        <f ca="1">Language!A313</f>
        <v>Реклама в прессе и интернете</v>
      </c>
      <c r="B72" s="8" t="s">
        <v>813</v>
      </c>
      <c r="C72" s="8">
        <v>3</v>
      </c>
      <c r="D72" s="8">
        <v>1</v>
      </c>
    </row>
    <row r="73" spans="1:4" x14ac:dyDescent="0.2">
      <c r="A73" s="1" t="str">
        <f ca="1">Language!A314</f>
        <v>Рекламные мероприятия</v>
      </c>
      <c r="B73" s="8" t="s">
        <v>813</v>
      </c>
      <c r="C73" s="8">
        <v>3</v>
      </c>
      <c r="D73" s="8">
        <v>1</v>
      </c>
    </row>
    <row r="74" spans="1:4" x14ac:dyDescent="0.2">
      <c r="A74" s="1" t="str">
        <f ca="1">Language!A315</f>
        <v>Маркетинговые материалы</v>
      </c>
      <c r="B74" s="8" t="s">
        <v>813</v>
      </c>
      <c r="C74" s="8">
        <v>3</v>
      </c>
      <c r="D74" s="8">
        <v>1</v>
      </c>
    </row>
    <row r="75" spans="1:4" x14ac:dyDescent="0.2">
      <c r="A75" s="1" t="str">
        <f ca="1">Language!A316</f>
        <v>Участие в выставках и конференциях</v>
      </c>
      <c r="B75" s="8" t="s">
        <v>813</v>
      </c>
      <c r="C75" s="8">
        <v>3</v>
      </c>
      <c r="D75" s="8">
        <v>1</v>
      </c>
    </row>
  </sheetData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 macro="[0]!Build_Distr">
                <anchor moveWithCells="1">
                  <from>
                    <xdr:col>3</xdr:col>
                    <xdr:colOff>9525</xdr:colOff>
                    <xdr:row>4</xdr:row>
                    <xdr:rowOff>0</xdr:rowOff>
                  </from>
                  <to>
                    <xdr:col>4</xdr:col>
                    <xdr:colOff>9525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outlinePr summaryBelow="0" summaryRight="0"/>
  </sheetPr>
  <dimension ref="A1:AX126"/>
  <sheetViews>
    <sheetView zoomScaleNormal="100" workbookViewId="0">
      <pane xSplit="6" ySplit="2" topLeftCell="G3" activePane="bottomRight" state="frozen"/>
      <selection pane="topRight" activeCell="G1" sqref="G1"/>
      <selection pane="bottomLeft" activeCell="A3" sqref="A3"/>
      <selection pane="bottomRight" sqref="A1:C2"/>
    </sheetView>
  </sheetViews>
  <sheetFormatPr defaultColWidth="8.7109375" defaultRowHeight="12.75" outlineLevelRow="1" x14ac:dyDescent="0.2"/>
  <cols>
    <col min="1" max="1" width="50.7109375" style="38" customWidth="1"/>
    <col min="2" max="3" width="12.7109375" style="38" customWidth="1"/>
    <col min="4" max="4" width="6.7109375" style="38" hidden="1" customWidth="1"/>
    <col min="5" max="5" width="12.7109375" style="38" hidden="1" customWidth="1"/>
    <col min="6" max="6" width="20.7109375" style="38" hidden="1" customWidth="1"/>
    <col min="7" max="48" width="12.7109375" style="38" customWidth="1"/>
    <col min="49" max="49" width="1.7109375" style="38" customWidth="1"/>
    <col min="50" max="50" width="12.7109375" style="38" customWidth="1"/>
    <col min="51" max="16384" width="8.7109375" style="38"/>
  </cols>
  <sheetData>
    <row r="1" spans="1:50" s="54" customFormat="1" ht="12.75" customHeight="1" x14ac:dyDescent="0.2">
      <c r="A1" s="384" t="str">
        <f ca="1">Language!A$472  &amp; " :: " &amp; Prj_Name</f>
        <v>Начальный баланс :: Агро</v>
      </c>
      <c r="B1" s="385"/>
      <c r="C1" s="385"/>
      <c r="D1" s="52" t="s">
        <v>6</v>
      </c>
      <c r="E1" s="52" t="s">
        <v>4</v>
      </c>
      <c r="F1" s="52" t="s">
        <v>5</v>
      </c>
      <c r="G1" s="52" t="str">
        <f ca="1">Параметры!G$34</f>
        <v>4 кв. 2022</v>
      </c>
      <c r="H1" s="52" t="str">
        <f ca="1">Параметры!H$34</f>
        <v>1 кв. 2023</v>
      </c>
      <c r="I1" s="52" t="str">
        <f ca="1">Параметры!I$34</f>
        <v>2 кв. 2023</v>
      </c>
      <c r="J1" s="52" t="str">
        <f ca="1">Параметры!J$34</f>
        <v>3 кв. 2023</v>
      </c>
      <c r="K1" s="52" t="str">
        <f ca="1">Параметры!K$34</f>
        <v>4 кв. 2023</v>
      </c>
      <c r="L1" s="52" t="str">
        <f ca="1">Параметры!L$34</f>
        <v>1 кв. 2024</v>
      </c>
      <c r="M1" s="52" t="str">
        <f ca="1">Параметры!M$34</f>
        <v>2 кв. 2024</v>
      </c>
      <c r="N1" s="52" t="str">
        <f ca="1">Параметры!N$34</f>
        <v>3 кв. 2024</v>
      </c>
      <c r="O1" s="52" t="str">
        <f ca="1">Параметры!O$34</f>
        <v>4 кв. 2024</v>
      </c>
      <c r="P1" s="52" t="str">
        <f ca="1">Параметры!P$34</f>
        <v>1 кв. 2025</v>
      </c>
      <c r="Q1" s="52" t="str">
        <f ca="1">Параметры!Q$34</f>
        <v>2 кв. 2025</v>
      </c>
      <c r="R1" s="52" t="str">
        <f ca="1">Параметры!R$34</f>
        <v>3 кв. 2025</v>
      </c>
      <c r="S1" s="52" t="str">
        <f ca="1">Параметры!S$34</f>
        <v>4 кв. 2025</v>
      </c>
      <c r="T1" s="52" t="str">
        <f ca="1">Параметры!T$34</f>
        <v>1 кв. 2026</v>
      </c>
      <c r="U1" s="52" t="str">
        <f ca="1">Параметры!U$34</f>
        <v>2 кв. 2026</v>
      </c>
      <c r="V1" s="52" t="str">
        <f ca="1">Параметры!V$34</f>
        <v>3 кв. 2026</v>
      </c>
      <c r="W1" s="52" t="str">
        <f ca="1">Параметры!W$34</f>
        <v>4 кв. 2026</v>
      </c>
      <c r="X1" s="52" t="str">
        <f ca="1">Параметры!X$34</f>
        <v>1 кв. 2027</v>
      </c>
      <c r="Y1" s="52" t="str">
        <f ca="1">Параметры!Y$34</f>
        <v>2 кв. 2027</v>
      </c>
      <c r="Z1" s="52" t="str">
        <f ca="1">Параметры!Z$34</f>
        <v>3 кв. 2027</v>
      </c>
      <c r="AA1" s="52" t="str">
        <f ca="1">Параметры!AA$34</f>
        <v>4 кв. 2027</v>
      </c>
      <c r="AB1" s="52" t="str">
        <f ca="1">Параметры!AB$34</f>
        <v>1 кв. 2028</v>
      </c>
      <c r="AC1" s="52" t="str">
        <f ca="1">Параметры!AC$34</f>
        <v>2 кв. 2028</v>
      </c>
      <c r="AD1" s="52" t="str">
        <f ca="1">Параметры!AD$34</f>
        <v>3 кв. 2028</v>
      </c>
      <c r="AE1" s="52" t="str">
        <f ca="1">Параметры!AE$34</f>
        <v>4 кв. 2028</v>
      </c>
      <c r="AF1" s="52" t="str">
        <f ca="1">Параметры!AF$34</f>
        <v>1 кв. 2029</v>
      </c>
      <c r="AG1" s="52" t="str">
        <f ca="1">Параметры!AG$34</f>
        <v>2 кв. 2029</v>
      </c>
      <c r="AH1" s="52" t="str">
        <f ca="1">Параметры!AH$34</f>
        <v>3 кв. 2029</v>
      </c>
      <c r="AI1" s="52" t="str">
        <f ca="1">Параметры!AI$34</f>
        <v>4 кв. 2029</v>
      </c>
      <c r="AJ1" s="52" t="str">
        <f ca="1">Параметры!AJ$34</f>
        <v>1 кв. 2030</v>
      </c>
      <c r="AK1" s="52" t="str">
        <f ca="1">Параметры!AK$34</f>
        <v>2 кв. 2030</v>
      </c>
      <c r="AL1" s="52" t="str">
        <f ca="1">Параметры!AL$34</f>
        <v>3 кв. 2030</v>
      </c>
      <c r="AM1" s="52" t="str">
        <f ca="1">Параметры!AM$34</f>
        <v>4 кв. 2030</v>
      </c>
      <c r="AN1" s="52" t="str">
        <f ca="1">Параметры!AN$34</f>
        <v>1 кв. 2031</v>
      </c>
      <c r="AO1" s="52" t="str">
        <f ca="1">Параметры!AO$34</f>
        <v>2 кв. 2031</v>
      </c>
      <c r="AP1" s="52" t="str">
        <f ca="1">Параметры!AP$34</f>
        <v>3 кв. 2031</v>
      </c>
      <c r="AQ1" s="52" t="str">
        <f ca="1">Параметры!AQ$34</f>
        <v>4 кв. 2031</v>
      </c>
      <c r="AR1" s="52" t="str">
        <f ca="1">Параметры!AR$34</f>
        <v>1 кв. 2032</v>
      </c>
      <c r="AS1" s="52" t="str">
        <f ca="1">Параметры!AS$34</f>
        <v>2 кв. 2032</v>
      </c>
      <c r="AT1" s="52" t="str">
        <f ca="1">Параметры!AT$34</f>
        <v>3 кв. 2032</v>
      </c>
      <c r="AU1" s="52" t="str">
        <f ca="1">Параметры!AU$34</f>
        <v>4 кв. 2032</v>
      </c>
      <c r="AV1" s="52" t="str">
        <f ca="1">Параметры!AV$34</f>
        <v>1 кв. 2033</v>
      </c>
      <c r="AW1" s="52"/>
      <c r="AX1" s="115" t="str">
        <f ca="1">Language!$A$1445</f>
        <v>ИТОГО</v>
      </c>
    </row>
    <row r="2" spans="1:50" s="54" customFormat="1" ht="12.75" customHeight="1" x14ac:dyDescent="0.2">
      <c r="A2" s="385"/>
      <c r="B2" s="385"/>
      <c r="C2" s="385"/>
      <c r="D2" s="55"/>
      <c r="E2" s="55"/>
      <c r="F2" s="55"/>
      <c r="G2" s="52">
        <f>Параметры!G25</f>
        <v>1</v>
      </c>
      <c r="H2" s="52">
        <f>Параметры!H25</f>
        <v>2</v>
      </c>
      <c r="I2" s="52">
        <f>Параметры!I25</f>
        <v>3</v>
      </c>
      <c r="J2" s="52">
        <f>Параметры!J25</f>
        <v>4</v>
      </c>
      <c r="K2" s="52">
        <f>Параметры!K25</f>
        <v>5</v>
      </c>
      <c r="L2" s="52">
        <f>Параметры!L25</f>
        <v>6</v>
      </c>
      <c r="M2" s="52">
        <f>Параметры!M25</f>
        <v>7</v>
      </c>
      <c r="N2" s="52">
        <f>Параметры!N25</f>
        <v>8</v>
      </c>
      <c r="O2" s="52">
        <f>Параметры!O25</f>
        <v>9</v>
      </c>
      <c r="P2" s="52">
        <f>Параметры!P25</f>
        <v>10</v>
      </c>
      <c r="Q2" s="52">
        <f>Параметры!Q25</f>
        <v>11</v>
      </c>
      <c r="R2" s="52">
        <f>Параметры!R25</f>
        <v>12</v>
      </c>
      <c r="S2" s="52">
        <f>Параметры!S25</f>
        <v>13</v>
      </c>
      <c r="T2" s="52">
        <f>Параметры!T25</f>
        <v>14</v>
      </c>
      <c r="U2" s="52">
        <f>Параметры!U25</f>
        <v>15</v>
      </c>
      <c r="V2" s="52">
        <f>Параметры!V25</f>
        <v>16</v>
      </c>
      <c r="W2" s="52">
        <f>Параметры!W25</f>
        <v>17</v>
      </c>
      <c r="X2" s="52">
        <f>Параметры!X25</f>
        <v>18</v>
      </c>
      <c r="Y2" s="52">
        <f>Параметры!Y25</f>
        <v>19</v>
      </c>
      <c r="Z2" s="52">
        <f>Параметры!Z25</f>
        <v>20</v>
      </c>
      <c r="AA2" s="52">
        <f>Параметры!AA25</f>
        <v>21</v>
      </c>
      <c r="AB2" s="52">
        <f>Параметры!AB25</f>
        <v>22</v>
      </c>
      <c r="AC2" s="52">
        <f>Параметры!AC25</f>
        <v>23</v>
      </c>
      <c r="AD2" s="52">
        <f>Параметры!AD25</f>
        <v>24</v>
      </c>
      <c r="AE2" s="52">
        <f>Параметры!AE25</f>
        <v>25</v>
      </c>
      <c r="AF2" s="52">
        <f>Параметры!AF25</f>
        <v>26</v>
      </c>
      <c r="AG2" s="52">
        <f>Параметры!AG25</f>
        <v>27</v>
      </c>
      <c r="AH2" s="52">
        <f>Параметры!AH25</f>
        <v>28</v>
      </c>
      <c r="AI2" s="52">
        <f>Параметры!AI25</f>
        <v>29</v>
      </c>
      <c r="AJ2" s="52">
        <f>Параметры!AJ25</f>
        <v>30</v>
      </c>
      <c r="AK2" s="52">
        <f>Параметры!AK25</f>
        <v>31</v>
      </c>
      <c r="AL2" s="52">
        <f>Параметры!AL25</f>
        <v>32</v>
      </c>
      <c r="AM2" s="52">
        <f>Параметры!AM25</f>
        <v>33</v>
      </c>
      <c r="AN2" s="52">
        <f>Параметры!AN25</f>
        <v>34</v>
      </c>
      <c r="AO2" s="52">
        <f>Параметры!AO25</f>
        <v>35</v>
      </c>
      <c r="AP2" s="52">
        <f>Параметры!AP25</f>
        <v>36</v>
      </c>
      <c r="AQ2" s="52">
        <f>Параметры!AQ25</f>
        <v>37</v>
      </c>
      <c r="AR2" s="52">
        <f>Параметры!AR25</f>
        <v>38</v>
      </c>
      <c r="AS2" s="52">
        <f>Параметры!AS25</f>
        <v>39</v>
      </c>
      <c r="AT2" s="52">
        <f>Параметры!AT25</f>
        <v>40</v>
      </c>
      <c r="AU2" s="52">
        <f>Параметры!AU25</f>
        <v>41</v>
      </c>
      <c r="AV2" s="52">
        <f>Параметры!AV25</f>
        <v>42</v>
      </c>
      <c r="AW2" s="52"/>
      <c r="AX2" s="116"/>
    </row>
    <row r="3" spans="1:50" x14ac:dyDescent="0.2">
      <c r="A3" s="38" t="s">
        <v>1530</v>
      </c>
      <c r="D3" s="57"/>
      <c r="E3" s="57"/>
      <c r="F3" s="57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117"/>
    </row>
    <row r="4" spans="1:50" s="64" customFormat="1" ht="25.5" customHeight="1" thickBot="1" x14ac:dyDescent="0.25">
      <c r="A4" s="118" t="str">
        <f ca="1">Language!A$473</f>
        <v>СТАРТОВЫЙ БАЛАНС</v>
      </c>
      <c r="B4" s="119"/>
      <c r="C4" s="120"/>
      <c r="D4" s="121"/>
      <c r="E4" s="121" t="s">
        <v>931</v>
      </c>
      <c r="F4" s="121"/>
      <c r="G4" s="63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3"/>
    </row>
    <row r="5" spans="1:50" ht="13.5" thickTop="1" x14ac:dyDescent="0.2">
      <c r="A5" s="65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</row>
    <row r="6" spans="1:50" x14ac:dyDescent="0.2">
      <c r="A6" s="99" t="str">
        <f ca="1">Language!A$474</f>
        <v>Денежные средства</v>
      </c>
      <c r="B6" s="310">
        <v>38871</v>
      </c>
      <c r="C6" s="124" t="str">
        <f t="shared" ref="C6:C14" ca="1" si="0">CurName1</f>
        <v>тыс. руб.</v>
      </c>
      <c r="D6" s="57"/>
      <c r="E6" s="57"/>
      <c r="F6" s="57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</row>
    <row r="7" spans="1:50" x14ac:dyDescent="0.2">
      <c r="A7" s="99" t="str">
        <f ca="1">Language!A$475</f>
        <v>Дебиторская задолженность</v>
      </c>
      <c r="B7" s="310">
        <v>110346</v>
      </c>
      <c r="C7" s="124" t="str">
        <f t="shared" ca="1" si="0"/>
        <v>тыс. руб.</v>
      </c>
      <c r="D7" s="57"/>
      <c r="E7" s="57"/>
      <c r="F7" s="57"/>
    </row>
    <row r="8" spans="1:50" x14ac:dyDescent="0.2">
      <c r="A8" s="99" t="str">
        <f ca="1">Language!A$476</f>
        <v>Авансы уплаченные поставщикам</v>
      </c>
      <c r="B8" s="310">
        <v>0</v>
      </c>
      <c r="C8" s="124" t="str">
        <f t="shared" ca="1" si="0"/>
        <v>тыс. руб.</v>
      </c>
      <c r="D8" s="57"/>
      <c r="E8" s="57"/>
      <c r="F8" s="57"/>
    </row>
    <row r="9" spans="1:50" x14ac:dyDescent="0.2">
      <c r="A9" s="99" t="str">
        <f ca="1">Language!A$477</f>
        <v>Готовая продукция на складе</v>
      </c>
      <c r="B9" s="310">
        <v>0</v>
      </c>
      <c r="C9" s="124" t="str">
        <f t="shared" ca="1" si="0"/>
        <v>тыс. руб.</v>
      </c>
      <c r="D9" s="57"/>
      <c r="E9" s="57"/>
      <c r="F9" s="57"/>
    </row>
    <row r="10" spans="1:50" x14ac:dyDescent="0.2">
      <c r="A10" s="99" t="str">
        <f ca="1">Language!A$478</f>
        <v>Незавершенное производство</v>
      </c>
      <c r="B10" s="310">
        <v>0</v>
      </c>
      <c r="C10" s="124" t="str">
        <f t="shared" ca="1" si="0"/>
        <v>тыс. руб.</v>
      </c>
      <c r="D10" s="57"/>
      <c r="E10" s="57"/>
      <c r="F10" s="57"/>
    </row>
    <row r="11" spans="1:50" x14ac:dyDescent="0.2">
      <c r="A11" s="99" t="str">
        <f ca="1">Language!A$479</f>
        <v>Запасы материалов и комплектующих</v>
      </c>
      <c r="B11" s="310">
        <v>474092</v>
      </c>
      <c r="C11" s="124" t="str">
        <f t="shared" ca="1" si="0"/>
        <v>тыс. руб.</v>
      </c>
      <c r="D11" s="57"/>
      <c r="E11" s="57"/>
      <c r="F11" s="57"/>
    </row>
    <row r="12" spans="1:50" x14ac:dyDescent="0.2">
      <c r="A12" s="99" t="str">
        <f ca="1">Language!A$480</f>
        <v>НДС на приобретенные товары</v>
      </c>
      <c r="B12" s="310">
        <v>5287</v>
      </c>
      <c r="C12" s="124" t="str">
        <f t="shared" ca="1" si="0"/>
        <v>тыс. руб.</v>
      </c>
      <c r="D12" s="57"/>
      <c r="E12" s="57"/>
      <c r="F12" s="57"/>
    </row>
    <row r="13" spans="1:50" x14ac:dyDescent="0.2">
      <c r="A13" s="99" t="str">
        <f ca="1">Language!A$481</f>
        <v>Краткосрочные финансовые вложения</v>
      </c>
      <c r="B13" s="310">
        <v>0</v>
      </c>
      <c r="C13" s="124" t="str">
        <f t="shared" ca="1" si="0"/>
        <v>тыс. руб.</v>
      </c>
      <c r="D13" s="57"/>
      <c r="E13" s="57"/>
      <c r="F13" s="57"/>
    </row>
    <row r="14" spans="1:50" x14ac:dyDescent="0.2">
      <c r="A14" s="99" t="str">
        <f ca="1">Language!A$482</f>
        <v>Прочие оборотные активы</v>
      </c>
      <c r="B14" s="310">
        <v>475</v>
      </c>
      <c r="C14" s="124" t="str">
        <f t="shared" ca="1" si="0"/>
        <v>тыс. руб.</v>
      </c>
      <c r="D14" s="57"/>
      <c r="E14" s="57"/>
      <c r="F14" s="57"/>
    </row>
    <row r="15" spans="1:50" x14ac:dyDescent="0.2">
      <c r="A15" s="125" t="str">
        <f ca="1">Language!A$483</f>
        <v>Суммарные оборотные активы</v>
      </c>
      <c r="B15" s="126">
        <f>SUM(B6:B14)</f>
        <v>629071</v>
      </c>
      <c r="C15" s="127" t="str">
        <f ca="1">CurName1</f>
        <v>тыс. руб.</v>
      </c>
      <c r="D15" s="128"/>
      <c r="E15" s="128"/>
      <c r="F15" s="128"/>
    </row>
    <row r="16" spans="1:50" x14ac:dyDescent="0.2">
      <c r="A16" s="65"/>
      <c r="B16" s="129"/>
      <c r="C16" s="130"/>
      <c r="D16" s="57"/>
      <c r="E16" s="57"/>
      <c r="F16" s="57"/>
    </row>
    <row r="17" spans="1:6" x14ac:dyDescent="0.2">
      <c r="A17" s="99" t="str">
        <f ca="1">Language!A$484</f>
        <v>Земельные участки</v>
      </c>
      <c r="B17" s="310">
        <v>48823</v>
      </c>
      <c r="C17" s="130" t="str">
        <f t="shared" ref="C17:C24" ca="1" si="1">CurName1</f>
        <v>тыс. руб.</v>
      </c>
      <c r="D17" s="57"/>
      <c r="E17" s="57"/>
      <c r="F17" s="57"/>
    </row>
    <row r="18" spans="1:6" x14ac:dyDescent="0.2">
      <c r="A18" s="99" t="str">
        <f ca="1">Language!A$485</f>
        <v>Здания и сооружения</v>
      </c>
      <c r="B18" s="310">
        <v>2494593</v>
      </c>
      <c r="C18" s="130" t="str">
        <f t="shared" ca="1" si="1"/>
        <v>тыс. руб.</v>
      </c>
      <c r="D18" s="57"/>
      <c r="E18" s="57"/>
      <c r="F18" s="57"/>
    </row>
    <row r="19" spans="1:6" x14ac:dyDescent="0.2">
      <c r="A19" s="99" t="str">
        <f ca="1">Language!A$486</f>
        <v>Оборудование и прочие активы</v>
      </c>
      <c r="B19" s="310">
        <v>0</v>
      </c>
      <c r="C19" s="130" t="str">
        <f t="shared" ca="1" si="1"/>
        <v>тыс. руб.</v>
      </c>
      <c r="D19" s="57"/>
      <c r="E19" s="57"/>
      <c r="F19" s="57"/>
    </row>
    <row r="20" spans="1:6" x14ac:dyDescent="0.2">
      <c r="A20" s="99" t="str">
        <f ca="1">Language!A$487</f>
        <v>Нематериальные активы</v>
      </c>
      <c r="B20" s="310">
        <v>308</v>
      </c>
      <c r="C20" s="130" t="str">
        <f t="shared" ca="1" si="1"/>
        <v>тыс. руб.</v>
      </c>
      <c r="D20" s="57"/>
      <c r="E20" s="57"/>
      <c r="F20" s="57"/>
    </row>
    <row r="21" spans="1:6" x14ac:dyDescent="0.2">
      <c r="A21" s="99" t="str">
        <f ca="1">Language!A$488</f>
        <v>Долгосрочные финансовые вложения</v>
      </c>
      <c r="B21" s="310">
        <v>0</v>
      </c>
      <c r="C21" s="130" t="str">
        <f t="shared" ca="1" si="1"/>
        <v>тыс. руб.</v>
      </c>
      <c r="D21" s="57"/>
      <c r="E21" s="57"/>
      <c r="F21" s="57"/>
    </row>
    <row r="22" spans="1:6" x14ac:dyDescent="0.2">
      <c r="A22" s="99" t="str">
        <f ca="1">Language!A$489</f>
        <v>Незавершенные капиталовложения</v>
      </c>
      <c r="B22" s="310">
        <v>121527</v>
      </c>
      <c r="C22" s="130" t="str">
        <f t="shared" ca="1" si="1"/>
        <v>тыс. руб.</v>
      </c>
      <c r="D22" s="57"/>
      <c r="E22" s="57"/>
      <c r="F22" s="57"/>
    </row>
    <row r="23" spans="1:6" x14ac:dyDescent="0.2">
      <c r="A23" s="99" t="str">
        <f ca="1">Language!A$490</f>
        <v>Прочие внеоборотные активы</v>
      </c>
      <c r="B23" s="310">
        <v>0</v>
      </c>
      <c r="C23" s="130" t="str">
        <f t="shared" ca="1" si="1"/>
        <v>тыс. руб.</v>
      </c>
      <c r="D23" s="57"/>
      <c r="E23" s="57"/>
      <c r="F23" s="57"/>
    </row>
    <row r="24" spans="1:6" x14ac:dyDescent="0.2">
      <c r="A24" s="125" t="str">
        <f ca="1">Language!A$491</f>
        <v>Суммарные внеоборотные активы</v>
      </c>
      <c r="B24" s="126">
        <f>SUM(B17:B23)</f>
        <v>2665251</v>
      </c>
      <c r="C24" s="127" t="str">
        <f t="shared" ca="1" si="1"/>
        <v>тыс. руб.</v>
      </c>
      <c r="D24" s="128"/>
      <c r="E24" s="128"/>
      <c r="F24" s="128"/>
    </row>
    <row r="25" spans="1:6" x14ac:dyDescent="0.2">
      <c r="A25" s="65"/>
      <c r="B25" s="129"/>
      <c r="C25" s="130"/>
      <c r="D25" s="57"/>
      <c r="E25" s="57"/>
      <c r="F25" s="57"/>
    </row>
    <row r="26" spans="1:6" x14ac:dyDescent="0.2">
      <c r="A26" s="131" t="str">
        <f ca="1">Language!A$492</f>
        <v>ИТОГО АКТИВОВ</v>
      </c>
      <c r="B26" s="132">
        <f>B15+B24</f>
        <v>3294322</v>
      </c>
      <c r="C26" s="133" t="str">
        <f ca="1">CurName1</f>
        <v>тыс. руб.</v>
      </c>
      <c r="D26" s="68"/>
      <c r="E26" s="68"/>
      <c r="F26" s="68"/>
    </row>
    <row r="27" spans="1:6" x14ac:dyDescent="0.2">
      <c r="A27" s="65"/>
      <c r="B27" s="129"/>
      <c r="C27" s="130"/>
      <c r="D27" s="57"/>
      <c r="E27" s="57"/>
      <c r="F27" s="57"/>
    </row>
    <row r="28" spans="1:6" x14ac:dyDescent="0.2">
      <c r="A28" s="99" t="str">
        <f ca="1">Language!A$493</f>
        <v>Кредиторская задолженность перед поставщиками</v>
      </c>
      <c r="B28" s="310">
        <v>60339</v>
      </c>
      <c r="C28" s="130" t="str">
        <f t="shared" ref="C28:C35" ca="1" si="2">CurName1</f>
        <v>тыс. руб.</v>
      </c>
      <c r="D28" s="57"/>
      <c r="E28" s="57"/>
      <c r="F28" s="57"/>
    </row>
    <row r="29" spans="1:6" x14ac:dyDescent="0.2">
      <c r="A29" s="99" t="str">
        <f ca="1">Language!A$494</f>
        <v>Кредиторская задолженность за внеоборотные активы</v>
      </c>
      <c r="B29" s="310">
        <v>0</v>
      </c>
      <c r="C29" s="130" t="str">
        <f t="shared" ca="1" si="2"/>
        <v>тыс. руб.</v>
      </c>
      <c r="D29" s="57"/>
      <c r="E29" s="57"/>
      <c r="F29" s="57"/>
    </row>
    <row r="30" spans="1:6" x14ac:dyDescent="0.2">
      <c r="A30" s="99" t="str">
        <f ca="1">Language!A$495</f>
        <v>Расчеты с бюджетом</v>
      </c>
      <c r="B30" s="310">
        <v>0</v>
      </c>
      <c r="C30" s="130" t="str">
        <f t="shared" ca="1" si="2"/>
        <v>тыс. руб.</v>
      </c>
      <c r="D30" s="57"/>
      <c r="E30" s="57"/>
      <c r="F30" s="57"/>
    </row>
    <row r="31" spans="1:6" x14ac:dyDescent="0.2">
      <c r="A31" s="99" t="str">
        <f ca="1">Language!A$496</f>
        <v>Расчеты с персоналом</v>
      </c>
      <c r="B31" s="310">
        <v>0</v>
      </c>
      <c r="C31" s="130" t="str">
        <f t="shared" ca="1" si="2"/>
        <v>тыс. руб.</v>
      </c>
      <c r="D31" s="57"/>
      <c r="E31" s="57"/>
      <c r="F31" s="57"/>
    </row>
    <row r="32" spans="1:6" x14ac:dyDescent="0.2">
      <c r="A32" s="99" t="str">
        <f ca="1">Language!A$497</f>
        <v>Полученные авансы покупателей</v>
      </c>
      <c r="B32" s="310">
        <v>0</v>
      </c>
      <c r="C32" s="130" t="str">
        <f t="shared" ca="1" si="2"/>
        <v>тыс. руб.</v>
      </c>
      <c r="D32" s="57"/>
      <c r="E32" s="57"/>
      <c r="F32" s="57"/>
    </row>
    <row r="33" spans="1:6" x14ac:dyDescent="0.2">
      <c r="A33" s="99" t="str">
        <f ca="1">Language!A$498</f>
        <v>Краткосрочные кредиты</v>
      </c>
      <c r="B33" s="310">
        <v>14528</v>
      </c>
      <c r="C33" s="130" t="str">
        <f t="shared" ca="1" si="2"/>
        <v>тыс. руб.</v>
      </c>
      <c r="D33" s="57"/>
      <c r="E33" s="57"/>
      <c r="F33" s="57"/>
    </row>
    <row r="34" spans="1:6" x14ac:dyDescent="0.2">
      <c r="A34" s="99" t="str">
        <f ca="1">Language!A$499</f>
        <v>Прочие краткосрочные обязательства</v>
      </c>
      <c r="B34" s="310">
        <v>3929</v>
      </c>
      <c r="C34" s="130" t="str">
        <f t="shared" ca="1" si="2"/>
        <v>тыс. руб.</v>
      </c>
      <c r="D34" s="57"/>
      <c r="E34" s="57"/>
      <c r="F34" s="57"/>
    </row>
    <row r="35" spans="1:6" x14ac:dyDescent="0.2">
      <c r="A35" s="125" t="str">
        <f ca="1">Language!A$500</f>
        <v>Суммарные краткосрочные обязательства</v>
      </c>
      <c r="B35" s="126">
        <f>SUM(B28:B34)</f>
        <v>78796</v>
      </c>
      <c r="C35" s="127" t="str">
        <f t="shared" ca="1" si="2"/>
        <v>тыс. руб.</v>
      </c>
      <c r="D35" s="128"/>
      <c r="E35" s="128"/>
      <c r="F35" s="128"/>
    </row>
    <row r="36" spans="1:6" x14ac:dyDescent="0.2">
      <c r="A36" s="65"/>
      <c r="B36" s="129"/>
      <c r="C36" s="130"/>
      <c r="D36" s="57"/>
      <c r="E36" s="57"/>
      <c r="F36" s="57"/>
    </row>
    <row r="37" spans="1:6" x14ac:dyDescent="0.2">
      <c r="A37" s="99" t="str">
        <f ca="1">Language!A$501</f>
        <v>Долгосрочные кредиты</v>
      </c>
      <c r="B37" s="310">
        <v>2176632</v>
      </c>
      <c r="C37" s="130" t="str">
        <f ca="1">CurName1</f>
        <v>тыс. руб.</v>
      </c>
      <c r="D37" s="57"/>
      <c r="E37" s="57"/>
      <c r="F37" s="57"/>
    </row>
    <row r="38" spans="1:6" x14ac:dyDescent="0.2">
      <c r="A38" s="99" t="str">
        <f ca="1">Language!A$502</f>
        <v>Прочие долгосрочные обязательства</v>
      </c>
      <c r="B38" s="310">
        <v>161000</v>
      </c>
      <c r="C38" s="130" t="str">
        <f ca="1">CurName1</f>
        <v>тыс. руб.</v>
      </c>
      <c r="D38" s="57"/>
      <c r="E38" s="57"/>
      <c r="F38" s="57"/>
    </row>
    <row r="39" spans="1:6" x14ac:dyDescent="0.2">
      <c r="A39" s="125" t="str">
        <f ca="1">Language!A$503</f>
        <v>Суммарные долгосрочные обязательства</v>
      </c>
      <c r="B39" s="126">
        <f>B37+B38</f>
        <v>2337632</v>
      </c>
      <c r="C39" s="127" t="str">
        <f ca="1">CurName1</f>
        <v>тыс. руб.</v>
      </c>
      <c r="D39" s="128"/>
      <c r="E39" s="128"/>
      <c r="F39" s="128"/>
    </row>
    <row r="40" spans="1:6" x14ac:dyDescent="0.2">
      <c r="A40" s="65"/>
      <c r="B40" s="129"/>
      <c r="C40" s="130"/>
      <c r="D40" s="57"/>
      <c r="E40" s="57"/>
      <c r="F40" s="57"/>
    </row>
    <row r="41" spans="1:6" x14ac:dyDescent="0.2">
      <c r="A41" s="99" t="str">
        <f ca="1">Language!A$504</f>
        <v>Акционерный капитал</v>
      </c>
      <c r="B41" s="310">
        <v>364573</v>
      </c>
      <c r="C41" s="130" t="str">
        <f ca="1">CurName1</f>
        <v>тыс. руб.</v>
      </c>
      <c r="D41" s="57"/>
      <c r="E41" s="57"/>
      <c r="F41" s="57"/>
    </row>
    <row r="42" spans="1:6" x14ac:dyDescent="0.2">
      <c r="A42" s="99" t="str">
        <f ca="1">Language!A$505</f>
        <v>Нераспределенная прибыль</v>
      </c>
      <c r="B42" s="310">
        <v>513321</v>
      </c>
      <c r="C42" s="130" t="str">
        <f ca="1">CurName1</f>
        <v>тыс. руб.</v>
      </c>
      <c r="D42" s="57"/>
      <c r="E42" s="57"/>
      <c r="F42" s="57"/>
    </row>
    <row r="43" spans="1:6" x14ac:dyDescent="0.2">
      <c r="A43" s="99" t="str">
        <f ca="1">Language!A$506</f>
        <v>Прочий собственный капитал</v>
      </c>
      <c r="B43" s="310">
        <v>0</v>
      </c>
      <c r="C43" s="130" t="str">
        <f ca="1">CurName1</f>
        <v>тыс. руб.</v>
      </c>
      <c r="D43" s="57"/>
      <c r="E43" s="57"/>
      <c r="F43" s="57"/>
    </row>
    <row r="44" spans="1:6" x14ac:dyDescent="0.2">
      <c r="A44" s="125" t="str">
        <f ca="1">Language!A$507</f>
        <v>Суммарный собственный капитал</v>
      </c>
      <c r="B44" s="126">
        <f>SUM(B41:B43)</f>
        <v>877894</v>
      </c>
      <c r="C44" s="127" t="str">
        <f ca="1">CurName1</f>
        <v>тыс. руб.</v>
      </c>
      <c r="D44" s="128"/>
      <c r="E44" s="128"/>
      <c r="F44" s="128"/>
    </row>
    <row r="45" spans="1:6" x14ac:dyDescent="0.2">
      <c r="A45" s="65"/>
      <c r="B45" s="129"/>
      <c r="C45" s="130"/>
      <c r="D45" s="57"/>
      <c r="E45" s="57"/>
      <c r="F45" s="57"/>
    </row>
    <row r="46" spans="1:6" x14ac:dyDescent="0.2">
      <c r="A46" s="131" t="str">
        <f ca="1">Language!A$508</f>
        <v>ИТОГО ПАССИВОВ</v>
      </c>
      <c r="B46" s="132">
        <f>B35+B39+B44</f>
        <v>3294322</v>
      </c>
      <c r="C46" s="133" t="str">
        <f ca="1">CurName1</f>
        <v>тыс. руб.</v>
      </c>
      <c r="D46" s="68"/>
      <c r="E46" s="68"/>
      <c r="F46" s="68"/>
    </row>
    <row r="47" spans="1:6" s="137" customFormat="1" ht="11.25" x14ac:dyDescent="0.2">
      <c r="A47" s="134" t="str">
        <f ca="1">Language!A$509</f>
        <v>Контроль сходимости баланса</v>
      </c>
      <c r="B47" s="135">
        <f>B26-B46</f>
        <v>0</v>
      </c>
      <c r="C47" s="136" t="str">
        <f>IF(B47=0, "OK", "Не сходится")</f>
        <v>OK</v>
      </c>
    </row>
    <row r="48" spans="1:6" x14ac:dyDescent="0.2">
      <c r="A48" s="65"/>
    </row>
    <row r="49" spans="1:50" x14ac:dyDescent="0.2">
      <c r="A49" s="65" t="str">
        <f ca="1">Language!A$510</f>
        <v>Стоимость чистых активов стартового баланса</v>
      </c>
      <c r="B49" s="138">
        <f>B26-B50-B35-B39</f>
        <v>877894</v>
      </c>
      <c r="C49" s="124" t="str">
        <f t="shared" ref="C49:C51" ca="1" si="3">CurName1</f>
        <v>тыс. руб.</v>
      </c>
    </row>
    <row r="50" spans="1:50" ht="25.5" x14ac:dyDescent="0.2">
      <c r="A50" s="139" t="str">
        <f ca="1">Language!A$511</f>
        <v>задолженность учредителей по взносам в уставный капитал</v>
      </c>
      <c r="B50" s="311">
        <v>0</v>
      </c>
      <c r="C50" s="124" t="str">
        <f t="shared" ca="1" si="3"/>
        <v>тыс. руб.</v>
      </c>
    </row>
    <row r="51" spans="1:50" x14ac:dyDescent="0.2">
      <c r="A51" s="65" t="str">
        <f ca="1">Language!A$512</f>
        <v>Рыночная стоимость (для анализа эффективности)</v>
      </c>
      <c r="B51" s="311">
        <f>B49</f>
        <v>877894</v>
      </c>
      <c r="C51" s="124" t="str">
        <f t="shared" ca="1" si="3"/>
        <v>тыс. руб.</v>
      </c>
    </row>
    <row r="52" spans="1:50" x14ac:dyDescent="0.2">
      <c r="A52" s="67"/>
      <c r="B52" s="51"/>
      <c r="C52" s="51"/>
      <c r="D52" s="51"/>
      <c r="E52" s="51" t="s">
        <v>934</v>
      </c>
      <c r="F52" s="51"/>
    </row>
    <row r="55" spans="1:50" s="64" customFormat="1" ht="25.5" customHeight="1" thickBot="1" x14ac:dyDescent="0.25">
      <c r="A55" s="118" t="str">
        <f ca="1">Language!A$513</f>
        <v>СУЩЕСТВУЮЩИЕ ОСНОВНЫЕ СРЕДСТВА</v>
      </c>
      <c r="B55" s="119"/>
      <c r="C55" s="120"/>
      <c r="D55" s="121"/>
      <c r="E55" s="121" t="s">
        <v>930</v>
      </c>
      <c r="F55" s="121"/>
      <c r="G55" s="69" t="str">
        <f ca="1">Параметры!G$34</f>
        <v>4 кв. 2022</v>
      </c>
      <c r="H55" s="140" t="str">
        <f ca="1">Параметры!H$34</f>
        <v>1 кв. 2023</v>
      </c>
      <c r="I55" s="140" t="str">
        <f ca="1">Параметры!I$34</f>
        <v>2 кв. 2023</v>
      </c>
      <c r="J55" s="140" t="str">
        <f ca="1">Параметры!J$34</f>
        <v>3 кв. 2023</v>
      </c>
      <c r="K55" s="140" t="str">
        <f ca="1">Параметры!K$34</f>
        <v>4 кв. 2023</v>
      </c>
      <c r="L55" s="140" t="str">
        <f ca="1">Параметры!L$34</f>
        <v>1 кв. 2024</v>
      </c>
      <c r="M55" s="140" t="str">
        <f ca="1">Параметры!M$34</f>
        <v>2 кв. 2024</v>
      </c>
      <c r="N55" s="140" t="str">
        <f ca="1">Параметры!N$34</f>
        <v>3 кв. 2024</v>
      </c>
      <c r="O55" s="140" t="str">
        <f ca="1">Параметры!O$34</f>
        <v>4 кв. 2024</v>
      </c>
      <c r="P55" s="140" t="str">
        <f ca="1">Параметры!P$34</f>
        <v>1 кв. 2025</v>
      </c>
      <c r="Q55" s="140" t="str">
        <f ca="1">Параметры!Q$34</f>
        <v>2 кв. 2025</v>
      </c>
      <c r="R55" s="140" t="str">
        <f ca="1">Параметры!R$34</f>
        <v>3 кв. 2025</v>
      </c>
      <c r="S55" s="140" t="str">
        <f ca="1">Параметры!S$34</f>
        <v>4 кв. 2025</v>
      </c>
      <c r="T55" s="140" t="str">
        <f ca="1">Параметры!T$34</f>
        <v>1 кв. 2026</v>
      </c>
      <c r="U55" s="140" t="str">
        <f ca="1">Параметры!U$34</f>
        <v>2 кв. 2026</v>
      </c>
      <c r="V55" s="140" t="str">
        <f ca="1">Параметры!V$34</f>
        <v>3 кв. 2026</v>
      </c>
      <c r="W55" s="140" t="str">
        <f ca="1">Параметры!W$34</f>
        <v>4 кв. 2026</v>
      </c>
      <c r="X55" s="140" t="str">
        <f ca="1">Параметры!X$34</f>
        <v>1 кв. 2027</v>
      </c>
      <c r="Y55" s="140" t="str">
        <f ca="1">Параметры!Y$34</f>
        <v>2 кв. 2027</v>
      </c>
      <c r="Z55" s="140" t="str">
        <f ca="1">Параметры!Z$34</f>
        <v>3 кв. 2027</v>
      </c>
      <c r="AA55" s="140" t="str">
        <f ca="1">Параметры!AA$34</f>
        <v>4 кв. 2027</v>
      </c>
      <c r="AB55" s="140" t="str">
        <f ca="1">Параметры!AB$34</f>
        <v>1 кв. 2028</v>
      </c>
      <c r="AC55" s="140" t="str">
        <f ca="1">Параметры!AC$34</f>
        <v>2 кв. 2028</v>
      </c>
      <c r="AD55" s="140" t="str">
        <f ca="1">Параметры!AD$34</f>
        <v>3 кв. 2028</v>
      </c>
      <c r="AE55" s="140" t="str">
        <f ca="1">Параметры!AE$34</f>
        <v>4 кв. 2028</v>
      </c>
      <c r="AF55" s="140" t="str">
        <f ca="1">Параметры!AF$34</f>
        <v>1 кв. 2029</v>
      </c>
      <c r="AG55" s="140" t="str">
        <f ca="1">Параметры!AG$34</f>
        <v>2 кв. 2029</v>
      </c>
      <c r="AH55" s="140" t="str">
        <f ca="1">Параметры!AH$34</f>
        <v>3 кв. 2029</v>
      </c>
      <c r="AI55" s="140" t="str">
        <f ca="1">Параметры!AI$34</f>
        <v>4 кв. 2029</v>
      </c>
      <c r="AJ55" s="140" t="str">
        <f ca="1">Параметры!AJ$34</f>
        <v>1 кв. 2030</v>
      </c>
      <c r="AK55" s="140" t="str">
        <f ca="1">Параметры!AK$34</f>
        <v>2 кв. 2030</v>
      </c>
      <c r="AL55" s="140" t="str">
        <f ca="1">Параметры!AL$34</f>
        <v>3 кв. 2030</v>
      </c>
      <c r="AM55" s="140" t="str">
        <f ca="1">Параметры!AM$34</f>
        <v>4 кв. 2030</v>
      </c>
      <c r="AN55" s="140" t="str">
        <f ca="1">Параметры!AN$34</f>
        <v>1 кв. 2031</v>
      </c>
      <c r="AO55" s="140" t="str">
        <f ca="1">Параметры!AO$34</f>
        <v>2 кв. 2031</v>
      </c>
      <c r="AP55" s="140" t="str">
        <f ca="1">Параметры!AP$34</f>
        <v>3 кв. 2031</v>
      </c>
      <c r="AQ55" s="140" t="str">
        <f ca="1">Параметры!AQ$34</f>
        <v>4 кв. 2031</v>
      </c>
      <c r="AR55" s="140" t="str">
        <f ca="1">Параметры!AR$34</f>
        <v>1 кв. 2032</v>
      </c>
      <c r="AS55" s="140" t="str">
        <f ca="1">Параметры!AS$34</f>
        <v>2 кв. 2032</v>
      </c>
      <c r="AT55" s="140" t="str">
        <f ca="1">Параметры!AT$34</f>
        <v>3 кв. 2032</v>
      </c>
      <c r="AU55" s="140" t="str">
        <f ca="1">Параметры!AU$34</f>
        <v>4 кв. 2032</v>
      </c>
      <c r="AV55" s="140" t="str">
        <f ca="1">Параметры!AV$34</f>
        <v>1 кв. 2033</v>
      </c>
      <c r="AW55" s="140"/>
      <c r="AX55" s="141" t="str">
        <f ca="1">Language!$A$1445</f>
        <v>ИТОГО</v>
      </c>
    </row>
    <row r="56" spans="1:50" ht="13.5" thickTop="1" x14ac:dyDescent="0.2">
      <c r="A56" s="65"/>
    </row>
    <row r="57" spans="1:50" x14ac:dyDescent="0.2">
      <c r="A57" s="65" t="str">
        <f ca="1">Language!A$514</f>
        <v>Незавершенные капвложения на начало периода</v>
      </c>
      <c r="B57" s="138"/>
      <c r="C57" s="124" t="str">
        <f t="shared" ref="C57:C62" ca="1" si="4">CurName1</f>
        <v>тыс. руб.</v>
      </c>
      <c r="F57" s="38" t="s">
        <v>755</v>
      </c>
      <c r="G57" s="138">
        <f>$B$22</f>
        <v>121527</v>
      </c>
      <c r="H57" s="138">
        <f t="shared" ref="H57:AV57" si="5">G62</f>
        <v>121527</v>
      </c>
      <c r="I57" s="138">
        <f t="shared" si="5"/>
        <v>121527</v>
      </c>
      <c r="J57" s="138">
        <f t="shared" si="5"/>
        <v>121527</v>
      </c>
      <c r="K57" s="138">
        <f t="shared" si="5"/>
        <v>121527</v>
      </c>
      <c r="L57" s="138">
        <f t="shared" si="5"/>
        <v>121527</v>
      </c>
      <c r="M57" s="138">
        <f t="shared" si="5"/>
        <v>121527</v>
      </c>
      <c r="N57" s="138">
        <f t="shared" si="5"/>
        <v>121527</v>
      </c>
      <c r="O57" s="138">
        <f t="shared" si="5"/>
        <v>121527</v>
      </c>
      <c r="P57" s="138">
        <f t="shared" si="5"/>
        <v>121527</v>
      </c>
      <c r="Q57" s="138">
        <f t="shared" si="5"/>
        <v>121527</v>
      </c>
      <c r="R57" s="138">
        <f t="shared" si="5"/>
        <v>121527</v>
      </c>
      <c r="S57" s="138">
        <f t="shared" si="5"/>
        <v>121527</v>
      </c>
      <c r="T57" s="138">
        <f t="shared" si="5"/>
        <v>121527</v>
      </c>
      <c r="U57" s="138">
        <f t="shared" si="5"/>
        <v>121527</v>
      </c>
      <c r="V57" s="138">
        <f t="shared" si="5"/>
        <v>121527</v>
      </c>
      <c r="W57" s="138">
        <f t="shared" si="5"/>
        <v>121527</v>
      </c>
      <c r="X57" s="138">
        <f t="shared" si="5"/>
        <v>121527</v>
      </c>
      <c r="Y57" s="138">
        <f t="shared" si="5"/>
        <v>121527</v>
      </c>
      <c r="Z57" s="138">
        <f t="shared" si="5"/>
        <v>121527</v>
      </c>
      <c r="AA57" s="138">
        <f t="shared" si="5"/>
        <v>121527</v>
      </c>
      <c r="AB57" s="138">
        <f t="shared" si="5"/>
        <v>121527</v>
      </c>
      <c r="AC57" s="138">
        <f t="shared" si="5"/>
        <v>121527</v>
      </c>
      <c r="AD57" s="138">
        <f t="shared" si="5"/>
        <v>121527</v>
      </c>
      <c r="AE57" s="138">
        <f t="shared" si="5"/>
        <v>121527</v>
      </c>
      <c r="AF57" s="138">
        <f t="shared" si="5"/>
        <v>121527</v>
      </c>
      <c r="AG57" s="138">
        <f t="shared" si="5"/>
        <v>121527</v>
      </c>
      <c r="AH57" s="138">
        <f t="shared" si="5"/>
        <v>121527</v>
      </c>
      <c r="AI57" s="138">
        <f t="shared" si="5"/>
        <v>121527</v>
      </c>
      <c r="AJ57" s="138">
        <f t="shared" si="5"/>
        <v>121527</v>
      </c>
      <c r="AK57" s="138">
        <f t="shared" si="5"/>
        <v>121527</v>
      </c>
      <c r="AL57" s="138">
        <f t="shared" si="5"/>
        <v>121527</v>
      </c>
      <c r="AM57" s="138">
        <f t="shared" si="5"/>
        <v>121527</v>
      </c>
      <c r="AN57" s="138">
        <f t="shared" si="5"/>
        <v>121527</v>
      </c>
      <c r="AO57" s="138">
        <f t="shared" si="5"/>
        <v>121527</v>
      </c>
      <c r="AP57" s="138">
        <f t="shared" si="5"/>
        <v>121527</v>
      </c>
      <c r="AQ57" s="138">
        <f t="shared" si="5"/>
        <v>121527</v>
      </c>
      <c r="AR57" s="138">
        <f t="shared" si="5"/>
        <v>121527</v>
      </c>
      <c r="AS57" s="138">
        <f t="shared" si="5"/>
        <v>121527</v>
      </c>
      <c r="AT57" s="138">
        <f t="shared" si="5"/>
        <v>121527</v>
      </c>
      <c r="AU57" s="138">
        <f t="shared" si="5"/>
        <v>121527</v>
      </c>
      <c r="AV57" s="138">
        <f t="shared" si="5"/>
        <v>121527</v>
      </c>
    </row>
    <row r="58" spans="1:50" x14ac:dyDescent="0.2">
      <c r="A58" s="65" t="str">
        <f ca="1">Language!A$515</f>
        <v>График постановки на баланс:</v>
      </c>
      <c r="C58" s="124" t="str">
        <f t="shared" ca="1" si="4"/>
        <v>тыс. руб.</v>
      </c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</row>
    <row r="59" spans="1:50" x14ac:dyDescent="0.2">
      <c r="A59" s="99" t="str">
        <f ca="1">Language!A$516</f>
        <v>Здания и сооружения</v>
      </c>
      <c r="C59" s="124" t="str">
        <f t="shared" ca="1" si="4"/>
        <v>тыс. руб.</v>
      </c>
      <c r="F59" s="38" t="s">
        <v>753</v>
      </c>
      <c r="G59" s="311">
        <v>0</v>
      </c>
      <c r="H59" s="311">
        <v>0</v>
      </c>
      <c r="I59" s="311">
        <v>0</v>
      </c>
      <c r="J59" s="311">
        <v>0</v>
      </c>
      <c r="K59" s="311">
        <v>0</v>
      </c>
      <c r="L59" s="311">
        <v>0</v>
      </c>
      <c r="M59" s="311">
        <v>0</v>
      </c>
      <c r="N59" s="311">
        <v>0</v>
      </c>
      <c r="O59" s="311">
        <v>0</v>
      </c>
      <c r="P59" s="311">
        <v>0</v>
      </c>
      <c r="Q59" s="311">
        <v>0</v>
      </c>
      <c r="R59" s="311">
        <v>0</v>
      </c>
      <c r="S59" s="311">
        <v>0</v>
      </c>
      <c r="T59" s="311">
        <v>0</v>
      </c>
      <c r="U59" s="311">
        <v>0</v>
      </c>
      <c r="V59" s="311">
        <v>0</v>
      </c>
      <c r="W59" s="311">
        <v>0</v>
      </c>
      <c r="X59" s="311">
        <v>0</v>
      </c>
      <c r="Y59" s="311">
        <v>0</v>
      </c>
      <c r="Z59" s="311">
        <v>0</v>
      </c>
      <c r="AA59" s="311">
        <v>0</v>
      </c>
      <c r="AB59" s="311">
        <v>0</v>
      </c>
      <c r="AC59" s="311">
        <v>0</v>
      </c>
      <c r="AD59" s="311">
        <v>0</v>
      </c>
      <c r="AE59" s="311">
        <v>0</v>
      </c>
      <c r="AF59" s="311">
        <v>0</v>
      </c>
      <c r="AG59" s="311">
        <v>0</v>
      </c>
      <c r="AH59" s="311">
        <v>0</v>
      </c>
      <c r="AI59" s="311">
        <v>0</v>
      </c>
      <c r="AJ59" s="311">
        <v>0</v>
      </c>
      <c r="AK59" s="311">
        <v>0</v>
      </c>
      <c r="AL59" s="311">
        <v>0</v>
      </c>
      <c r="AM59" s="311">
        <v>0</v>
      </c>
      <c r="AN59" s="311">
        <v>0</v>
      </c>
      <c r="AO59" s="311">
        <v>0</v>
      </c>
      <c r="AP59" s="311">
        <v>0</v>
      </c>
      <c r="AQ59" s="311">
        <v>0</v>
      </c>
      <c r="AR59" s="311">
        <v>0</v>
      </c>
      <c r="AS59" s="311">
        <v>0</v>
      </c>
      <c r="AT59" s="311">
        <v>0</v>
      </c>
      <c r="AU59" s="311">
        <v>0</v>
      </c>
      <c r="AV59" s="311">
        <v>0</v>
      </c>
      <c r="AX59" s="142">
        <f>SUM(G59:AW59)</f>
        <v>0</v>
      </c>
    </row>
    <row r="60" spans="1:50" x14ac:dyDescent="0.2">
      <c r="A60" s="99" t="str">
        <f ca="1">Language!A$517</f>
        <v>Оборудование и прочие активы</v>
      </c>
      <c r="C60" s="124" t="str">
        <f t="shared" ca="1" si="4"/>
        <v>тыс. руб.</v>
      </c>
      <c r="F60" s="38" t="s">
        <v>753</v>
      </c>
      <c r="G60" s="311">
        <v>0</v>
      </c>
      <c r="H60" s="311">
        <v>0</v>
      </c>
      <c r="I60" s="311">
        <v>0</v>
      </c>
      <c r="J60" s="311">
        <v>0</v>
      </c>
      <c r="K60" s="311">
        <v>0</v>
      </c>
      <c r="L60" s="311">
        <v>0</v>
      </c>
      <c r="M60" s="311">
        <v>0</v>
      </c>
      <c r="N60" s="311">
        <v>0</v>
      </c>
      <c r="O60" s="311">
        <v>0</v>
      </c>
      <c r="P60" s="311">
        <v>0</v>
      </c>
      <c r="Q60" s="311">
        <v>0</v>
      </c>
      <c r="R60" s="311">
        <v>0</v>
      </c>
      <c r="S60" s="311">
        <v>0</v>
      </c>
      <c r="T60" s="311">
        <v>0</v>
      </c>
      <c r="U60" s="311">
        <v>0</v>
      </c>
      <c r="V60" s="311">
        <v>0</v>
      </c>
      <c r="W60" s="311">
        <v>0</v>
      </c>
      <c r="X60" s="311">
        <v>0</v>
      </c>
      <c r="Y60" s="311">
        <v>0</v>
      </c>
      <c r="Z60" s="311">
        <v>0</v>
      </c>
      <c r="AA60" s="311">
        <v>0</v>
      </c>
      <c r="AB60" s="311">
        <v>0</v>
      </c>
      <c r="AC60" s="311">
        <v>0</v>
      </c>
      <c r="AD60" s="311">
        <v>0</v>
      </c>
      <c r="AE60" s="311">
        <v>0</v>
      </c>
      <c r="AF60" s="311">
        <v>0</v>
      </c>
      <c r="AG60" s="311">
        <v>0</v>
      </c>
      <c r="AH60" s="311">
        <v>0</v>
      </c>
      <c r="AI60" s="311">
        <v>0</v>
      </c>
      <c r="AJ60" s="311">
        <v>0</v>
      </c>
      <c r="AK60" s="311">
        <v>0</v>
      </c>
      <c r="AL60" s="311">
        <v>0</v>
      </c>
      <c r="AM60" s="311">
        <v>0</v>
      </c>
      <c r="AN60" s="311">
        <v>0</v>
      </c>
      <c r="AO60" s="311">
        <v>0</v>
      </c>
      <c r="AP60" s="311">
        <v>0</v>
      </c>
      <c r="AQ60" s="311">
        <v>0</v>
      </c>
      <c r="AR60" s="311">
        <v>0</v>
      </c>
      <c r="AS60" s="311">
        <v>0</v>
      </c>
      <c r="AT60" s="311">
        <v>0</v>
      </c>
      <c r="AU60" s="311">
        <v>0</v>
      </c>
      <c r="AV60" s="311">
        <v>0</v>
      </c>
      <c r="AX60" s="142">
        <f>SUM(G60:AW60)</f>
        <v>0</v>
      </c>
    </row>
    <row r="61" spans="1:50" x14ac:dyDescent="0.2">
      <c r="A61" s="99" t="str">
        <f ca="1">Language!A$518</f>
        <v>Нематериальные активы</v>
      </c>
      <c r="C61" s="124" t="str">
        <f t="shared" ca="1" si="4"/>
        <v>тыс. руб.</v>
      </c>
      <c r="F61" s="38" t="s">
        <v>753</v>
      </c>
      <c r="G61" s="311">
        <v>0</v>
      </c>
      <c r="H61" s="311">
        <v>0</v>
      </c>
      <c r="I61" s="311">
        <v>0</v>
      </c>
      <c r="J61" s="311">
        <v>0</v>
      </c>
      <c r="K61" s="311">
        <v>0</v>
      </c>
      <c r="L61" s="311">
        <v>0</v>
      </c>
      <c r="M61" s="311">
        <v>0</v>
      </c>
      <c r="N61" s="311">
        <v>0</v>
      </c>
      <c r="O61" s="311">
        <v>0</v>
      </c>
      <c r="P61" s="311">
        <v>0</v>
      </c>
      <c r="Q61" s="311">
        <v>0</v>
      </c>
      <c r="R61" s="311">
        <v>0</v>
      </c>
      <c r="S61" s="311">
        <v>0</v>
      </c>
      <c r="T61" s="311">
        <v>0</v>
      </c>
      <c r="U61" s="311">
        <v>0</v>
      </c>
      <c r="V61" s="311">
        <v>0</v>
      </c>
      <c r="W61" s="311">
        <v>0</v>
      </c>
      <c r="X61" s="311">
        <v>0</v>
      </c>
      <c r="Y61" s="311">
        <v>0</v>
      </c>
      <c r="Z61" s="311">
        <v>0</v>
      </c>
      <c r="AA61" s="311">
        <v>0</v>
      </c>
      <c r="AB61" s="311">
        <v>0</v>
      </c>
      <c r="AC61" s="311">
        <v>0</v>
      </c>
      <c r="AD61" s="311">
        <v>0</v>
      </c>
      <c r="AE61" s="311">
        <v>0</v>
      </c>
      <c r="AF61" s="311">
        <v>0</v>
      </c>
      <c r="AG61" s="311">
        <v>0</v>
      </c>
      <c r="AH61" s="311">
        <v>0</v>
      </c>
      <c r="AI61" s="311">
        <v>0</v>
      </c>
      <c r="AJ61" s="311">
        <v>0</v>
      </c>
      <c r="AK61" s="311">
        <v>0</v>
      </c>
      <c r="AL61" s="311">
        <v>0</v>
      </c>
      <c r="AM61" s="311">
        <v>0</v>
      </c>
      <c r="AN61" s="311">
        <v>0</v>
      </c>
      <c r="AO61" s="311">
        <v>0</v>
      </c>
      <c r="AP61" s="311">
        <v>0</v>
      </c>
      <c r="AQ61" s="311">
        <v>0</v>
      </c>
      <c r="AR61" s="311">
        <v>0</v>
      </c>
      <c r="AS61" s="311">
        <v>0</v>
      </c>
      <c r="AT61" s="311">
        <v>0</v>
      </c>
      <c r="AU61" s="311">
        <v>0</v>
      </c>
      <c r="AV61" s="311">
        <v>0</v>
      </c>
      <c r="AX61" s="142">
        <f>SUM(G61:AW61)</f>
        <v>0</v>
      </c>
    </row>
    <row r="62" spans="1:50" x14ac:dyDescent="0.2">
      <c r="A62" s="65" t="str">
        <f ca="1">Language!A$519</f>
        <v>Незавершенные капвложения на конец периода</v>
      </c>
      <c r="C62" s="124" t="str">
        <f t="shared" ca="1" si="4"/>
        <v>тыс. руб.</v>
      </c>
      <c r="F62" s="38" t="s">
        <v>754</v>
      </c>
      <c r="G62" s="143">
        <f>G57-SUM(G59:G61)</f>
        <v>121527</v>
      </c>
      <c r="H62" s="143">
        <f>H57-SUM(H59:H61)</f>
        <v>121527</v>
      </c>
      <c r="I62" s="143">
        <f t="shared" ref="I62:AV62" si="6">H62-SUM(I59:I61)</f>
        <v>121527</v>
      </c>
      <c r="J62" s="143">
        <f t="shared" si="6"/>
        <v>121527</v>
      </c>
      <c r="K62" s="143">
        <f t="shared" si="6"/>
        <v>121527</v>
      </c>
      <c r="L62" s="143">
        <f t="shared" si="6"/>
        <v>121527</v>
      </c>
      <c r="M62" s="143">
        <f t="shared" si="6"/>
        <v>121527</v>
      </c>
      <c r="N62" s="143">
        <f t="shared" si="6"/>
        <v>121527</v>
      </c>
      <c r="O62" s="143">
        <f t="shared" si="6"/>
        <v>121527</v>
      </c>
      <c r="P62" s="143">
        <f t="shared" si="6"/>
        <v>121527</v>
      </c>
      <c r="Q62" s="143">
        <f t="shared" si="6"/>
        <v>121527</v>
      </c>
      <c r="R62" s="143">
        <f t="shared" si="6"/>
        <v>121527</v>
      </c>
      <c r="S62" s="143">
        <f t="shared" si="6"/>
        <v>121527</v>
      </c>
      <c r="T62" s="143">
        <f t="shared" si="6"/>
        <v>121527</v>
      </c>
      <c r="U62" s="143">
        <f t="shared" si="6"/>
        <v>121527</v>
      </c>
      <c r="V62" s="143">
        <f t="shared" si="6"/>
        <v>121527</v>
      </c>
      <c r="W62" s="143">
        <f t="shared" si="6"/>
        <v>121527</v>
      </c>
      <c r="X62" s="143">
        <f t="shared" si="6"/>
        <v>121527</v>
      </c>
      <c r="Y62" s="143">
        <f t="shared" si="6"/>
        <v>121527</v>
      </c>
      <c r="Z62" s="143">
        <f t="shared" si="6"/>
        <v>121527</v>
      </c>
      <c r="AA62" s="143">
        <f t="shared" si="6"/>
        <v>121527</v>
      </c>
      <c r="AB62" s="143">
        <f t="shared" si="6"/>
        <v>121527</v>
      </c>
      <c r="AC62" s="143">
        <f t="shared" si="6"/>
        <v>121527</v>
      </c>
      <c r="AD62" s="143">
        <f t="shared" si="6"/>
        <v>121527</v>
      </c>
      <c r="AE62" s="143">
        <f t="shared" si="6"/>
        <v>121527</v>
      </c>
      <c r="AF62" s="143">
        <f t="shared" si="6"/>
        <v>121527</v>
      </c>
      <c r="AG62" s="143">
        <f t="shared" si="6"/>
        <v>121527</v>
      </c>
      <c r="AH62" s="143">
        <f t="shared" si="6"/>
        <v>121527</v>
      </c>
      <c r="AI62" s="143">
        <f t="shared" si="6"/>
        <v>121527</v>
      </c>
      <c r="AJ62" s="143">
        <f t="shared" si="6"/>
        <v>121527</v>
      </c>
      <c r="AK62" s="143">
        <f t="shared" si="6"/>
        <v>121527</v>
      </c>
      <c r="AL62" s="143">
        <f t="shared" si="6"/>
        <v>121527</v>
      </c>
      <c r="AM62" s="143">
        <f t="shared" si="6"/>
        <v>121527</v>
      </c>
      <c r="AN62" s="143">
        <f t="shared" si="6"/>
        <v>121527</v>
      </c>
      <c r="AO62" s="143">
        <f t="shared" si="6"/>
        <v>121527</v>
      </c>
      <c r="AP62" s="143">
        <f t="shared" si="6"/>
        <v>121527</v>
      </c>
      <c r="AQ62" s="143">
        <f t="shared" si="6"/>
        <v>121527</v>
      </c>
      <c r="AR62" s="143">
        <f t="shared" si="6"/>
        <v>121527</v>
      </c>
      <c r="AS62" s="143">
        <f t="shared" si="6"/>
        <v>121527</v>
      </c>
      <c r="AT62" s="143">
        <f t="shared" si="6"/>
        <v>121527</v>
      </c>
      <c r="AU62" s="143">
        <f t="shared" si="6"/>
        <v>121527</v>
      </c>
      <c r="AV62" s="143">
        <f t="shared" si="6"/>
        <v>121527</v>
      </c>
    </row>
    <row r="63" spans="1:50" x14ac:dyDescent="0.2">
      <c r="A63" s="65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</row>
    <row r="64" spans="1:50" x14ac:dyDescent="0.2">
      <c r="A64" s="125" t="str">
        <f ca="1">Language!A$520</f>
        <v>Земельные участки</v>
      </c>
      <c r="B64" s="144"/>
      <c r="C64" s="144"/>
      <c r="D64" s="144"/>
      <c r="E64" s="144"/>
      <c r="F64" s="144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</row>
    <row r="65" spans="1:50" x14ac:dyDescent="0.2">
      <c r="A65" s="65" t="str">
        <f ca="1">Language!A$521</f>
        <v>балансовая стоимость</v>
      </c>
      <c r="C65" s="124" t="str">
        <f ca="1">CurName1</f>
        <v>тыс. руб.</v>
      </c>
      <c r="F65" s="38" t="s">
        <v>754</v>
      </c>
      <c r="G65" s="143">
        <f>IF(G$2=1,$B$17,F65)</f>
        <v>48823</v>
      </c>
      <c r="H65" s="143">
        <f t="shared" ref="H65:AV65" si="7">IF(H$2=1,$B$17,G65)</f>
        <v>48823</v>
      </c>
      <c r="I65" s="143">
        <f t="shared" si="7"/>
        <v>48823</v>
      </c>
      <c r="J65" s="143">
        <f t="shared" si="7"/>
        <v>48823</v>
      </c>
      <c r="K65" s="143">
        <f t="shared" si="7"/>
        <v>48823</v>
      </c>
      <c r="L65" s="143">
        <f t="shared" si="7"/>
        <v>48823</v>
      </c>
      <c r="M65" s="143">
        <f t="shared" si="7"/>
        <v>48823</v>
      </c>
      <c r="N65" s="143">
        <f t="shared" si="7"/>
        <v>48823</v>
      </c>
      <c r="O65" s="143">
        <f t="shared" si="7"/>
        <v>48823</v>
      </c>
      <c r="P65" s="143">
        <f t="shared" si="7"/>
        <v>48823</v>
      </c>
      <c r="Q65" s="143">
        <f t="shared" si="7"/>
        <v>48823</v>
      </c>
      <c r="R65" s="143">
        <f t="shared" si="7"/>
        <v>48823</v>
      </c>
      <c r="S65" s="143">
        <f t="shared" si="7"/>
        <v>48823</v>
      </c>
      <c r="T65" s="143">
        <f t="shared" si="7"/>
        <v>48823</v>
      </c>
      <c r="U65" s="143">
        <f t="shared" si="7"/>
        <v>48823</v>
      </c>
      <c r="V65" s="143">
        <f t="shared" si="7"/>
        <v>48823</v>
      </c>
      <c r="W65" s="143">
        <f t="shared" si="7"/>
        <v>48823</v>
      </c>
      <c r="X65" s="143">
        <f t="shared" si="7"/>
        <v>48823</v>
      </c>
      <c r="Y65" s="143">
        <f t="shared" si="7"/>
        <v>48823</v>
      </c>
      <c r="Z65" s="143">
        <f t="shared" si="7"/>
        <v>48823</v>
      </c>
      <c r="AA65" s="143">
        <f t="shared" si="7"/>
        <v>48823</v>
      </c>
      <c r="AB65" s="143">
        <f t="shared" si="7"/>
        <v>48823</v>
      </c>
      <c r="AC65" s="143">
        <f t="shared" si="7"/>
        <v>48823</v>
      </c>
      <c r="AD65" s="143">
        <f t="shared" si="7"/>
        <v>48823</v>
      </c>
      <c r="AE65" s="143">
        <f t="shared" si="7"/>
        <v>48823</v>
      </c>
      <c r="AF65" s="143">
        <f t="shared" si="7"/>
        <v>48823</v>
      </c>
      <c r="AG65" s="143">
        <f t="shared" si="7"/>
        <v>48823</v>
      </c>
      <c r="AH65" s="143">
        <f t="shared" si="7"/>
        <v>48823</v>
      </c>
      <c r="AI65" s="143">
        <f t="shared" si="7"/>
        <v>48823</v>
      </c>
      <c r="AJ65" s="143">
        <f t="shared" si="7"/>
        <v>48823</v>
      </c>
      <c r="AK65" s="143">
        <f t="shared" si="7"/>
        <v>48823</v>
      </c>
      <c r="AL65" s="143">
        <f t="shared" si="7"/>
        <v>48823</v>
      </c>
      <c r="AM65" s="143">
        <f t="shared" si="7"/>
        <v>48823</v>
      </c>
      <c r="AN65" s="143">
        <f t="shared" si="7"/>
        <v>48823</v>
      </c>
      <c r="AO65" s="143">
        <f t="shared" si="7"/>
        <v>48823</v>
      </c>
      <c r="AP65" s="143">
        <f t="shared" si="7"/>
        <v>48823</v>
      </c>
      <c r="AQ65" s="143">
        <f t="shared" si="7"/>
        <v>48823</v>
      </c>
      <c r="AR65" s="143">
        <f t="shared" si="7"/>
        <v>48823</v>
      </c>
      <c r="AS65" s="143">
        <f t="shared" si="7"/>
        <v>48823</v>
      </c>
      <c r="AT65" s="143">
        <f t="shared" si="7"/>
        <v>48823</v>
      </c>
      <c r="AU65" s="143">
        <f t="shared" si="7"/>
        <v>48823</v>
      </c>
      <c r="AV65" s="143">
        <f t="shared" si="7"/>
        <v>48823</v>
      </c>
    </row>
    <row r="66" spans="1:50" x14ac:dyDescent="0.2">
      <c r="A66" s="65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</row>
    <row r="67" spans="1:50" x14ac:dyDescent="0.2">
      <c r="A67" s="125" t="str">
        <f ca="1">Language!A$522</f>
        <v>Здания и сооружения</v>
      </c>
      <c r="B67" s="144"/>
      <c r="C67" s="144"/>
      <c r="D67" s="144"/>
      <c r="E67" s="144"/>
      <c r="F67" s="144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</row>
    <row r="68" spans="1:50" x14ac:dyDescent="0.2">
      <c r="A68" s="65" t="str">
        <f ca="1">Language!A$523</f>
        <v>первоначальная стоимость</v>
      </c>
      <c r="C68" s="124" t="str">
        <f ca="1">CurName1</f>
        <v>тыс. руб.</v>
      </c>
      <c r="F68" s="38" t="s">
        <v>754</v>
      </c>
      <c r="G68" s="138">
        <f>$B$18+G59</f>
        <v>2494593</v>
      </c>
      <c r="H68" s="138">
        <f t="shared" ref="H68:AV68" si="8">G68+H59</f>
        <v>2494593</v>
      </c>
      <c r="I68" s="138">
        <f t="shared" si="8"/>
        <v>2494593</v>
      </c>
      <c r="J68" s="138">
        <f t="shared" si="8"/>
        <v>2494593</v>
      </c>
      <c r="K68" s="138">
        <f t="shared" si="8"/>
        <v>2494593</v>
      </c>
      <c r="L68" s="138">
        <f t="shared" si="8"/>
        <v>2494593</v>
      </c>
      <c r="M68" s="138">
        <f t="shared" si="8"/>
        <v>2494593</v>
      </c>
      <c r="N68" s="138">
        <f t="shared" si="8"/>
        <v>2494593</v>
      </c>
      <c r="O68" s="138">
        <f t="shared" si="8"/>
        <v>2494593</v>
      </c>
      <c r="P68" s="138">
        <f t="shared" si="8"/>
        <v>2494593</v>
      </c>
      <c r="Q68" s="138">
        <f t="shared" si="8"/>
        <v>2494593</v>
      </c>
      <c r="R68" s="138">
        <f t="shared" si="8"/>
        <v>2494593</v>
      </c>
      <c r="S68" s="138">
        <f t="shared" si="8"/>
        <v>2494593</v>
      </c>
      <c r="T68" s="138">
        <f t="shared" si="8"/>
        <v>2494593</v>
      </c>
      <c r="U68" s="138">
        <f t="shared" si="8"/>
        <v>2494593</v>
      </c>
      <c r="V68" s="138">
        <f t="shared" si="8"/>
        <v>2494593</v>
      </c>
      <c r="W68" s="138">
        <f t="shared" si="8"/>
        <v>2494593</v>
      </c>
      <c r="X68" s="138">
        <f t="shared" si="8"/>
        <v>2494593</v>
      </c>
      <c r="Y68" s="138">
        <f t="shared" si="8"/>
        <v>2494593</v>
      </c>
      <c r="Z68" s="138">
        <f t="shared" si="8"/>
        <v>2494593</v>
      </c>
      <c r="AA68" s="138">
        <f t="shared" si="8"/>
        <v>2494593</v>
      </c>
      <c r="AB68" s="138">
        <f t="shared" si="8"/>
        <v>2494593</v>
      </c>
      <c r="AC68" s="138">
        <f t="shared" si="8"/>
        <v>2494593</v>
      </c>
      <c r="AD68" s="138">
        <f t="shared" si="8"/>
        <v>2494593</v>
      </c>
      <c r="AE68" s="138">
        <f t="shared" si="8"/>
        <v>2494593</v>
      </c>
      <c r="AF68" s="138">
        <f t="shared" si="8"/>
        <v>2494593</v>
      </c>
      <c r="AG68" s="138">
        <f t="shared" si="8"/>
        <v>2494593</v>
      </c>
      <c r="AH68" s="138">
        <f t="shared" si="8"/>
        <v>2494593</v>
      </c>
      <c r="AI68" s="138">
        <f t="shared" si="8"/>
        <v>2494593</v>
      </c>
      <c r="AJ68" s="138">
        <f t="shared" si="8"/>
        <v>2494593</v>
      </c>
      <c r="AK68" s="138">
        <f t="shared" si="8"/>
        <v>2494593</v>
      </c>
      <c r="AL68" s="138">
        <f t="shared" si="8"/>
        <v>2494593</v>
      </c>
      <c r="AM68" s="138">
        <f t="shared" si="8"/>
        <v>2494593</v>
      </c>
      <c r="AN68" s="138">
        <f t="shared" si="8"/>
        <v>2494593</v>
      </c>
      <c r="AO68" s="138">
        <f t="shared" si="8"/>
        <v>2494593</v>
      </c>
      <c r="AP68" s="138">
        <f t="shared" si="8"/>
        <v>2494593</v>
      </c>
      <c r="AQ68" s="138">
        <f t="shared" si="8"/>
        <v>2494593</v>
      </c>
      <c r="AR68" s="138">
        <f t="shared" si="8"/>
        <v>2494593</v>
      </c>
      <c r="AS68" s="138">
        <f t="shared" si="8"/>
        <v>2494593</v>
      </c>
      <c r="AT68" s="138">
        <f t="shared" si="8"/>
        <v>2494593</v>
      </c>
      <c r="AU68" s="138">
        <f t="shared" si="8"/>
        <v>2494593</v>
      </c>
      <c r="AV68" s="138">
        <f t="shared" si="8"/>
        <v>2494593</v>
      </c>
    </row>
    <row r="69" spans="1:50" x14ac:dyDescent="0.2">
      <c r="A69" s="65" t="str">
        <f ca="1">Language!A$524</f>
        <v>срок амортизации</v>
      </c>
      <c r="B69" s="305">
        <v>9</v>
      </c>
      <c r="C69" s="146" t="str">
        <f ca="1">Language!$A$48</f>
        <v>лет</v>
      </c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</row>
    <row r="70" spans="1:50" x14ac:dyDescent="0.2">
      <c r="A70" s="65" t="str">
        <f ca="1">Language!A$525</f>
        <v>амортизация</v>
      </c>
      <c r="C70" s="124" t="str">
        <f ca="1">CurName1</f>
        <v>тыс. руб.</v>
      </c>
      <c r="F70" s="38" t="s">
        <v>753</v>
      </c>
      <c r="G70" s="138">
        <f>IF($B69=0,0,MIN(G68/$B69/12*Параметры!G$31,IF(G$2=1,G68,F72+G68-F68)))</f>
        <v>69294.25</v>
      </c>
      <c r="H70" s="138">
        <f>IF($B69=0,0,MIN(H68/$B69/12*Параметры!H$31,IF(H$2=1,H68,G72+H68-G68)))</f>
        <v>69294.25</v>
      </c>
      <c r="I70" s="138">
        <f>IF($B69=0,0,MIN(I68/$B69/12*Параметры!I$31,IF(I$2=1,I68,H72+I68-H68)))</f>
        <v>69294.25</v>
      </c>
      <c r="J70" s="138">
        <f>IF($B69=0,0,MIN(J68/$B69/12*Параметры!J$31,IF(J$2=1,J68,I72+J68-I68)))</f>
        <v>69294.25</v>
      </c>
      <c r="K70" s="138">
        <f>IF($B69=0,0,MIN(K68/$B69/12*Параметры!K$31,IF(K$2=1,K68,J72+K68-J68)))</f>
        <v>69294.25</v>
      </c>
      <c r="L70" s="138">
        <f>IF($B69=0,0,MIN(L68/$B69/12*Параметры!L$31,IF(L$2=1,L68,K72+L68-K68)))</f>
        <v>69294.25</v>
      </c>
      <c r="M70" s="138">
        <f>IF($B69=0,0,MIN(M68/$B69/12*Параметры!M$31,IF(M$2=1,M68,L72+M68-L68)))</f>
        <v>69294.25</v>
      </c>
      <c r="N70" s="138">
        <f>IF($B69=0,0,MIN(N68/$B69/12*Параметры!N$31,IF(N$2=1,N68,M72+N68-M68)))</f>
        <v>69294.25</v>
      </c>
      <c r="O70" s="138">
        <f>IF($B69=0,0,MIN(O68/$B69/12*Параметры!O$31,IF(O$2=1,O68,N72+O68-N68)))</f>
        <v>69294.25</v>
      </c>
      <c r="P70" s="138">
        <f>IF($B69=0,0,MIN(P68/$B69/12*Параметры!P$31,IF(P$2=1,P68,O72+P68-O68)))</f>
        <v>69294.25</v>
      </c>
      <c r="Q70" s="138">
        <f>IF($B69=0,0,MIN(Q68/$B69/12*Параметры!Q$31,IF(Q$2=1,Q68,P72+Q68-P68)))</f>
        <v>69294.25</v>
      </c>
      <c r="R70" s="138">
        <f>IF($B69=0,0,MIN(R68/$B69/12*Параметры!R$31,IF(R$2=1,R68,Q72+R68-Q68)))</f>
        <v>69294.25</v>
      </c>
      <c r="S70" s="138">
        <f>IF($B69=0,0,MIN(S68/$B69/12*Параметры!S$31,IF(S$2=1,S68,R72+S68-R68)))</f>
        <v>69294.25</v>
      </c>
      <c r="T70" s="138">
        <f>IF($B69=0,0,MIN(T68/$B69/12*Параметры!T$31,IF(T$2=1,T68,S72+T68-S68)))</f>
        <v>69294.25</v>
      </c>
      <c r="U70" s="138">
        <f>IF($B69=0,0,MIN(U68/$B69/12*Параметры!U$31,IF(U$2=1,U68,T72+U68-T68)))</f>
        <v>69294.25</v>
      </c>
      <c r="V70" s="138">
        <f>IF($B69=0,0,MIN(V68/$B69/12*Параметры!V$31,IF(V$2=1,V68,U72+V68-U68)))</f>
        <v>69294.25</v>
      </c>
      <c r="W70" s="138">
        <f>IF($B69=0,0,MIN(W68/$B69/12*Параметры!W$31,IF(W$2=1,W68,V72+W68-V68)))</f>
        <v>69294.25</v>
      </c>
      <c r="X70" s="138">
        <f>IF($B69=0,0,MIN(X68/$B69/12*Параметры!X$31,IF(X$2=1,X68,W72+X68-W68)))</f>
        <v>69294.25</v>
      </c>
      <c r="Y70" s="138">
        <f>IF($B69=0,0,MIN(Y68/$B69/12*Параметры!Y$31,IF(Y$2=1,Y68,X72+Y68-X68)))</f>
        <v>69294.25</v>
      </c>
      <c r="Z70" s="138">
        <f>IF($B69=0,0,MIN(Z68/$B69/12*Параметры!Z$31,IF(Z$2=1,Z68,Y72+Z68-Y68)))</f>
        <v>69294.25</v>
      </c>
      <c r="AA70" s="138">
        <f>IF($B69=0,0,MIN(AA68/$B69/12*Параметры!AA$31,IF(AA$2=1,AA68,Z72+AA68-Z68)))</f>
        <v>69294.25</v>
      </c>
      <c r="AB70" s="138">
        <f>IF($B69=0,0,MIN(AB68/$B69/12*Параметры!AB$31,IF(AB$2=1,AB68,AA72+AB68-AA68)))</f>
        <v>69294.25</v>
      </c>
      <c r="AC70" s="138">
        <f>IF($B69=0,0,MIN(AC68/$B69/12*Параметры!AC$31,IF(AC$2=1,AC68,AB72+AC68-AB68)))</f>
        <v>69294.25</v>
      </c>
      <c r="AD70" s="138">
        <f>IF($B69=0,0,MIN(AD68/$B69/12*Параметры!AD$31,IF(AD$2=1,AD68,AC72+AD68-AC68)))</f>
        <v>69294.25</v>
      </c>
      <c r="AE70" s="138">
        <f>IF($B69=0,0,MIN(AE68/$B69/12*Параметры!AE$31,IF(AE$2=1,AE68,AD72+AE68-AD68)))</f>
        <v>69294.25</v>
      </c>
      <c r="AF70" s="138">
        <f>IF($B69=0,0,MIN(AF68/$B69/12*Параметры!AF$31,IF(AF$2=1,AF68,AE72+AF68-AE68)))</f>
        <v>69294.25</v>
      </c>
      <c r="AG70" s="138">
        <f>IF($B69=0,0,MIN(AG68/$B69/12*Параметры!AG$31,IF(AG$2=1,AG68,AF72+AG68-AF68)))</f>
        <v>69294.25</v>
      </c>
      <c r="AH70" s="138">
        <f>IF($B69=0,0,MIN(AH68/$B69/12*Параметры!AH$31,IF(AH$2=1,AH68,AG72+AH68-AG68)))</f>
        <v>69294.25</v>
      </c>
      <c r="AI70" s="138">
        <f>IF($B69=0,0,MIN(AI68/$B69/12*Параметры!AI$31,IF(AI$2=1,AI68,AH72+AI68-AH68)))</f>
        <v>69294.25</v>
      </c>
      <c r="AJ70" s="138">
        <f>IF($B69=0,0,MIN(AJ68/$B69/12*Параметры!AJ$31,IF(AJ$2=1,AJ68,AI72+AJ68-AI68)))</f>
        <v>69294.25</v>
      </c>
      <c r="AK70" s="138">
        <f>IF($B69=0,0,MIN(AK68/$B69/12*Параметры!AK$31,IF(AK$2=1,AK68,AJ72+AK68-AJ68)))</f>
        <v>69294.25</v>
      </c>
      <c r="AL70" s="138">
        <f>IF($B69=0,0,MIN(AL68/$B69/12*Параметры!AL$31,IF(AL$2=1,AL68,AK72+AL68-AK68)))</f>
        <v>69294.25</v>
      </c>
      <c r="AM70" s="138">
        <f>IF($B69=0,0,MIN(AM68/$B69/12*Параметры!AM$31,IF(AM$2=1,AM68,AL72+AM68-AL68)))</f>
        <v>69294.25</v>
      </c>
      <c r="AN70" s="138">
        <f>IF($B69=0,0,MIN(AN68/$B69/12*Параметры!AN$31,IF(AN$2=1,AN68,AM72+AN68-AM68)))</f>
        <v>69294.25</v>
      </c>
      <c r="AO70" s="138">
        <f>IF($B69=0,0,MIN(AO68/$B69/12*Параметры!AO$31,IF(AO$2=1,AO68,AN72+AO68-AN68)))</f>
        <v>69294.25</v>
      </c>
      <c r="AP70" s="138">
        <f>IF($B69=0,0,MIN(AP68/$B69/12*Параметры!AP$31,IF(AP$2=1,AP68,AO72+AP68-AO68)))</f>
        <v>69294.25</v>
      </c>
      <c r="AQ70" s="138">
        <f>IF($B69=0,0,MIN(AQ68/$B69/12*Параметры!AQ$31,IF(AQ$2=1,AQ68,AP72+AQ68-AP68)))</f>
        <v>0</v>
      </c>
      <c r="AR70" s="138">
        <f>IF($B69=0,0,MIN(AR68/$B69/12*Параметры!AR$31,IF(AR$2=1,AR68,AQ72+AR68-AQ68)))</f>
        <v>0</v>
      </c>
      <c r="AS70" s="138">
        <f>IF($B69=0,0,MIN(AS68/$B69/12*Параметры!AS$31,IF(AS$2=1,AS68,AR72+AS68-AR68)))</f>
        <v>0</v>
      </c>
      <c r="AT70" s="138">
        <f>IF($B69=0,0,MIN(AT68/$B69/12*Параметры!AT$31,IF(AT$2=1,AT68,AS72+AT68-AS68)))</f>
        <v>0</v>
      </c>
      <c r="AU70" s="138">
        <f>IF($B69=0,0,MIN(AU68/$B69/12*Параметры!AU$31,IF(AU$2=1,AU68,AT72+AU68-AT68)))</f>
        <v>0</v>
      </c>
      <c r="AV70" s="138">
        <f>IF($B69=0,0,MIN(AV68/$B69/12*Параметры!AV$31,IF(AV$2=1,AV68,AU72+AV68-AU68)))</f>
        <v>0</v>
      </c>
      <c r="AX70" s="142">
        <f>SUM(G70:AW70)</f>
        <v>2494593</v>
      </c>
    </row>
    <row r="71" spans="1:50" x14ac:dyDescent="0.2">
      <c r="A71" s="65" t="str">
        <f ca="1">Language!A$526</f>
        <v>накопленная амортизация</v>
      </c>
      <c r="C71" s="124" t="str">
        <f ca="1">CurName1</f>
        <v>тыс. руб.</v>
      </c>
      <c r="F71" s="38" t="s">
        <v>754</v>
      </c>
      <c r="G71" s="138">
        <f>G70+IF(G$2=1,0,F71)</f>
        <v>69294.25</v>
      </c>
      <c r="H71" s="138">
        <f t="shared" ref="H71:AV71" si="9">H70+IF(H$2=1,0,G71)</f>
        <v>138588.5</v>
      </c>
      <c r="I71" s="138">
        <f t="shared" si="9"/>
        <v>207882.75</v>
      </c>
      <c r="J71" s="138">
        <f t="shared" si="9"/>
        <v>277177</v>
      </c>
      <c r="K71" s="138">
        <f t="shared" si="9"/>
        <v>346471.25</v>
      </c>
      <c r="L71" s="138">
        <f t="shared" si="9"/>
        <v>415765.5</v>
      </c>
      <c r="M71" s="138">
        <f t="shared" si="9"/>
        <v>485059.75</v>
      </c>
      <c r="N71" s="138">
        <f t="shared" si="9"/>
        <v>554354</v>
      </c>
      <c r="O71" s="138">
        <f t="shared" si="9"/>
        <v>623648.25</v>
      </c>
      <c r="P71" s="138">
        <f t="shared" si="9"/>
        <v>692942.5</v>
      </c>
      <c r="Q71" s="138">
        <f t="shared" si="9"/>
        <v>762236.75</v>
      </c>
      <c r="R71" s="138">
        <f t="shared" si="9"/>
        <v>831531</v>
      </c>
      <c r="S71" s="138">
        <f t="shared" si="9"/>
        <v>900825.25</v>
      </c>
      <c r="T71" s="138">
        <f t="shared" si="9"/>
        <v>970119.5</v>
      </c>
      <c r="U71" s="138">
        <f t="shared" si="9"/>
        <v>1039413.75</v>
      </c>
      <c r="V71" s="138">
        <f t="shared" si="9"/>
        <v>1108708</v>
      </c>
      <c r="W71" s="138">
        <f t="shared" si="9"/>
        <v>1178002.25</v>
      </c>
      <c r="X71" s="138">
        <f t="shared" si="9"/>
        <v>1247296.5</v>
      </c>
      <c r="Y71" s="138">
        <f t="shared" si="9"/>
        <v>1316590.75</v>
      </c>
      <c r="Z71" s="138">
        <f t="shared" si="9"/>
        <v>1385885</v>
      </c>
      <c r="AA71" s="138">
        <f t="shared" si="9"/>
        <v>1455179.25</v>
      </c>
      <c r="AB71" s="138">
        <f t="shared" si="9"/>
        <v>1524473.5</v>
      </c>
      <c r="AC71" s="138">
        <f t="shared" si="9"/>
        <v>1593767.75</v>
      </c>
      <c r="AD71" s="138">
        <f t="shared" si="9"/>
        <v>1663062</v>
      </c>
      <c r="AE71" s="138">
        <f t="shared" si="9"/>
        <v>1732356.25</v>
      </c>
      <c r="AF71" s="138">
        <f t="shared" si="9"/>
        <v>1801650.5</v>
      </c>
      <c r="AG71" s="138">
        <f t="shared" si="9"/>
        <v>1870944.75</v>
      </c>
      <c r="AH71" s="138">
        <f t="shared" si="9"/>
        <v>1940239</v>
      </c>
      <c r="AI71" s="138">
        <f t="shared" si="9"/>
        <v>2009533.25</v>
      </c>
      <c r="AJ71" s="138">
        <f t="shared" si="9"/>
        <v>2078827.5</v>
      </c>
      <c r="AK71" s="138">
        <f t="shared" si="9"/>
        <v>2148121.75</v>
      </c>
      <c r="AL71" s="138">
        <f t="shared" si="9"/>
        <v>2217416</v>
      </c>
      <c r="AM71" s="138">
        <f t="shared" si="9"/>
        <v>2286710.25</v>
      </c>
      <c r="AN71" s="138">
        <f t="shared" si="9"/>
        <v>2356004.5</v>
      </c>
      <c r="AO71" s="138">
        <f t="shared" si="9"/>
        <v>2425298.75</v>
      </c>
      <c r="AP71" s="138">
        <f t="shared" si="9"/>
        <v>2494593</v>
      </c>
      <c r="AQ71" s="138">
        <f t="shared" si="9"/>
        <v>2494593</v>
      </c>
      <c r="AR71" s="138">
        <f t="shared" si="9"/>
        <v>2494593</v>
      </c>
      <c r="AS71" s="138">
        <f t="shared" si="9"/>
        <v>2494593</v>
      </c>
      <c r="AT71" s="138">
        <f t="shared" si="9"/>
        <v>2494593</v>
      </c>
      <c r="AU71" s="138">
        <f t="shared" si="9"/>
        <v>2494593</v>
      </c>
      <c r="AV71" s="138">
        <f t="shared" si="9"/>
        <v>2494593</v>
      </c>
    </row>
    <row r="72" spans="1:50" x14ac:dyDescent="0.2">
      <c r="A72" s="65" t="str">
        <f ca="1">Language!A$527</f>
        <v>остаточная балансовая стоимость</v>
      </c>
      <c r="C72" s="124" t="str">
        <f ca="1">CurName1</f>
        <v>тыс. руб.</v>
      </c>
      <c r="F72" s="38" t="s">
        <v>754</v>
      </c>
      <c r="G72" s="143">
        <f>G68-G71</f>
        <v>2425298.75</v>
      </c>
      <c r="H72" s="143">
        <f t="shared" ref="H72:K72" si="10">H68-H71</f>
        <v>2356004.5</v>
      </c>
      <c r="I72" s="143">
        <f t="shared" si="10"/>
        <v>2286710.25</v>
      </c>
      <c r="J72" s="143">
        <f t="shared" si="10"/>
        <v>2217416</v>
      </c>
      <c r="K72" s="143">
        <f t="shared" si="10"/>
        <v>2148121.75</v>
      </c>
      <c r="L72" s="143">
        <f t="shared" ref="L72:M72" si="11">L68-L71</f>
        <v>2078827.5</v>
      </c>
      <c r="M72" s="143">
        <f t="shared" si="11"/>
        <v>2009533.25</v>
      </c>
      <c r="N72" s="143">
        <f t="shared" ref="N72:O72" si="12">N68-N71</f>
        <v>1940239</v>
      </c>
      <c r="O72" s="143">
        <f t="shared" si="12"/>
        <v>1870944.75</v>
      </c>
      <c r="P72" s="143">
        <f t="shared" ref="P72:Q72" si="13">P68-P71</f>
        <v>1801650.5</v>
      </c>
      <c r="Q72" s="143">
        <f t="shared" si="13"/>
        <v>1732356.25</v>
      </c>
      <c r="R72" s="143">
        <f t="shared" ref="R72:S72" si="14">R68-R71</f>
        <v>1663062</v>
      </c>
      <c r="S72" s="143">
        <f t="shared" si="14"/>
        <v>1593767.75</v>
      </c>
      <c r="T72" s="143">
        <f t="shared" ref="T72:U72" si="15">T68-T71</f>
        <v>1524473.5</v>
      </c>
      <c r="U72" s="143">
        <f t="shared" si="15"/>
        <v>1455179.25</v>
      </c>
      <c r="V72" s="143">
        <f t="shared" ref="V72:W72" si="16">V68-V71</f>
        <v>1385885</v>
      </c>
      <c r="W72" s="143">
        <f t="shared" si="16"/>
        <v>1316590.75</v>
      </c>
      <c r="X72" s="143">
        <f t="shared" ref="X72:Y72" si="17">X68-X71</f>
        <v>1247296.5</v>
      </c>
      <c r="Y72" s="143">
        <f t="shared" si="17"/>
        <v>1178002.25</v>
      </c>
      <c r="Z72" s="143">
        <f t="shared" ref="Z72:AA72" si="18">Z68-Z71</f>
        <v>1108708</v>
      </c>
      <c r="AA72" s="143">
        <f t="shared" si="18"/>
        <v>1039413.75</v>
      </c>
      <c r="AB72" s="143">
        <f t="shared" ref="AB72:AC72" si="19">AB68-AB71</f>
        <v>970119.5</v>
      </c>
      <c r="AC72" s="143">
        <f t="shared" si="19"/>
        <v>900825.25</v>
      </c>
      <c r="AD72" s="143">
        <f t="shared" ref="AD72:AE72" si="20">AD68-AD71</f>
        <v>831531</v>
      </c>
      <c r="AE72" s="143">
        <f t="shared" si="20"/>
        <v>762236.75</v>
      </c>
      <c r="AF72" s="143">
        <f t="shared" ref="AF72:AG72" si="21">AF68-AF71</f>
        <v>692942.5</v>
      </c>
      <c r="AG72" s="143">
        <f t="shared" si="21"/>
        <v>623648.25</v>
      </c>
      <c r="AH72" s="143">
        <f t="shared" ref="AH72:AI72" si="22">AH68-AH71</f>
        <v>554354</v>
      </c>
      <c r="AI72" s="143">
        <f t="shared" si="22"/>
        <v>485059.75</v>
      </c>
      <c r="AJ72" s="143">
        <f t="shared" ref="AJ72:AK72" si="23">AJ68-AJ71</f>
        <v>415765.5</v>
      </c>
      <c r="AK72" s="143">
        <f t="shared" si="23"/>
        <v>346471.25</v>
      </c>
      <c r="AL72" s="143">
        <f t="shared" ref="AL72:AM72" si="24">AL68-AL71</f>
        <v>277177</v>
      </c>
      <c r="AM72" s="143">
        <f t="shared" si="24"/>
        <v>207882.75</v>
      </c>
      <c r="AN72" s="143">
        <f t="shared" ref="AN72:AO72" si="25">AN68-AN71</f>
        <v>138588.5</v>
      </c>
      <c r="AO72" s="143">
        <f t="shared" si="25"/>
        <v>69294.25</v>
      </c>
      <c r="AP72" s="143">
        <f t="shared" ref="AP72:AQ72" si="26">AP68-AP71</f>
        <v>0</v>
      </c>
      <c r="AQ72" s="143">
        <f t="shared" si="26"/>
        <v>0</v>
      </c>
      <c r="AR72" s="143">
        <f t="shared" ref="AR72:AS72" si="27">AR68-AR71</f>
        <v>0</v>
      </c>
      <c r="AS72" s="143">
        <f t="shared" si="27"/>
        <v>0</v>
      </c>
      <c r="AT72" s="143">
        <f t="shared" ref="AT72:AU72" si="28">AT68-AT71</f>
        <v>0</v>
      </c>
      <c r="AU72" s="143">
        <f t="shared" si="28"/>
        <v>0</v>
      </c>
      <c r="AV72" s="143">
        <f t="shared" ref="AV72" si="29">AV68-AV71</f>
        <v>0</v>
      </c>
    </row>
    <row r="73" spans="1:50" x14ac:dyDescent="0.2">
      <c r="A73" s="65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</row>
    <row r="74" spans="1:50" x14ac:dyDescent="0.2">
      <c r="A74" s="125" t="str">
        <f ca="1">Language!A$528</f>
        <v>Оборудование и прочие активы</v>
      </c>
      <c r="B74" s="144"/>
      <c r="C74" s="144"/>
      <c r="D74" s="144"/>
      <c r="E74" s="144"/>
      <c r="F74" s="144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</row>
    <row r="75" spans="1:50" x14ac:dyDescent="0.2">
      <c r="A75" s="65" t="str">
        <f ca="1">Language!A$529</f>
        <v>первоначальная стоимость</v>
      </c>
      <c r="C75" s="124" t="str">
        <f ca="1">CurName1</f>
        <v>тыс. руб.</v>
      </c>
      <c r="F75" s="38" t="s">
        <v>754</v>
      </c>
      <c r="G75" s="138">
        <f>$B$19+G60</f>
        <v>0</v>
      </c>
      <c r="H75" s="138">
        <f t="shared" ref="H75:AV75" si="30">G75+H60</f>
        <v>0</v>
      </c>
      <c r="I75" s="138">
        <f t="shared" si="30"/>
        <v>0</v>
      </c>
      <c r="J75" s="138">
        <f t="shared" si="30"/>
        <v>0</v>
      </c>
      <c r="K75" s="138">
        <f t="shared" si="30"/>
        <v>0</v>
      </c>
      <c r="L75" s="138">
        <f t="shared" si="30"/>
        <v>0</v>
      </c>
      <c r="M75" s="138">
        <f t="shared" si="30"/>
        <v>0</v>
      </c>
      <c r="N75" s="138">
        <f t="shared" si="30"/>
        <v>0</v>
      </c>
      <c r="O75" s="138">
        <f t="shared" si="30"/>
        <v>0</v>
      </c>
      <c r="P75" s="138">
        <f t="shared" si="30"/>
        <v>0</v>
      </c>
      <c r="Q75" s="138">
        <f t="shared" si="30"/>
        <v>0</v>
      </c>
      <c r="R75" s="138">
        <f t="shared" si="30"/>
        <v>0</v>
      </c>
      <c r="S75" s="138">
        <f t="shared" si="30"/>
        <v>0</v>
      </c>
      <c r="T75" s="138">
        <f t="shared" si="30"/>
        <v>0</v>
      </c>
      <c r="U75" s="138">
        <f t="shared" si="30"/>
        <v>0</v>
      </c>
      <c r="V75" s="138">
        <f t="shared" si="30"/>
        <v>0</v>
      </c>
      <c r="W75" s="138">
        <f t="shared" si="30"/>
        <v>0</v>
      </c>
      <c r="X75" s="138">
        <f t="shared" si="30"/>
        <v>0</v>
      </c>
      <c r="Y75" s="138">
        <f t="shared" si="30"/>
        <v>0</v>
      </c>
      <c r="Z75" s="138">
        <f t="shared" si="30"/>
        <v>0</v>
      </c>
      <c r="AA75" s="138">
        <f t="shared" si="30"/>
        <v>0</v>
      </c>
      <c r="AB75" s="138">
        <f t="shared" si="30"/>
        <v>0</v>
      </c>
      <c r="AC75" s="138">
        <f t="shared" si="30"/>
        <v>0</v>
      </c>
      <c r="AD75" s="138">
        <f t="shared" si="30"/>
        <v>0</v>
      </c>
      <c r="AE75" s="138">
        <f t="shared" si="30"/>
        <v>0</v>
      </c>
      <c r="AF75" s="138">
        <f t="shared" si="30"/>
        <v>0</v>
      </c>
      <c r="AG75" s="138">
        <f t="shared" si="30"/>
        <v>0</v>
      </c>
      <c r="AH75" s="138">
        <f t="shared" si="30"/>
        <v>0</v>
      </c>
      <c r="AI75" s="138">
        <f t="shared" si="30"/>
        <v>0</v>
      </c>
      <c r="AJ75" s="138">
        <f t="shared" si="30"/>
        <v>0</v>
      </c>
      <c r="AK75" s="138">
        <f t="shared" si="30"/>
        <v>0</v>
      </c>
      <c r="AL75" s="138">
        <f t="shared" si="30"/>
        <v>0</v>
      </c>
      <c r="AM75" s="138">
        <f t="shared" si="30"/>
        <v>0</v>
      </c>
      <c r="AN75" s="138">
        <f t="shared" si="30"/>
        <v>0</v>
      </c>
      <c r="AO75" s="138">
        <f t="shared" si="30"/>
        <v>0</v>
      </c>
      <c r="AP75" s="138">
        <f t="shared" si="30"/>
        <v>0</v>
      </c>
      <c r="AQ75" s="138">
        <f t="shared" si="30"/>
        <v>0</v>
      </c>
      <c r="AR75" s="138">
        <f t="shared" si="30"/>
        <v>0</v>
      </c>
      <c r="AS75" s="138">
        <f t="shared" si="30"/>
        <v>0</v>
      </c>
      <c r="AT75" s="138">
        <f t="shared" si="30"/>
        <v>0</v>
      </c>
      <c r="AU75" s="138">
        <f t="shared" si="30"/>
        <v>0</v>
      </c>
      <c r="AV75" s="138">
        <f t="shared" si="30"/>
        <v>0</v>
      </c>
    </row>
    <row r="76" spans="1:50" x14ac:dyDescent="0.2">
      <c r="A76" s="65" t="str">
        <f ca="1">Language!A$530</f>
        <v>срок амортизации</v>
      </c>
      <c r="B76" s="305">
        <v>10</v>
      </c>
      <c r="C76" s="146" t="str">
        <f ca="1">Language!A$48</f>
        <v>лет</v>
      </c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</row>
    <row r="77" spans="1:50" x14ac:dyDescent="0.2">
      <c r="A77" s="65" t="str">
        <f ca="1">Language!A$531</f>
        <v>амортизация</v>
      </c>
      <c r="C77" s="124" t="str">
        <f ca="1">CurName1</f>
        <v>тыс. руб.</v>
      </c>
      <c r="F77" s="38" t="s">
        <v>753</v>
      </c>
      <c r="G77" s="138">
        <f>IF($B76=0,0,MIN(G75/$B76/12*Параметры!G$31,IF(G$2=1,G75,F79+G75-F75)))</f>
        <v>0</v>
      </c>
      <c r="H77" s="138">
        <f>IF($B76=0,0,MIN(H75/$B76/12*Параметры!H$31,IF(H$2=1,H75,G79+H75-G75)))</f>
        <v>0</v>
      </c>
      <c r="I77" s="138">
        <f>IF($B76=0,0,MIN(I75/$B76/12*Параметры!I$31,IF(I$2=1,I75,H79+I75-H75)))</f>
        <v>0</v>
      </c>
      <c r="J77" s="138">
        <f>IF($B76=0,0,MIN(J75/$B76/12*Параметры!J$31,IF(J$2=1,J75,I79+J75-I75)))</f>
        <v>0</v>
      </c>
      <c r="K77" s="138">
        <f>IF($B76=0,0,MIN(K75/$B76/12*Параметры!K$31,IF(K$2=1,K75,J79+K75-J75)))</f>
        <v>0</v>
      </c>
      <c r="L77" s="138">
        <f>IF($B76=0,0,MIN(L75/$B76/12*Параметры!L$31,IF(L$2=1,L75,K79+L75-K75)))</f>
        <v>0</v>
      </c>
      <c r="M77" s="138">
        <f>IF($B76=0,0,MIN(M75/$B76/12*Параметры!M$31,IF(M$2=1,M75,L79+M75-L75)))</f>
        <v>0</v>
      </c>
      <c r="N77" s="138">
        <f>IF($B76=0,0,MIN(N75/$B76/12*Параметры!N$31,IF(N$2=1,N75,M79+N75-M75)))</f>
        <v>0</v>
      </c>
      <c r="O77" s="138">
        <f>IF($B76=0,0,MIN(O75/$B76/12*Параметры!O$31,IF(O$2=1,O75,N79+O75-N75)))</f>
        <v>0</v>
      </c>
      <c r="P77" s="138">
        <f>IF($B76=0,0,MIN(P75/$B76/12*Параметры!P$31,IF(P$2=1,P75,O79+P75-O75)))</f>
        <v>0</v>
      </c>
      <c r="Q77" s="138">
        <f>IF($B76=0,0,MIN(Q75/$B76/12*Параметры!Q$31,IF(Q$2=1,Q75,P79+Q75-P75)))</f>
        <v>0</v>
      </c>
      <c r="R77" s="138">
        <f>IF($B76=0,0,MIN(R75/$B76/12*Параметры!R$31,IF(R$2=1,R75,Q79+R75-Q75)))</f>
        <v>0</v>
      </c>
      <c r="S77" s="138">
        <f>IF($B76=0,0,MIN(S75/$B76/12*Параметры!S$31,IF(S$2=1,S75,R79+S75-R75)))</f>
        <v>0</v>
      </c>
      <c r="T77" s="138">
        <f>IF($B76=0,0,MIN(T75/$B76/12*Параметры!T$31,IF(T$2=1,T75,S79+T75-S75)))</f>
        <v>0</v>
      </c>
      <c r="U77" s="138">
        <f>IF($B76=0,0,MIN(U75/$B76/12*Параметры!U$31,IF(U$2=1,U75,T79+U75-T75)))</f>
        <v>0</v>
      </c>
      <c r="V77" s="138">
        <f>IF($B76=0,0,MIN(V75/$B76/12*Параметры!V$31,IF(V$2=1,V75,U79+V75-U75)))</f>
        <v>0</v>
      </c>
      <c r="W77" s="138">
        <f>IF($B76=0,0,MIN(W75/$B76/12*Параметры!W$31,IF(W$2=1,W75,V79+W75-V75)))</f>
        <v>0</v>
      </c>
      <c r="X77" s="138">
        <f>IF($B76=0,0,MIN(X75/$B76/12*Параметры!X$31,IF(X$2=1,X75,W79+X75-W75)))</f>
        <v>0</v>
      </c>
      <c r="Y77" s="138">
        <f>IF($B76=0,0,MIN(Y75/$B76/12*Параметры!Y$31,IF(Y$2=1,Y75,X79+Y75-X75)))</f>
        <v>0</v>
      </c>
      <c r="Z77" s="138">
        <f>IF($B76=0,0,MIN(Z75/$B76/12*Параметры!Z$31,IF(Z$2=1,Z75,Y79+Z75-Y75)))</f>
        <v>0</v>
      </c>
      <c r="AA77" s="138">
        <f>IF($B76=0,0,MIN(AA75/$B76/12*Параметры!AA$31,IF(AA$2=1,AA75,Z79+AA75-Z75)))</f>
        <v>0</v>
      </c>
      <c r="AB77" s="138">
        <f>IF($B76=0,0,MIN(AB75/$B76/12*Параметры!AB$31,IF(AB$2=1,AB75,AA79+AB75-AA75)))</f>
        <v>0</v>
      </c>
      <c r="AC77" s="138">
        <f>IF($B76=0,0,MIN(AC75/$B76/12*Параметры!AC$31,IF(AC$2=1,AC75,AB79+AC75-AB75)))</f>
        <v>0</v>
      </c>
      <c r="AD77" s="138">
        <f>IF($B76=0,0,MIN(AD75/$B76/12*Параметры!AD$31,IF(AD$2=1,AD75,AC79+AD75-AC75)))</f>
        <v>0</v>
      </c>
      <c r="AE77" s="138">
        <f>IF($B76=0,0,MIN(AE75/$B76/12*Параметры!AE$31,IF(AE$2=1,AE75,AD79+AE75-AD75)))</f>
        <v>0</v>
      </c>
      <c r="AF77" s="138">
        <f>IF($B76=0,0,MIN(AF75/$B76/12*Параметры!AF$31,IF(AF$2=1,AF75,AE79+AF75-AE75)))</f>
        <v>0</v>
      </c>
      <c r="AG77" s="138">
        <f>IF($B76=0,0,MIN(AG75/$B76/12*Параметры!AG$31,IF(AG$2=1,AG75,AF79+AG75-AF75)))</f>
        <v>0</v>
      </c>
      <c r="AH77" s="138">
        <f>IF($B76=0,0,MIN(AH75/$B76/12*Параметры!AH$31,IF(AH$2=1,AH75,AG79+AH75-AG75)))</f>
        <v>0</v>
      </c>
      <c r="AI77" s="138">
        <f>IF($B76=0,0,MIN(AI75/$B76/12*Параметры!AI$31,IF(AI$2=1,AI75,AH79+AI75-AH75)))</f>
        <v>0</v>
      </c>
      <c r="AJ77" s="138">
        <f>IF($B76=0,0,MIN(AJ75/$B76/12*Параметры!AJ$31,IF(AJ$2=1,AJ75,AI79+AJ75-AI75)))</f>
        <v>0</v>
      </c>
      <c r="AK77" s="138">
        <f>IF($B76=0,0,MIN(AK75/$B76/12*Параметры!AK$31,IF(AK$2=1,AK75,AJ79+AK75-AJ75)))</f>
        <v>0</v>
      </c>
      <c r="AL77" s="138">
        <f>IF($B76=0,0,MIN(AL75/$B76/12*Параметры!AL$31,IF(AL$2=1,AL75,AK79+AL75-AK75)))</f>
        <v>0</v>
      </c>
      <c r="AM77" s="138">
        <f>IF($B76=0,0,MIN(AM75/$B76/12*Параметры!AM$31,IF(AM$2=1,AM75,AL79+AM75-AL75)))</f>
        <v>0</v>
      </c>
      <c r="AN77" s="138">
        <f>IF($B76=0,0,MIN(AN75/$B76/12*Параметры!AN$31,IF(AN$2=1,AN75,AM79+AN75-AM75)))</f>
        <v>0</v>
      </c>
      <c r="AO77" s="138">
        <f>IF($B76=0,0,MIN(AO75/$B76/12*Параметры!AO$31,IF(AO$2=1,AO75,AN79+AO75-AN75)))</f>
        <v>0</v>
      </c>
      <c r="AP77" s="138">
        <f>IF($B76=0,0,MIN(AP75/$B76/12*Параметры!AP$31,IF(AP$2=1,AP75,AO79+AP75-AO75)))</f>
        <v>0</v>
      </c>
      <c r="AQ77" s="138">
        <f>IF($B76=0,0,MIN(AQ75/$B76/12*Параметры!AQ$31,IF(AQ$2=1,AQ75,AP79+AQ75-AP75)))</f>
        <v>0</v>
      </c>
      <c r="AR77" s="138">
        <f>IF($B76=0,0,MIN(AR75/$B76/12*Параметры!AR$31,IF(AR$2=1,AR75,AQ79+AR75-AQ75)))</f>
        <v>0</v>
      </c>
      <c r="AS77" s="138">
        <f>IF($B76=0,0,MIN(AS75/$B76/12*Параметры!AS$31,IF(AS$2=1,AS75,AR79+AS75-AR75)))</f>
        <v>0</v>
      </c>
      <c r="AT77" s="138">
        <f>IF($B76=0,0,MIN(AT75/$B76/12*Параметры!AT$31,IF(AT$2=1,AT75,AS79+AT75-AS75)))</f>
        <v>0</v>
      </c>
      <c r="AU77" s="138">
        <f>IF($B76=0,0,MIN(AU75/$B76/12*Параметры!AU$31,IF(AU$2=1,AU75,AT79+AU75-AT75)))</f>
        <v>0</v>
      </c>
      <c r="AV77" s="138">
        <f>IF($B76=0,0,MIN(AV75/$B76/12*Параметры!AV$31,IF(AV$2=1,AV75,AU79+AV75-AU75)))</f>
        <v>0</v>
      </c>
      <c r="AX77" s="142">
        <f>SUM(G77:AW77)</f>
        <v>0</v>
      </c>
    </row>
    <row r="78" spans="1:50" x14ac:dyDescent="0.2">
      <c r="A78" s="65" t="str">
        <f ca="1">Language!A$532</f>
        <v>накопленная амортизация</v>
      </c>
      <c r="C78" s="124" t="str">
        <f ca="1">CurName1</f>
        <v>тыс. руб.</v>
      </c>
      <c r="F78" s="38" t="s">
        <v>754</v>
      </c>
      <c r="G78" s="138">
        <f>G77</f>
        <v>0</v>
      </c>
      <c r="H78" s="138">
        <f>G78+H77</f>
        <v>0</v>
      </c>
      <c r="I78" s="138">
        <f t="shared" ref="I78" si="31">H78+I77</f>
        <v>0</v>
      </c>
      <c r="J78" s="138">
        <f t="shared" ref="J78" si="32">I78+J77</f>
        <v>0</v>
      </c>
      <c r="K78" s="138">
        <f t="shared" ref="K78:AV78" si="33">J78+K77</f>
        <v>0</v>
      </c>
      <c r="L78" s="138">
        <f t="shared" si="33"/>
        <v>0</v>
      </c>
      <c r="M78" s="138">
        <f t="shared" si="33"/>
        <v>0</v>
      </c>
      <c r="N78" s="138">
        <f t="shared" si="33"/>
        <v>0</v>
      </c>
      <c r="O78" s="138">
        <f t="shared" si="33"/>
        <v>0</v>
      </c>
      <c r="P78" s="138">
        <f t="shared" si="33"/>
        <v>0</v>
      </c>
      <c r="Q78" s="138">
        <f t="shared" si="33"/>
        <v>0</v>
      </c>
      <c r="R78" s="138">
        <f t="shared" si="33"/>
        <v>0</v>
      </c>
      <c r="S78" s="138">
        <f t="shared" si="33"/>
        <v>0</v>
      </c>
      <c r="T78" s="138">
        <f t="shared" si="33"/>
        <v>0</v>
      </c>
      <c r="U78" s="138">
        <f t="shared" si="33"/>
        <v>0</v>
      </c>
      <c r="V78" s="138">
        <f t="shared" si="33"/>
        <v>0</v>
      </c>
      <c r="W78" s="138">
        <f t="shared" si="33"/>
        <v>0</v>
      </c>
      <c r="X78" s="138">
        <f t="shared" si="33"/>
        <v>0</v>
      </c>
      <c r="Y78" s="138">
        <f t="shared" si="33"/>
        <v>0</v>
      </c>
      <c r="Z78" s="138">
        <f t="shared" si="33"/>
        <v>0</v>
      </c>
      <c r="AA78" s="138">
        <f t="shared" si="33"/>
        <v>0</v>
      </c>
      <c r="AB78" s="138">
        <f t="shared" si="33"/>
        <v>0</v>
      </c>
      <c r="AC78" s="138">
        <f t="shared" si="33"/>
        <v>0</v>
      </c>
      <c r="AD78" s="138">
        <f t="shared" si="33"/>
        <v>0</v>
      </c>
      <c r="AE78" s="138">
        <f t="shared" si="33"/>
        <v>0</v>
      </c>
      <c r="AF78" s="138">
        <f t="shared" si="33"/>
        <v>0</v>
      </c>
      <c r="AG78" s="138">
        <f t="shared" si="33"/>
        <v>0</v>
      </c>
      <c r="AH78" s="138">
        <f t="shared" si="33"/>
        <v>0</v>
      </c>
      <c r="AI78" s="138">
        <f t="shared" si="33"/>
        <v>0</v>
      </c>
      <c r="AJ78" s="138">
        <f t="shared" si="33"/>
        <v>0</v>
      </c>
      <c r="AK78" s="138">
        <f t="shared" si="33"/>
        <v>0</v>
      </c>
      <c r="AL78" s="138">
        <f t="shared" si="33"/>
        <v>0</v>
      </c>
      <c r="AM78" s="138">
        <f t="shared" si="33"/>
        <v>0</v>
      </c>
      <c r="AN78" s="138">
        <f t="shared" si="33"/>
        <v>0</v>
      </c>
      <c r="AO78" s="138">
        <f t="shared" si="33"/>
        <v>0</v>
      </c>
      <c r="AP78" s="138">
        <f t="shared" si="33"/>
        <v>0</v>
      </c>
      <c r="AQ78" s="138">
        <f t="shared" si="33"/>
        <v>0</v>
      </c>
      <c r="AR78" s="138">
        <f t="shared" si="33"/>
        <v>0</v>
      </c>
      <c r="AS78" s="138">
        <f t="shared" si="33"/>
        <v>0</v>
      </c>
      <c r="AT78" s="138">
        <f t="shared" si="33"/>
        <v>0</v>
      </c>
      <c r="AU78" s="138">
        <f t="shared" si="33"/>
        <v>0</v>
      </c>
      <c r="AV78" s="138">
        <f t="shared" si="33"/>
        <v>0</v>
      </c>
    </row>
    <row r="79" spans="1:50" x14ac:dyDescent="0.2">
      <c r="A79" s="65" t="str">
        <f ca="1">Language!A$533</f>
        <v>остаточная балансовая стоимость</v>
      </c>
      <c r="C79" s="124" t="str">
        <f ca="1">CurName1</f>
        <v>тыс. руб.</v>
      </c>
      <c r="F79" s="38" t="s">
        <v>754</v>
      </c>
      <c r="G79" s="143">
        <f>G75-G78</f>
        <v>0</v>
      </c>
      <c r="H79" s="143">
        <f t="shared" ref="H79" si="34">H75-H78</f>
        <v>0</v>
      </c>
      <c r="I79" s="143">
        <f t="shared" ref="I79" si="35">I75-I78</f>
        <v>0</v>
      </c>
      <c r="J79" s="143">
        <f t="shared" ref="J79" si="36">J75-J78</f>
        <v>0</v>
      </c>
      <c r="K79" s="143">
        <f t="shared" ref="K79:L79" si="37">K75-K78</f>
        <v>0</v>
      </c>
      <c r="L79" s="143">
        <f t="shared" si="37"/>
        <v>0</v>
      </c>
      <c r="M79" s="143">
        <f t="shared" ref="M79:N79" si="38">M75-M78</f>
        <v>0</v>
      </c>
      <c r="N79" s="143">
        <f t="shared" si="38"/>
        <v>0</v>
      </c>
      <c r="O79" s="143">
        <f t="shared" ref="O79:P79" si="39">O75-O78</f>
        <v>0</v>
      </c>
      <c r="P79" s="143">
        <f t="shared" si="39"/>
        <v>0</v>
      </c>
      <c r="Q79" s="143">
        <f t="shared" ref="Q79:R79" si="40">Q75-Q78</f>
        <v>0</v>
      </c>
      <c r="R79" s="143">
        <f t="shared" si="40"/>
        <v>0</v>
      </c>
      <c r="S79" s="143">
        <f t="shared" ref="S79:T79" si="41">S75-S78</f>
        <v>0</v>
      </c>
      <c r="T79" s="143">
        <f t="shared" si="41"/>
        <v>0</v>
      </c>
      <c r="U79" s="143">
        <f t="shared" ref="U79:V79" si="42">U75-U78</f>
        <v>0</v>
      </c>
      <c r="V79" s="143">
        <f t="shared" si="42"/>
        <v>0</v>
      </c>
      <c r="W79" s="143">
        <f t="shared" ref="W79:X79" si="43">W75-W78</f>
        <v>0</v>
      </c>
      <c r="X79" s="143">
        <f t="shared" si="43"/>
        <v>0</v>
      </c>
      <c r="Y79" s="143">
        <f t="shared" ref="Y79:Z79" si="44">Y75-Y78</f>
        <v>0</v>
      </c>
      <c r="Z79" s="143">
        <f t="shared" si="44"/>
        <v>0</v>
      </c>
      <c r="AA79" s="143">
        <f t="shared" ref="AA79:AB79" si="45">AA75-AA78</f>
        <v>0</v>
      </c>
      <c r="AB79" s="143">
        <f t="shared" si="45"/>
        <v>0</v>
      </c>
      <c r="AC79" s="143">
        <f t="shared" ref="AC79:AD79" si="46">AC75-AC78</f>
        <v>0</v>
      </c>
      <c r="AD79" s="143">
        <f t="shared" si="46"/>
        <v>0</v>
      </c>
      <c r="AE79" s="143">
        <f t="shared" ref="AE79:AF79" si="47">AE75-AE78</f>
        <v>0</v>
      </c>
      <c r="AF79" s="143">
        <f t="shared" si="47"/>
        <v>0</v>
      </c>
      <c r="AG79" s="143">
        <f t="shared" ref="AG79:AH79" si="48">AG75-AG78</f>
        <v>0</v>
      </c>
      <c r="AH79" s="143">
        <f t="shared" si="48"/>
        <v>0</v>
      </c>
      <c r="AI79" s="143">
        <f t="shared" ref="AI79:AJ79" si="49">AI75-AI78</f>
        <v>0</v>
      </c>
      <c r="AJ79" s="143">
        <f t="shared" si="49"/>
        <v>0</v>
      </c>
      <c r="AK79" s="143">
        <f t="shared" ref="AK79:AL79" si="50">AK75-AK78</f>
        <v>0</v>
      </c>
      <c r="AL79" s="143">
        <f t="shared" si="50"/>
        <v>0</v>
      </c>
      <c r="AM79" s="143">
        <f t="shared" ref="AM79:AN79" si="51">AM75-AM78</f>
        <v>0</v>
      </c>
      <c r="AN79" s="143">
        <f t="shared" si="51"/>
        <v>0</v>
      </c>
      <c r="AO79" s="143">
        <f t="shared" ref="AO79:AP79" si="52">AO75-AO78</f>
        <v>0</v>
      </c>
      <c r="AP79" s="143">
        <f t="shared" si="52"/>
        <v>0</v>
      </c>
      <c r="AQ79" s="143">
        <f t="shared" ref="AQ79:AR79" si="53">AQ75-AQ78</f>
        <v>0</v>
      </c>
      <c r="AR79" s="143">
        <f t="shared" si="53"/>
        <v>0</v>
      </c>
      <c r="AS79" s="143">
        <f t="shared" ref="AS79:AT79" si="54">AS75-AS78</f>
        <v>0</v>
      </c>
      <c r="AT79" s="143">
        <f t="shared" si="54"/>
        <v>0</v>
      </c>
      <c r="AU79" s="143">
        <f t="shared" ref="AU79:AV79" si="55">AU75-AU78</f>
        <v>0</v>
      </c>
      <c r="AV79" s="143">
        <f t="shared" si="55"/>
        <v>0</v>
      </c>
    </row>
    <row r="80" spans="1:50" x14ac:dyDescent="0.2">
      <c r="A80" s="65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</row>
    <row r="81" spans="1:50" x14ac:dyDescent="0.2">
      <c r="A81" s="125" t="str">
        <f ca="1">Language!A$534</f>
        <v>Нематериальные активы</v>
      </c>
      <c r="B81" s="144"/>
      <c r="C81" s="144"/>
      <c r="D81" s="144"/>
      <c r="E81" s="144"/>
      <c r="F81" s="144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</row>
    <row r="82" spans="1:50" x14ac:dyDescent="0.2">
      <c r="A82" s="65" t="str">
        <f ca="1">Language!A$535</f>
        <v>первоначальная стоимость</v>
      </c>
      <c r="C82" s="124" t="str">
        <f ca="1">CurName1</f>
        <v>тыс. руб.</v>
      </c>
      <c r="F82" s="38" t="s">
        <v>754</v>
      </c>
      <c r="G82" s="138">
        <f>$B$20+G61</f>
        <v>308</v>
      </c>
      <c r="H82" s="138">
        <f t="shared" ref="H82:AV82" si="56">G82+H61</f>
        <v>308</v>
      </c>
      <c r="I82" s="138">
        <f t="shared" si="56"/>
        <v>308</v>
      </c>
      <c r="J82" s="138">
        <f t="shared" si="56"/>
        <v>308</v>
      </c>
      <c r="K82" s="138">
        <f t="shared" si="56"/>
        <v>308</v>
      </c>
      <c r="L82" s="138">
        <f t="shared" si="56"/>
        <v>308</v>
      </c>
      <c r="M82" s="138">
        <f t="shared" si="56"/>
        <v>308</v>
      </c>
      <c r="N82" s="138">
        <f t="shared" si="56"/>
        <v>308</v>
      </c>
      <c r="O82" s="138">
        <f t="shared" si="56"/>
        <v>308</v>
      </c>
      <c r="P82" s="138">
        <f t="shared" si="56"/>
        <v>308</v>
      </c>
      <c r="Q82" s="138">
        <f t="shared" si="56"/>
        <v>308</v>
      </c>
      <c r="R82" s="138">
        <f t="shared" si="56"/>
        <v>308</v>
      </c>
      <c r="S82" s="138">
        <f t="shared" si="56"/>
        <v>308</v>
      </c>
      <c r="T82" s="138">
        <f t="shared" si="56"/>
        <v>308</v>
      </c>
      <c r="U82" s="138">
        <f t="shared" si="56"/>
        <v>308</v>
      </c>
      <c r="V82" s="138">
        <f t="shared" si="56"/>
        <v>308</v>
      </c>
      <c r="W82" s="138">
        <f t="shared" si="56"/>
        <v>308</v>
      </c>
      <c r="X82" s="138">
        <f t="shared" si="56"/>
        <v>308</v>
      </c>
      <c r="Y82" s="138">
        <f t="shared" si="56"/>
        <v>308</v>
      </c>
      <c r="Z82" s="138">
        <f t="shared" si="56"/>
        <v>308</v>
      </c>
      <c r="AA82" s="138">
        <f t="shared" si="56"/>
        <v>308</v>
      </c>
      <c r="AB82" s="138">
        <f t="shared" si="56"/>
        <v>308</v>
      </c>
      <c r="AC82" s="138">
        <f t="shared" si="56"/>
        <v>308</v>
      </c>
      <c r="AD82" s="138">
        <f t="shared" si="56"/>
        <v>308</v>
      </c>
      <c r="AE82" s="138">
        <f t="shared" si="56"/>
        <v>308</v>
      </c>
      <c r="AF82" s="138">
        <f t="shared" si="56"/>
        <v>308</v>
      </c>
      <c r="AG82" s="138">
        <f t="shared" si="56"/>
        <v>308</v>
      </c>
      <c r="AH82" s="138">
        <f t="shared" si="56"/>
        <v>308</v>
      </c>
      <c r="AI82" s="138">
        <f t="shared" si="56"/>
        <v>308</v>
      </c>
      <c r="AJ82" s="138">
        <f t="shared" si="56"/>
        <v>308</v>
      </c>
      <c r="AK82" s="138">
        <f t="shared" si="56"/>
        <v>308</v>
      </c>
      <c r="AL82" s="138">
        <f t="shared" si="56"/>
        <v>308</v>
      </c>
      <c r="AM82" s="138">
        <f t="shared" si="56"/>
        <v>308</v>
      </c>
      <c r="AN82" s="138">
        <f t="shared" si="56"/>
        <v>308</v>
      </c>
      <c r="AO82" s="138">
        <f t="shared" si="56"/>
        <v>308</v>
      </c>
      <c r="AP82" s="138">
        <f t="shared" si="56"/>
        <v>308</v>
      </c>
      <c r="AQ82" s="138">
        <f t="shared" si="56"/>
        <v>308</v>
      </c>
      <c r="AR82" s="138">
        <f t="shared" si="56"/>
        <v>308</v>
      </c>
      <c r="AS82" s="138">
        <f t="shared" si="56"/>
        <v>308</v>
      </c>
      <c r="AT82" s="138">
        <f t="shared" si="56"/>
        <v>308</v>
      </c>
      <c r="AU82" s="138">
        <f t="shared" si="56"/>
        <v>308</v>
      </c>
      <c r="AV82" s="138">
        <f t="shared" si="56"/>
        <v>308</v>
      </c>
    </row>
    <row r="83" spans="1:50" x14ac:dyDescent="0.2">
      <c r="A83" s="65" t="str">
        <f ca="1">Language!A$536</f>
        <v>срок амортизации</v>
      </c>
      <c r="B83" s="305">
        <v>10</v>
      </c>
      <c r="C83" s="146" t="str">
        <f ca="1">Language!A$48</f>
        <v>лет</v>
      </c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</row>
    <row r="84" spans="1:50" x14ac:dyDescent="0.2">
      <c r="A84" s="65" t="str">
        <f ca="1">Language!A$537</f>
        <v>амортизация</v>
      </c>
      <c r="C84" s="124" t="str">
        <f ca="1">CurName1</f>
        <v>тыс. руб.</v>
      </c>
      <c r="F84" s="38" t="s">
        <v>753</v>
      </c>
      <c r="G84" s="138">
        <f>IF($B83=0,0,MIN(G82/$B83/12*Параметры!G$31,IF(G$2=1,G82,F86+G82-F82)))</f>
        <v>7.7000000000000011</v>
      </c>
      <c r="H84" s="138">
        <f>IF($B83=0,0,MIN(H82/$B83/12*Параметры!H$31,IF(H$2=1,H82,G86+H82-G82)))</f>
        <v>7.7000000000000011</v>
      </c>
      <c r="I84" s="138">
        <f>IF($B83=0,0,MIN(I82/$B83/12*Параметры!I$31,IF(I$2=1,I82,H86+I82-H82)))</f>
        <v>7.7000000000000011</v>
      </c>
      <c r="J84" s="138">
        <f>IF($B83=0,0,MIN(J82/$B83/12*Параметры!J$31,IF(J$2=1,J82,I86+J82-I82)))</f>
        <v>7.7000000000000011</v>
      </c>
      <c r="K84" s="138">
        <f>IF($B83=0,0,MIN(K82/$B83/12*Параметры!K$31,IF(K$2=1,K82,J86+K82-J82)))</f>
        <v>7.7000000000000011</v>
      </c>
      <c r="L84" s="138">
        <f>IF($B83=0,0,MIN(L82/$B83/12*Параметры!L$31,IF(L$2=1,L82,K86+L82-K82)))</f>
        <v>7.7000000000000011</v>
      </c>
      <c r="M84" s="138">
        <f>IF($B83=0,0,MIN(M82/$B83/12*Параметры!M$31,IF(M$2=1,M82,L86+M82-L82)))</f>
        <v>7.7000000000000011</v>
      </c>
      <c r="N84" s="138">
        <f>IF($B83=0,0,MIN(N82/$B83/12*Параметры!N$31,IF(N$2=1,N82,M86+N82-M82)))</f>
        <v>7.7000000000000011</v>
      </c>
      <c r="O84" s="138">
        <f>IF($B83=0,0,MIN(O82/$B83/12*Параметры!O$31,IF(O$2=1,O82,N86+O82-N82)))</f>
        <v>7.7000000000000011</v>
      </c>
      <c r="P84" s="138">
        <f>IF($B83=0,0,MIN(P82/$B83/12*Параметры!P$31,IF(P$2=1,P82,O86+P82-O82)))</f>
        <v>7.7000000000000011</v>
      </c>
      <c r="Q84" s="138">
        <f>IF($B83=0,0,MIN(Q82/$B83/12*Параметры!Q$31,IF(Q$2=1,Q82,P86+Q82-P82)))</f>
        <v>7.7000000000000011</v>
      </c>
      <c r="R84" s="138">
        <f>IF($B83=0,0,MIN(R82/$B83/12*Параметры!R$31,IF(R$2=1,R82,Q86+R82-Q82)))</f>
        <v>7.7000000000000011</v>
      </c>
      <c r="S84" s="138">
        <f>IF($B83=0,0,MIN(S82/$B83/12*Параметры!S$31,IF(S$2=1,S82,R86+S82-R82)))</f>
        <v>7.7000000000000011</v>
      </c>
      <c r="T84" s="138">
        <f>IF($B83=0,0,MIN(T82/$B83/12*Параметры!T$31,IF(T$2=1,T82,S86+T82-S82)))</f>
        <v>7.7000000000000011</v>
      </c>
      <c r="U84" s="138">
        <f>IF($B83=0,0,MIN(U82/$B83/12*Параметры!U$31,IF(U$2=1,U82,T86+U82-T82)))</f>
        <v>7.7000000000000011</v>
      </c>
      <c r="V84" s="138">
        <f>IF($B83=0,0,MIN(V82/$B83/12*Параметры!V$31,IF(V$2=1,V82,U86+V82-U82)))</f>
        <v>7.7000000000000011</v>
      </c>
      <c r="W84" s="138">
        <f>IF($B83=0,0,MIN(W82/$B83/12*Параметры!W$31,IF(W$2=1,W82,V86+W82-V82)))</f>
        <v>7.7000000000000011</v>
      </c>
      <c r="X84" s="138">
        <f>IF($B83=0,0,MIN(X82/$B83/12*Параметры!X$31,IF(X$2=1,X82,W86+X82-W82)))</f>
        <v>7.7000000000000011</v>
      </c>
      <c r="Y84" s="138">
        <f>IF($B83=0,0,MIN(Y82/$B83/12*Параметры!Y$31,IF(Y$2=1,Y82,X86+Y82-X82)))</f>
        <v>7.7000000000000011</v>
      </c>
      <c r="Z84" s="138">
        <f>IF($B83=0,0,MIN(Z82/$B83/12*Параметры!Z$31,IF(Z$2=1,Z82,Y86+Z82-Y82)))</f>
        <v>7.7000000000000011</v>
      </c>
      <c r="AA84" s="138">
        <f>IF($B83=0,0,MIN(AA82/$B83/12*Параметры!AA$31,IF(AA$2=1,AA82,Z86+AA82-Z82)))</f>
        <v>7.7000000000000011</v>
      </c>
      <c r="AB84" s="138">
        <f>IF($B83=0,0,MIN(AB82/$B83/12*Параметры!AB$31,IF(AB$2=1,AB82,AA86+AB82-AA82)))</f>
        <v>7.7000000000000011</v>
      </c>
      <c r="AC84" s="138">
        <f>IF($B83=0,0,MIN(AC82/$B83/12*Параметры!AC$31,IF(AC$2=1,AC82,AB86+AC82-AB82)))</f>
        <v>7.7000000000000011</v>
      </c>
      <c r="AD84" s="138">
        <f>IF($B83=0,0,MIN(AD82/$B83/12*Параметры!AD$31,IF(AD$2=1,AD82,AC86+AD82-AC82)))</f>
        <v>7.7000000000000011</v>
      </c>
      <c r="AE84" s="138">
        <f>IF($B83=0,0,MIN(AE82/$B83/12*Параметры!AE$31,IF(AE$2=1,AE82,AD86+AE82-AD82)))</f>
        <v>7.7000000000000011</v>
      </c>
      <c r="AF84" s="138">
        <f>IF($B83=0,0,MIN(AF82/$B83/12*Параметры!AF$31,IF(AF$2=1,AF82,AE86+AF82-AE82)))</f>
        <v>7.7000000000000011</v>
      </c>
      <c r="AG84" s="138">
        <f>IF($B83=0,0,MIN(AG82/$B83/12*Параметры!AG$31,IF(AG$2=1,AG82,AF86+AG82-AF82)))</f>
        <v>7.7000000000000011</v>
      </c>
      <c r="AH84" s="138">
        <f>IF($B83=0,0,MIN(AH82/$B83/12*Параметры!AH$31,IF(AH$2=1,AH82,AG86+AH82-AG82)))</f>
        <v>7.7000000000000011</v>
      </c>
      <c r="AI84" s="138">
        <f>IF($B83=0,0,MIN(AI82/$B83/12*Параметры!AI$31,IF(AI$2=1,AI82,AH86+AI82-AH82)))</f>
        <v>7.7000000000000011</v>
      </c>
      <c r="AJ84" s="138">
        <f>IF($B83=0,0,MIN(AJ82/$B83/12*Параметры!AJ$31,IF(AJ$2=1,AJ82,AI86+AJ82-AI82)))</f>
        <v>7.7000000000000011</v>
      </c>
      <c r="AK84" s="138">
        <f>IF($B83=0,0,MIN(AK82/$B83/12*Параметры!AK$31,IF(AK$2=1,AK82,AJ86+AK82-AJ82)))</f>
        <v>7.7000000000000011</v>
      </c>
      <c r="AL84" s="138">
        <f>IF($B83=0,0,MIN(AL82/$B83/12*Параметры!AL$31,IF(AL$2=1,AL82,AK86+AL82-AK82)))</f>
        <v>7.7000000000000011</v>
      </c>
      <c r="AM84" s="138">
        <f>IF($B83=0,0,MIN(AM82/$B83/12*Параметры!AM$31,IF(AM$2=1,AM82,AL86+AM82-AL82)))</f>
        <v>7.7000000000000011</v>
      </c>
      <c r="AN84" s="138">
        <f>IF($B83=0,0,MIN(AN82/$B83/12*Параметры!AN$31,IF(AN$2=1,AN82,AM86+AN82-AM82)))</f>
        <v>7.7000000000000011</v>
      </c>
      <c r="AO84" s="138">
        <f>IF($B83=0,0,MIN(AO82/$B83/12*Параметры!AO$31,IF(AO$2=1,AO82,AN86+AO82-AN82)))</f>
        <v>7.7000000000000011</v>
      </c>
      <c r="AP84" s="138">
        <f>IF($B83=0,0,MIN(AP82/$B83/12*Параметры!AP$31,IF(AP$2=1,AP82,AO86+AP82-AO82)))</f>
        <v>7.7000000000000011</v>
      </c>
      <c r="AQ84" s="138">
        <f>IF($B83=0,0,MIN(AQ82/$B83/12*Параметры!AQ$31,IF(AQ$2=1,AQ82,AP86+AQ82-AP82)))</f>
        <v>7.7000000000000011</v>
      </c>
      <c r="AR84" s="138">
        <f>IF($B83=0,0,MIN(AR82/$B83/12*Параметры!AR$31,IF(AR$2=1,AR82,AQ86+AR82-AQ82)))</f>
        <v>7.7000000000000011</v>
      </c>
      <c r="AS84" s="138">
        <f>IF($B83=0,0,MIN(AS82/$B83/12*Параметры!AS$31,IF(AS$2=1,AS82,AR86+AS82-AR82)))</f>
        <v>7.7000000000000011</v>
      </c>
      <c r="AT84" s="138">
        <f>IF($B83=0,0,MIN(AT82/$B83/12*Параметры!AT$31,IF(AT$2=1,AT82,AS86+AT82-AS82)))</f>
        <v>7.7000000000000011</v>
      </c>
      <c r="AU84" s="138">
        <f>IF($B83=0,0,MIN(AU82/$B83/12*Параметры!AU$31,IF(AU$2=1,AU82,AT86+AU82-AT82)))</f>
        <v>0</v>
      </c>
      <c r="AV84" s="138">
        <f>IF($B83=0,0,MIN(AV82/$B83/12*Параметры!AV$31,IF(AV$2=1,AV82,AU86+AV82-AU82)))</f>
        <v>0</v>
      </c>
      <c r="AX84" s="142">
        <f>SUM(G84:AW84)</f>
        <v>307.99999999999977</v>
      </c>
    </row>
    <row r="85" spans="1:50" x14ac:dyDescent="0.2">
      <c r="A85" s="65" t="str">
        <f ca="1">Language!A$538</f>
        <v>накопленная амортизация</v>
      </c>
      <c r="C85" s="124" t="str">
        <f ca="1">CurName1</f>
        <v>тыс. руб.</v>
      </c>
      <c r="F85" s="38" t="s">
        <v>754</v>
      </c>
      <c r="G85" s="138">
        <f>G84</f>
        <v>7.7000000000000011</v>
      </c>
      <c r="H85" s="138">
        <f>G85+H84</f>
        <v>15.400000000000002</v>
      </c>
      <c r="I85" s="138">
        <f t="shared" ref="I85" si="57">H85+I84</f>
        <v>23.1</v>
      </c>
      <c r="J85" s="138">
        <f t="shared" ref="J85" si="58">I85+J84</f>
        <v>30.800000000000004</v>
      </c>
      <c r="K85" s="138">
        <f t="shared" ref="K85:AV85" si="59">J85+K84</f>
        <v>38.500000000000007</v>
      </c>
      <c r="L85" s="138">
        <f t="shared" si="59"/>
        <v>46.20000000000001</v>
      </c>
      <c r="M85" s="138">
        <f t="shared" si="59"/>
        <v>53.900000000000013</v>
      </c>
      <c r="N85" s="138">
        <f t="shared" si="59"/>
        <v>61.600000000000016</v>
      </c>
      <c r="O85" s="138">
        <f t="shared" si="59"/>
        <v>69.300000000000011</v>
      </c>
      <c r="P85" s="138">
        <f t="shared" si="59"/>
        <v>77.000000000000014</v>
      </c>
      <c r="Q85" s="138">
        <f t="shared" si="59"/>
        <v>84.700000000000017</v>
      </c>
      <c r="R85" s="138">
        <f t="shared" si="59"/>
        <v>92.40000000000002</v>
      </c>
      <c r="S85" s="138">
        <f t="shared" si="59"/>
        <v>100.10000000000002</v>
      </c>
      <c r="T85" s="138">
        <f t="shared" si="59"/>
        <v>107.80000000000003</v>
      </c>
      <c r="U85" s="138">
        <f t="shared" si="59"/>
        <v>115.50000000000003</v>
      </c>
      <c r="V85" s="138">
        <f t="shared" si="59"/>
        <v>123.20000000000003</v>
      </c>
      <c r="W85" s="138">
        <f t="shared" si="59"/>
        <v>130.90000000000003</v>
      </c>
      <c r="X85" s="138">
        <f t="shared" si="59"/>
        <v>138.60000000000002</v>
      </c>
      <c r="Y85" s="138">
        <f t="shared" si="59"/>
        <v>146.30000000000001</v>
      </c>
      <c r="Z85" s="138">
        <f t="shared" si="59"/>
        <v>154</v>
      </c>
      <c r="AA85" s="138">
        <f t="shared" si="59"/>
        <v>161.69999999999999</v>
      </c>
      <c r="AB85" s="138">
        <f t="shared" si="59"/>
        <v>169.39999999999998</v>
      </c>
      <c r="AC85" s="138">
        <f t="shared" si="59"/>
        <v>177.09999999999997</v>
      </c>
      <c r="AD85" s="138">
        <f t="shared" si="59"/>
        <v>184.79999999999995</v>
      </c>
      <c r="AE85" s="138">
        <f t="shared" si="59"/>
        <v>192.49999999999994</v>
      </c>
      <c r="AF85" s="138">
        <f t="shared" si="59"/>
        <v>200.19999999999993</v>
      </c>
      <c r="AG85" s="138">
        <f t="shared" si="59"/>
        <v>207.89999999999992</v>
      </c>
      <c r="AH85" s="138">
        <f t="shared" si="59"/>
        <v>215.59999999999991</v>
      </c>
      <c r="AI85" s="138">
        <f t="shared" si="59"/>
        <v>223.2999999999999</v>
      </c>
      <c r="AJ85" s="138">
        <f t="shared" si="59"/>
        <v>230.99999999999989</v>
      </c>
      <c r="AK85" s="138">
        <f t="shared" si="59"/>
        <v>238.69999999999987</v>
      </c>
      <c r="AL85" s="138">
        <f t="shared" si="59"/>
        <v>246.39999999999986</v>
      </c>
      <c r="AM85" s="138">
        <f t="shared" si="59"/>
        <v>254.09999999999985</v>
      </c>
      <c r="AN85" s="138">
        <f t="shared" si="59"/>
        <v>261.79999999999984</v>
      </c>
      <c r="AO85" s="138">
        <f t="shared" si="59"/>
        <v>269.49999999999983</v>
      </c>
      <c r="AP85" s="138">
        <f t="shared" si="59"/>
        <v>277.19999999999982</v>
      </c>
      <c r="AQ85" s="138">
        <f t="shared" si="59"/>
        <v>284.89999999999981</v>
      </c>
      <c r="AR85" s="138">
        <f t="shared" si="59"/>
        <v>292.5999999999998</v>
      </c>
      <c r="AS85" s="138">
        <f t="shared" si="59"/>
        <v>300.29999999999978</v>
      </c>
      <c r="AT85" s="138">
        <f t="shared" si="59"/>
        <v>307.99999999999977</v>
      </c>
      <c r="AU85" s="138">
        <f t="shared" si="59"/>
        <v>307.99999999999977</v>
      </c>
      <c r="AV85" s="138">
        <f t="shared" si="59"/>
        <v>307.99999999999977</v>
      </c>
    </row>
    <row r="86" spans="1:50" x14ac:dyDescent="0.2">
      <c r="A86" s="65" t="str">
        <f ca="1">Language!A$539</f>
        <v>остаточная балансовая стоимость</v>
      </c>
      <c r="C86" s="124" t="str">
        <f ca="1">CurName1</f>
        <v>тыс. руб.</v>
      </c>
      <c r="F86" s="38" t="s">
        <v>754</v>
      </c>
      <c r="G86" s="143">
        <f>G82-G85</f>
        <v>300.3</v>
      </c>
      <c r="H86" s="143">
        <f t="shared" ref="H86" si="60">H82-H85</f>
        <v>292.60000000000002</v>
      </c>
      <c r="I86" s="143">
        <f t="shared" ref="I86" si="61">I82-I85</f>
        <v>284.89999999999998</v>
      </c>
      <c r="J86" s="143">
        <f t="shared" ref="J86" si="62">J82-J85</f>
        <v>277.2</v>
      </c>
      <c r="K86" s="143">
        <f t="shared" ref="K86:L86" si="63">K82-K85</f>
        <v>269.5</v>
      </c>
      <c r="L86" s="143">
        <f t="shared" si="63"/>
        <v>261.8</v>
      </c>
      <c r="M86" s="143">
        <f t="shared" ref="M86:N86" si="64">M82-M85</f>
        <v>254.1</v>
      </c>
      <c r="N86" s="143">
        <f t="shared" si="64"/>
        <v>246.39999999999998</v>
      </c>
      <c r="O86" s="143">
        <f t="shared" ref="O86:P86" si="65">O82-O85</f>
        <v>238.7</v>
      </c>
      <c r="P86" s="143">
        <f t="shared" si="65"/>
        <v>231</v>
      </c>
      <c r="Q86" s="143">
        <f t="shared" ref="Q86:R86" si="66">Q82-Q85</f>
        <v>223.29999999999998</v>
      </c>
      <c r="R86" s="143">
        <f t="shared" si="66"/>
        <v>215.59999999999997</v>
      </c>
      <c r="S86" s="143">
        <f t="shared" ref="S86:T86" si="67">S82-S85</f>
        <v>207.89999999999998</v>
      </c>
      <c r="T86" s="143">
        <f t="shared" si="67"/>
        <v>200.2</v>
      </c>
      <c r="U86" s="143">
        <f t="shared" ref="U86:V86" si="68">U82-U85</f>
        <v>192.49999999999997</v>
      </c>
      <c r="V86" s="143">
        <f t="shared" si="68"/>
        <v>184.79999999999995</v>
      </c>
      <c r="W86" s="143">
        <f t="shared" ref="W86:X86" si="69">W82-W85</f>
        <v>177.09999999999997</v>
      </c>
      <c r="X86" s="143">
        <f t="shared" si="69"/>
        <v>169.39999999999998</v>
      </c>
      <c r="Y86" s="143">
        <f t="shared" ref="Y86:Z86" si="70">Y82-Y85</f>
        <v>161.69999999999999</v>
      </c>
      <c r="Z86" s="143">
        <f t="shared" si="70"/>
        <v>154</v>
      </c>
      <c r="AA86" s="143">
        <f t="shared" ref="AA86:AB86" si="71">AA82-AA85</f>
        <v>146.30000000000001</v>
      </c>
      <c r="AB86" s="143">
        <f t="shared" si="71"/>
        <v>138.60000000000002</v>
      </c>
      <c r="AC86" s="143">
        <f t="shared" ref="AC86:AD86" si="72">AC82-AC85</f>
        <v>130.90000000000003</v>
      </c>
      <c r="AD86" s="143">
        <f t="shared" si="72"/>
        <v>123.20000000000005</v>
      </c>
      <c r="AE86" s="143">
        <f t="shared" ref="AE86:AF86" si="73">AE82-AE85</f>
        <v>115.50000000000006</v>
      </c>
      <c r="AF86" s="143">
        <f t="shared" si="73"/>
        <v>107.80000000000007</v>
      </c>
      <c r="AG86" s="143">
        <f t="shared" ref="AG86:AH86" si="74">AG82-AG85</f>
        <v>100.10000000000008</v>
      </c>
      <c r="AH86" s="143">
        <f t="shared" si="74"/>
        <v>92.400000000000091</v>
      </c>
      <c r="AI86" s="143">
        <f t="shared" ref="AI86:AJ86" si="75">AI82-AI85</f>
        <v>84.700000000000102</v>
      </c>
      <c r="AJ86" s="143">
        <f t="shared" si="75"/>
        <v>77.000000000000114</v>
      </c>
      <c r="AK86" s="143">
        <f t="shared" ref="AK86:AL86" si="76">AK82-AK85</f>
        <v>69.300000000000125</v>
      </c>
      <c r="AL86" s="143">
        <f t="shared" si="76"/>
        <v>61.600000000000136</v>
      </c>
      <c r="AM86" s="143">
        <f t="shared" ref="AM86:AN86" si="77">AM82-AM85</f>
        <v>53.900000000000148</v>
      </c>
      <c r="AN86" s="143">
        <f t="shared" si="77"/>
        <v>46.200000000000159</v>
      </c>
      <c r="AO86" s="143">
        <f t="shared" ref="AO86:AP86" si="78">AO82-AO85</f>
        <v>38.500000000000171</v>
      </c>
      <c r="AP86" s="143">
        <f t="shared" si="78"/>
        <v>30.800000000000182</v>
      </c>
      <c r="AQ86" s="143">
        <f t="shared" ref="AQ86:AR86" si="79">AQ82-AQ85</f>
        <v>23.100000000000193</v>
      </c>
      <c r="AR86" s="143">
        <f t="shared" si="79"/>
        <v>15.400000000000205</v>
      </c>
      <c r="AS86" s="143">
        <f t="shared" ref="AS86:AT86" si="80">AS82-AS85</f>
        <v>7.700000000000216</v>
      </c>
      <c r="AT86" s="143">
        <f t="shared" si="80"/>
        <v>0</v>
      </c>
      <c r="AU86" s="143">
        <f t="shared" ref="AU86:AV86" si="81">AU82-AU85</f>
        <v>0</v>
      </c>
      <c r="AV86" s="143">
        <f t="shared" si="81"/>
        <v>0</v>
      </c>
    </row>
    <row r="87" spans="1:50" x14ac:dyDescent="0.2">
      <c r="A87" s="65"/>
      <c r="E87" s="68" t="s">
        <v>947</v>
      </c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</row>
    <row r="88" spans="1:50" x14ac:dyDescent="0.2">
      <c r="A88" s="40"/>
      <c r="B88" s="40"/>
      <c r="C88" s="40"/>
      <c r="D88" s="40"/>
      <c r="E88" s="40"/>
      <c r="F88" s="40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40"/>
      <c r="AX88" s="40"/>
    </row>
    <row r="89" spans="1:50" x14ac:dyDescent="0.2"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</row>
    <row r="90" spans="1:50" s="64" customFormat="1" ht="25.5" customHeight="1" thickBot="1" x14ac:dyDescent="0.25">
      <c r="A90" s="118" t="str">
        <f ca="1">Language!A$540</f>
        <v>СУЩЕСТВУЮЩИЕ ФИНАНСОВЫЕ ВЛОЖЕНИЯ</v>
      </c>
      <c r="B90" s="119"/>
      <c r="C90" s="120"/>
      <c r="D90" s="121"/>
      <c r="E90" s="121" t="s">
        <v>1272</v>
      </c>
      <c r="F90" s="121"/>
      <c r="G90" s="69" t="str">
        <f ca="1">Параметры!G$34</f>
        <v>4 кв. 2022</v>
      </c>
      <c r="H90" s="140" t="str">
        <f ca="1">Параметры!H$34</f>
        <v>1 кв. 2023</v>
      </c>
      <c r="I90" s="140" t="str">
        <f ca="1">Параметры!I$34</f>
        <v>2 кв. 2023</v>
      </c>
      <c r="J90" s="140" t="str">
        <f ca="1">Параметры!J$34</f>
        <v>3 кв. 2023</v>
      </c>
      <c r="K90" s="140" t="str">
        <f ca="1">Параметры!K$34</f>
        <v>4 кв. 2023</v>
      </c>
      <c r="L90" s="140" t="str">
        <f ca="1">Параметры!L$34</f>
        <v>1 кв. 2024</v>
      </c>
      <c r="M90" s="140" t="str">
        <f ca="1">Параметры!M$34</f>
        <v>2 кв. 2024</v>
      </c>
      <c r="N90" s="140" t="str">
        <f ca="1">Параметры!N$34</f>
        <v>3 кв. 2024</v>
      </c>
      <c r="O90" s="140" t="str">
        <f ca="1">Параметры!O$34</f>
        <v>4 кв. 2024</v>
      </c>
      <c r="P90" s="140" t="str">
        <f ca="1">Параметры!P$34</f>
        <v>1 кв. 2025</v>
      </c>
      <c r="Q90" s="140" t="str">
        <f ca="1">Параметры!Q$34</f>
        <v>2 кв. 2025</v>
      </c>
      <c r="R90" s="140" t="str">
        <f ca="1">Параметры!R$34</f>
        <v>3 кв. 2025</v>
      </c>
      <c r="S90" s="140" t="str">
        <f ca="1">Параметры!S$34</f>
        <v>4 кв. 2025</v>
      </c>
      <c r="T90" s="140" t="str">
        <f ca="1">Параметры!T$34</f>
        <v>1 кв. 2026</v>
      </c>
      <c r="U90" s="140" t="str">
        <f ca="1">Параметры!U$34</f>
        <v>2 кв. 2026</v>
      </c>
      <c r="V90" s="140" t="str">
        <f ca="1">Параметры!V$34</f>
        <v>3 кв. 2026</v>
      </c>
      <c r="W90" s="140" t="str">
        <f ca="1">Параметры!W$34</f>
        <v>4 кв. 2026</v>
      </c>
      <c r="X90" s="140" t="str">
        <f ca="1">Параметры!X$34</f>
        <v>1 кв. 2027</v>
      </c>
      <c r="Y90" s="140" t="str">
        <f ca="1">Параметры!Y$34</f>
        <v>2 кв. 2027</v>
      </c>
      <c r="Z90" s="140" t="str">
        <f ca="1">Параметры!Z$34</f>
        <v>3 кв. 2027</v>
      </c>
      <c r="AA90" s="140" t="str">
        <f ca="1">Параметры!AA$34</f>
        <v>4 кв. 2027</v>
      </c>
      <c r="AB90" s="140" t="str">
        <f ca="1">Параметры!AB$34</f>
        <v>1 кв. 2028</v>
      </c>
      <c r="AC90" s="140" t="str">
        <f ca="1">Параметры!AC$34</f>
        <v>2 кв. 2028</v>
      </c>
      <c r="AD90" s="140" t="str">
        <f ca="1">Параметры!AD$34</f>
        <v>3 кв. 2028</v>
      </c>
      <c r="AE90" s="140" t="str">
        <f ca="1">Параметры!AE$34</f>
        <v>4 кв. 2028</v>
      </c>
      <c r="AF90" s="140" t="str">
        <f ca="1">Параметры!AF$34</f>
        <v>1 кв. 2029</v>
      </c>
      <c r="AG90" s="140" t="str">
        <f ca="1">Параметры!AG$34</f>
        <v>2 кв. 2029</v>
      </c>
      <c r="AH90" s="140" t="str">
        <f ca="1">Параметры!AH$34</f>
        <v>3 кв. 2029</v>
      </c>
      <c r="AI90" s="140" t="str">
        <f ca="1">Параметры!AI$34</f>
        <v>4 кв. 2029</v>
      </c>
      <c r="AJ90" s="140" t="str">
        <f ca="1">Параметры!AJ$34</f>
        <v>1 кв. 2030</v>
      </c>
      <c r="AK90" s="140" t="str">
        <f ca="1">Параметры!AK$34</f>
        <v>2 кв. 2030</v>
      </c>
      <c r="AL90" s="140" t="str">
        <f ca="1">Параметры!AL$34</f>
        <v>3 кв. 2030</v>
      </c>
      <c r="AM90" s="140" t="str">
        <f ca="1">Параметры!AM$34</f>
        <v>4 кв. 2030</v>
      </c>
      <c r="AN90" s="140" t="str">
        <f ca="1">Параметры!AN$34</f>
        <v>1 кв. 2031</v>
      </c>
      <c r="AO90" s="140" t="str">
        <f ca="1">Параметры!AO$34</f>
        <v>2 кв. 2031</v>
      </c>
      <c r="AP90" s="140" t="str">
        <f ca="1">Параметры!AP$34</f>
        <v>3 кв. 2031</v>
      </c>
      <c r="AQ90" s="140" t="str">
        <f ca="1">Параметры!AQ$34</f>
        <v>4 кв. 2031</v>
      </c>
      <c r="AR90" s="140" t="str">
        <f ca="1">Параметры!AR$34</f>
        <v>1 кв. 2032</v>
      </c>
      <c r="AS90" s="140" t="str">
        <f ca="1">Параметры!AS$34</f>
        <v>2 кв. 2032</v>
      </c>
      <c r="AT90" s="140" t="str">
        <f ca="1">Параметры!AT$34</f>
        <v>3 кв. 2032</v>
      </c>
      <c r="AU90" s="140" t="str">
        <f ca="1">Параметры!AU$34</f>
        <v>4 кв. 2032</v>
      </c>
      <c r="AV90" s="140" t="str">
        <f ca="1">Параметры!AV$34</f>
        <v>1 кв. 2033</v>
      </c>
      <c r="AW90" s="140"/>
      <c r="AX90" s="141" t="str">
        <f ca="1">Language!$A$1445</f>
        <v>ИТОГО</v>
      </c>
    </row>
    <row r="91" spans="1:50" ht="13.5" thickTop="1" x14ac:dyDescent="0.2">
      <c r="A91" s="65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</row>
    <row r="92" spans="1:50" x14ac:dyDescent="0.2">
      <c r="A92" s="125" t="str">
        <f ca="1">Language!A$541</f>
        <v>Долгосрочные финансовые вложения</v>
      </c>
      <c r="B92" s="144"/>
      <c r="C92" s="144"/>
      <c r="D92" s="144"/>
      <c r="E92" s="144"/>
      <c r="F92" s="144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</row>
    <row r="93" spans="1:50" x14ac:dyDescent="0.2">
      <c r="A93" s="65" t="str">
        <f ca="1">Language!A$542</f>
        <v>балансовая стоимость</v>
      </c>
      <c r="C93" s="124" t="str">
        <f ca="1">CurName1</f>
        <v>тыс. руб.</v>
      </c>
      <c r="F93" s="38" t="s">
        <v>754</v>
      </c>
      <c r="G93" s="143">
        <f>IF(G$2=1,$B$21,F93)-G94</f>
        <v>0</v>
      </c>
      <c r="H93" s="143">
        <f t="shared" ref="H93:AV93" si="82">IF(H$2=1,$B$21,G93)-H94</f>
        <v>0</v>
      </c>
      <c r="I93" s="143">
        <f t="shared" si="82"/>
        <v>0</v>
      </c>
      <c r="J93" s="143">
        <f t="shared" si="82"/>
        <v>0</v>
      </c>
      <c r="K93" s="143">
        <f t="shared" si="82"/>
        <v>0</v>
      </c>
      <c r="L93" s="143">
        <f t="shared" si="82"/>
        <v>0</v>
      </c>
      <c r="M93" s="143">
        <f t="shared" si="82"/>
        <v>0</v>
      </c>
      <c r="N93" s="143">
        <f t="shared" si="82"/>
        <v>0</v>
      </c>
      <c r="O93" s="143">
        <f t="shared" si="82"/>
        <v>0</v>
      </c>
      <c r="P93" s="143">
        <f t="shared" si="82"/>
        <v>0</v>
      </c>
      <c r="Q93" s="143">
        <f t="shared" si="82"/>
        <v>0</v>
      </c>
      <c r="R93" s="143">
        <f t="shared" si="82"/>
        <v>0</v>
      </c>
      <c r="S93" s="143">
        <f t="shared" si="82"/>
        <v>0</v>
      </c>
      <c r="T93" s="143">
        <f t="shared" si="82"/>
        <v>0</v>
      </c>
      <c r="U93" s="143">
        <f t="shared" si="82"/>
        <v>0</v>
      </c>
      <c r="V93" s="143">
        <f t="shared" si="82"/>
        <v>0</v>
      </c>
      <c r="W93" s="143">
        <f t="shared" si="82"/>
        <v>0</v>
      </c>
      <c r="X93" s="143">
        <f t="shared" si="82"/>
        <v>0</v>
      </c>
      <c r="Y93" s="143">
        <f t="shared" si="82"/>
        <v>0</v>
      </c>
      <c r="Z93" s="143">
        <f t="shared" si="82"/>
        <v>0</v>
      </c>
      <c r="AA93" s="143">
        <f t="shared" si="82"/>
        <v>0</v>
      </c>
      <c r="AB93" s="143">
        <f t="shared" si="82"/>
        <v>0</v>
      </c>
      <c r="AC93" s="143">
        <f t="shared" si="82"/>
        <v>0</v>
      </c>
      <c r="AD93" s="143">
        <f t="shared" si="82"/>
        <v>0</v>
      </c>
      <c r="AE93" s="143">
        <f t="shared" si="82"/>
        <v>0</v>
      </c>
      <c r="AF93" s="143">
        <f t="shared" si="82"/>
        <v>0</v>
      </c>
      <c r="AG93" s="143">
        <f t="shared" si="82"/>
        <v>0</v>
      </c>
      <c r="AH93" s="143">
        <f t="shared" si="82"/>
        <v>0</v>
      </c>
      <c r="AI93" s="143">
        <f t="shared" si="82"/>
        <v>0</v>
      </c>
      <c r="AJ93" s="143">
        <f t="shared" si="82"/>
        <v>0</v>
      </c>
      <c r="AK93" s="143">
        <f t="shared" si="82"/>
        <v>0</v>
      </c>
      <c r="AL93" s="143">
        <f t="shared" si="82"/>
        <v>0</v>
      </c>
      <c r="AM93" s="143">
        <f t="shared" si="82"/>
        <v>0</v>
      </c>
      <c r="AN93" s="143">
        <f t="shared" si="82"/>
        <v>0</v>
      </c>
      <c r="AO93" s="143">
        <f t="shared" si="82"/>
        <v>0</v>
      </c>
      <c r="AP93" s="143">
        <f t="shared" si="82"/>
        <v>0</v>
      </c>
      <c r="AQ93" s="143">
        <f t="shared" si="82"/>
        <v>0</v>
      </c>
      <c r="AR93" s="143">
        <f t="shared" si="82"/>
        <v>0</v>
      </c>
      <c r="AS93" s="143">
        <f t="shared" si="82"/>
        <v>0</v>
      </c>
      <c r="AT93" s="143">
        <f t="shared" si="82"/>
        <v>0</v>
      </c>
      <c r="AU93" s="143">
        <f t="shared" si="82"/>
        <v>0</v>
      </c>
      <c r="AV93" s="143">
        <f t="shared" si="82"/>
        <v>0</v>
      </c>
    </row>
    <row r="94" spans="1:50" x14ac:dyDescent="0.2">
      <c r="A94" s="65" t="str">
        <f ca="1">Language!A$543</f>
        <v>возврат финансовых вложений</v>
      </c>
      <c r="C94" s="124" t="str">
        <f ca="1">CurName1</f>
        <v>тыс. руб.</v>
      </c>
      <c r="F94" s="38" t="s">
        <v>753</v>
      </c>
      <c r="G94" s="311">
        <v>0</v>
      </c>
      <c r="H94" s="311">
        <v>0</v>
      </c>
      <c r="I94" s="311">
        <v>0</v>
      </c>
      <c r="J94" s="311">
        <v>0</v>
      </c>
      <c r="K94" s="311">
        <v>0</v>
      </c>
      <c r="L94" s="311">
        <v>0</v>
      </c>
      <c r="M94" s="311">
        <v>0</v>
      </c>
      <c r="N94" s="311">
        <v>0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</v>
      </c>
      <c r="W94" s="311">
        <v>0</v>
      </c>
      <c r="X94" s="311">
        <v>0</v>
      </c>
      <c r="Y94" s="311">
        <v>0</v>
      </c>
      <c r="Z94" s="311">
        <v>0</v>
      </c>
      <c r="AA94" s="311">
        <v>0</v>
      </c>
      <c r="AB94" s="311">
        <v>0</v>
      </c>
      <c r="AC94" s="311">
        <v>0</v>
      </c>
      <c r="AD94" s="311">
        <v>0</v>
      </c>
      <c r="AE94" s="311">
        <v>0</v>
      </c>
      <c r="AF94" s="311">
        <v>0</v>
      </c>
      <c r="AG94" s="311">
        <v>0</v>
      </c>
      <c r="AH94" s="311">
        <v>0</v>
      </c>
      <c r="AI94" s="311">
        <v>0</v>
      </c>
      <c r="AJ94" s="311">
        <v>0</v>
      </c>
      <c r="AK94" s="311">
        <v>0</v>
      </c>
      <c r="AL94" s="311">
        <v>0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</row>
    <row r="95" spans="1:50" x14ac:dyDescent="0.2">
      <c r="A95" s="65"/>
      <c r="C95" s="124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</row>
    <row r="96" spans="1:50" x14ac:dyDescent="0.2">
      <c r="A96" s="125" t="str">
        <f ca="1">Language!A$544</f>
        <v>Краткосрочные финансовые вложения</v>
      </c>
      <c r="B96" s="144"/>
      <c r="C96" s="144"/>
      <c r="D96" s="144"/>
      <c r="E96" s="144"/>
      <c r="F96" s="144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</row>
    <row r="97" spans="1:50" x14ac:dyDescent="0.2">
      <c r="A97" s="65" t="str">
        <f ca="1">Language!A$545</f>
        <v>балансовая стоимость</v>
      </c>
      <c r="C97" s="124" t="str">
        <f ca="1">CurName1</f>
        <v>тыс. руб.</v>
      </c>
      <c r="F97" s="38" t="s">
        <v>754</v>
      </c>
      <c r="G97" s="143">
        <f>IF(G$2=1,$B$13,F97)-G98</f>
        <v>0</v>
      </c>
      <c r="H97" s="143">
        <f t="shared" ref="H97:AV97" si="83">IF(H$2=1,$B$13,G97)-H98</f>
        <v>0</v>
      </c>
      <c r="I97" s="143">
        <f t="shared" si="83"/>
        <v>0</v>
      </c>
      <c r="J97" s="143">
        <f t="shared" si="83"/>
        <v>0</v>
      </c>
      <c r="K97" s="143">
        <f t="shared" si="83"/>
        <v>0</v>
      </c>
      <c r="L97" s="143">
        <f t="shared" si="83"/>
        <v>0</v>
      </c>
      <c r="M97" s="143">
        <f t="shared" si="83"/>
        <v>0</v>
      </c>
      <c r="N97" s="143">
        <f t="shared" si="83"/>
        <v>0</v>
      </c>
      <c r="O97" s="143">
        <f t="shared" si="83"/>
        <v>0</v>
      </c>
      <c r="P97" s="143">
        <f t="shared" si="83"/>
        <v>0</v>
      </c>
      <c r="Q97" s="143">
        <f t="shared" si="83"/>
        <v>0</v>
      </c>
      <c r="R97" s="143">
        <f t="shared" si="83"/>
        <v>0</v>
      </c>
      <c r="S97" s="143">
        <f t="shared" si="83"/>
        <v>0</v>
      </c>
      <c r="T97" s="143">
        <f t="shared" si="83"/>
        <v>0</v>
      </c>
      <c r="U97" s="143">
        <f t="shared" si="83"/>
        <v>0</v>
      </c>
      <c r="V97" s="143">
        <f t="shared" si="83"/>
        <v>0</v>
      </c>
      <c r="W97" s="143">
        <f t="shared" si="83"/>
        <v>0</v>
      </c>
      <c r="X97" s="143">
        <f t="shared" si="83"/>
        <v>0</v>
      </c>
      <c r="Y97" s="143">
        <f t="shared" si="83"/>
        <v>0</v>
      </c>
      <c r="Z97" s="143">
        <f t="shared" si="83"/>
        <v>0</v>
      </c>
      <c r="AA97" s="143">
        <f t="shared" si="83"/>
        <v>0</v>
      </c>
      <c r="AB97" s="143">
        <f t="shared" si="83"/>
        <v>0</v>
      </c>
      <c r="AC97" s="143">
        <f t="shared" si="83"/>
        <v>0</v>
      </c>
      <c r="AD97" s="143">
        <f t="shared" si="83"/>
        <v>0</v>
      </c>
      <c r="AE97" s="143">
        <f t="shared" si="83"/>
        <v>0</v>
      </c>
      <c r="AF97" s="143">
        <f t="shared" si="83"/>
        <v>0</v>
      </c>
      <c r="AG97" s="143">
        <f t="shared" si="83"/>
        <v>0</v>
      </c>
      <c r="AH97" s="143">
        <f t="shared" si="83"/>
        <v>0</v>
      </c>
      <c r="AI97" s="143">
        <f t="shared" si="83"/>
        <v>0</v>
      </c>
      <c r="AJ97" s="143">
        <f t="shared" si="83"/>
        <v>0</v>
      </c>
      <c r="AK97" s="143">
        <f t="shared" si="83"/>
        <v>0</v>
      </c>
      <c r="AL97" s="143">
        <f t="shared" si="83"/>
        <v>0</v>
      </c>
      <c r="AM97" s="143">
        <f t="shared" si="83"/>
        <v>0</v>
      </c>
      <c r="AN97" s="143">
        <f t="shared" si="83"/>
        <v>0</v>
      </c>
      <c r="AO97" s="143">
        <f t="shared" si="83"/>
        <v>0</v>
      </c>
      <c r="AP97" s="143">
        <f t="shared" si="83"/>
        <v>0</v>
      </c>
      <c r="AQ97" s="143">
        <f t="shared" si="83"/>
        <v>0</v>
      </c>
      <c r="AR97" s="143">
        <f t="shared" si="83"/>
        <v>0</v>
      </c>
      <c r="AS97" s="143">
        <f t="shared" si="83"/>
        <v>0</v>
      </c>
      <c r="AT97" s="143">
        <f t="shared" si="83"/>
        <v>0</v>
      </c>
      <c r="AU97" s="143">
        <f t="shared" si="83"/>
        <v>0</v>
      </c>
      <c r="AV97" s="143">
        <f t="shared" si="83"/>
        <v>0</v>
      </c>
    </row>
    <row r="98" spans="1:50" x14ac:dyDescent="0.2">
      <c r="A98" s="65" t="str">
        <f ca="1">Language!A$546</f>
        <v>возврат финансовых вложений</v>
      </c>
      <c r="C98" s="124" t="str">
        <f ca="1">CurName1</f>
        <v>тыс. руб.</v>
      </c>
      <c r="F98" s="38" t="s">
        <v>753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</row>
    <row r="99" spans="1:50" x14ac:dyDescent="0.2">
      <c r="A99" s="67"/>
      <c r="B99" s="51"/>
      <c r="C99" s="51"/>
      <c r="D99" s="68"/>
      <c r="E99" s="68" t="s">
        <v>1273</v>
      </c>
      <c r="F99" s="68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112"/>
      <c r="AX99" s="149"/>
    </row>
    <row r="102" spans="1:50" s="64" customFormat="1" ht="25.5" customHeight="1" thickBot="1" x14ac:dyDescent="0.25">
      <c r="A102" s="118" t="str">
        <f ca="1">Language!A$547</f>
        <v>СУЩЕСТВУЮЩИЕ КРЕДИТЫ</v>
      </c>
      <c r="B102" s="119"/>
      <c r="C102" s="120"/>
      <c r="D102" s="121"/>
      <c r="E102" s="121" t="s">
        <v>932</v>
      </c>
      <c r="F102" s="121" t="s">
        <v>657</v>
      </c>
      <c r="G102" s="69" t="str">
        <f ca="1">Параметры!G$34</f>
        <v>4 кв. 2022</v>
      </c>
      <c r="H102" s="140" t="str">
        <f ca="1">Параметры!H$34</f>
        <v>1 кв. 2023</v>
      </c>
      <c r="I102" s="140" t="str">
        <f ca="1">Параметры!I$34</f>
        <v>2 кв. 2023</v>
      </c>
      <c r="J102" s="140" t="str">
        <f ca="1">Параметры!J$34</f>
        <v>3 кв. 2023</v>
      </c>
      <c r="K102" s="140" t="str">
        <f ca="1">Параметры!K$34</f>
        <v>4 кв. 2023</v>
      </c>
      <c r="L102" s="140" t="str">
        <f ca="1">Параметры!L$34</f>
        <v>1 кв. 2024</v>
      </c>
      <c r="M102" s="140" t="str">
        <f ca="1">Параметры!M$34</f>
        <v>2 кв. 2024</v>
      </c>
      <c r="N102" s="140" t="str">
        <f ca="1">Параметры!N$34</f>
        <v>3 кв. 2024</v>
      </c>
      <c r="O102" s="140" t="str">
        <f ca="1">Параметры!O$34</f>
        <v>4 кв. 2024</v>
      </c>
      <c r="P102" s="140" t="str">
        <f ca="1">Параметры!P$34</f>
        <v>1 кв. 2025</v>
      </c>
      <c r="Q102" s="140" t="str">
        <f ca="1">Параметры!Q$34</f>
        <v>2 кв. 2025</v>
      </c>
      <c r="R102" s="140" t="str">
        <f ca="1">Параметры!R$34</f>
        <v>3 кв. 2025</v>
      </c>
      <c r="S102" s="140" t="str">
        <f ca="1">Параметры!S$34</f>
        <v>4 кв. 2025</v>
      </c>
      <c r="T102" s="140" t="str">
        <f ca="1">Параметры!T$34</f>
        <v>1 кв. 2026</v>
      </c>
      <c r="U102" s="140" t="str">
        <f ca="1">Параметры!U$34</f>
        <v>2 кв. 2026</v>
      </c>
      <c r="V102" s="140" t="str">
        <f ca="1">Параметры!V$34</f>
        <v>3 кв. 2026</v>
      </c>
      <c r="W102" s="140" t="str">
        <f ca="1">Параметры!W$34</f>
        <v>4 кв. 2026</v>
      </c>
      <c r="X102" s="140" t="str">
        <f ca="1">Параметры!X$34</f>
        <v>1 кв. 2027</v>
      </c>
      <c r="Y102" s="140" t="str">
        <f ca="1">Параметры!Y$34</f>
        <v>2 кв. 2027</v>
      </c>
      <c r="Z102" s="140" t="str">
        <f ca="1">Параметры!Z$34</f>
        <v>3 кв. 2027</v>
      </c>
      <c r="AA102" s="140" t="str">
        <f ca="1">Параметры!AA$34</f>
        <v>4 кв. 2027</v>
      </c>
      <c r="AB102" s="140" t="str">
        <f ca="1">Параметры!AB$34</f>
        <v>1 кв. 2028</v>
      </c>
      <c r="AC102" s="140" t="str">
        <f ca="1">Параметры!AC$34</f>
        <v>2 кв. 2028</v>
      </c>
      <c r="AD102" s="140" t="str">
        <f ca="1">Параметры!AD$34</f>
        <v>3 кв. 2028</v>
      </c>
      <c r="AE102" s="140" t="str">
        <f ca="1">Параметры!AE$34</f>
        <v>4 кв. 2028</v>
      </c>
      <c r="AF102" s="140" t="str">
        <f ca="1">Параметры!AF$34</f>
        <v>1 кв. 2029</v>
      </c>
      <c r="AG102" s="140" t="str">
        <f ca="1">Параметры!AG$34</f>
        <v>2 кв. 2029</v>
      </c>
      <c r="AH102" s="140" t="str">
        <f ca="1">Параметры!AH$34</f>
        <v>3 кв. 2029</v>
      </c>
      <c r="AI102" s="140" t="str">
        <f ca="1">Параметры!AI$34</f>
        <v>4 кв. 2029</v>
      </c>
      <c r="AJ102" s="140" t="str">
        <f ca="1">Параметры!AJ$34</f>
        <v>1 кв. 2030</v>
      </c>
      <c r="AK102" s="140" t="str">
        <f ca="1">Параметры!AK$34</f>
        <v>2 кв. 2030</v>
      </c>
      <c r="AL102" s="140" t="str">
        <f ca="1">Параметры!AL$34</f>
        <v>3 кв. 2030</v>
      </c>
      <c r="AM102" s="140" t="str">
        <f ca="1">Параметры!AM$34</f>
        <v>4 кв. 2030</v>
      </c>
      <c r="AN102" s="140" t="str">
        <f ca="1">Параметры!AN$34</f>
        <v>1 кв. 2031</v>
      </c>
      <c r="AO102" s="140" t="str">
        <f ca="1">Параметры!AO$34</f>
        <v>2 кв. 2031</v>
      </c>
      <c r="AP102" s="140" t="str">
        <f ca="1">Параметры!AP$34</f>
        <v>3 кв. 2031</v>
      </c>
      <c r="AQ102" s="140" t="str">
        <f ca="1">Параметры!AQ$34</f>
        <v>4 кв. 2031</v>
      </c>
      <c r="AR102" s="140" t="str">
        <f ca="1">Параметры!AR$34</f>
        <v>1 кв. 2032</v>
      </c>
      <c r="AS102" s="140" t="str">
        <f ca="1">Параметры!AS$34</f>
        <v>2 кв. 2032</v>
      </c>
      <c r="AT102" s="140" t="str">
        <f ca="1">Параметры!AT$34</f>
        <v>3 кв. 2032</v>
      </c>
      <c r="AU102" s="140" t="str">
        <f ca="1">Параметры!AU$34</f>
        <v>4 кв. 2032</v>
      </c>
      <c r="AV102" s="140" t="str">
        <f ca="1">Параметры!AV$34</f>
        <v>1 кв. 2033</v>
      </c>
      <c r="AW102" s="140"/>
      <c r="AX102" s="141" t="str">
        <f ca="1">Language!$A$1445</f>
        <v>ИТОГО</v>
      </c>
    </row>
    <row r="103" spans="1:50" ht="13.5" thickTop="1" x14ac:dyDescent="0.2">
      <c r="A103" s="65"/>
      <c r="D103" s="57"/>
      <c r="E103" s="57"/>
      <c r="F103" s="57"/>
      <c r="AW103" s="94"/>
      <c r="AX103" s="170"/>
    </row>
    <row r="104" spans="1:50" x14ac:dyDescent="0.2">
      <c r="A104" s="131" t="str">
        <f ca="1">Language!A$562</f>
        <v>Долгосрочные кредиты</v>
      </c>
      <c r="B104" s="51"/>
      <c r="C104" s="51"/>
      <c r="D104" s="68"/>
      <c r="E104" s="68" t="s">
        <v>727</v>
      </c>
      <c r="F104" s="68" t="s">
        <v>2228</v>
      </c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112"/>
      <c r="AX104" s="149"/>
    </row>
    <row r="105" spans="1:50" x14ac:dyDescent="0.2">
      <c r="A105" s="65"/>
      <c r="D105" s="57"/>
      <c r="E105" s="57"/>
      <c r="F105" s="57"/>
      <c r="AW105" s="94"/>
      <c r="AX105" s="170"/>
    </row>
    <row r="106" spans="1:50" x14ac:dyDescent="0.2">
      <c r="A106" s="312" t="s">
        <v>2226</v>
      </c>
      <c r="B106" s="151"/>
      <c r="C106" s="152" t="str">
        <f t="shared" ref="C106" ca="1" si="84">CHOOSE(D106,CurName1,CurName2,CurName3)</f>
        <v>тыс. руб.</v>
      </c>
      <c r="D106" s="153">
        <v>1</v>
      </c>
      <c r="E106" s="100"/>
      <c r="F106" s="100" t="s">
        <v>2227</v>
      </c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58"/>
      <c r="AX106" s="150"/>
    </row>
    <row r="107" spans="1:50" x14ac:dyDescent="0.2">
      <c r="A107" s="154" t="str">
        <f ca="1">Language!A$549</f>
        <v>задолженность по кредиту на начало планирования</v>
      </c>
      <c r="B107" s="313">
        <f>B37</f>
        <v>2176632</v>
      </c>
      <c r="C107" s="146" t="str">
        <f ca="1">CHOOSE(D107,CurName1,CurName2,CurName3)</f>
        <v>тыс. руб.</v>
      </c>
      <c r="D107" s="155">
        <f>D106</f>
        <v>1</v>
      </c>
      <c r="E107" s="57" t="s">
        <v>949</v>
      </c>
      <c r="F107" s="57"/>
      <c r="G107" s="156">
        <f>IF(G$2=1, $B107, F110)</f>
        <v>2176632</v>
      </c>
      <c r="H107" s="156">
        <f t="shared" ref="H107" si="85">IF(H$2=1, $B107, G110)</f>
        <v>2176632</v>
      </c>
      <c r="I107" s="156">
        <f t="shared" ref="I107" si="86">IF(I$2=1, $B107, H110)</f>
        <v>0</v>
      </c>
      <c r="J107" s="156">
        <f t="shared" ref="J107" si="87">IF(J$2=1, $B107, I110)</f>
        <v>0</v>
      </c>
      <c r="K107" s="156">
        <f t="shared" ref="K107" si="88">IF(K$2=1, $B107, J110)</f>
        <v>0</v>
      </c>
      <c r="L107" s="156">
        <f t="shared" ref="L107" si="89">IF(L$2=1, $B107, K110)</f>
        <v>0</v>
      </c>
      <c r="M107" s="156">
        <f t="shared" ref="M107" si="90">IF(M$2=1, $B107, L110)</f>
        <v>0</v>
      </c>
      <c r="N107" s="156">
        <f t="shared" ref="N107" si="91">IF(N$2=1, $B107, M110)</f>
        <v>0</v>
      </c>
      <c r="O107" s="156">
        <f t="shared" ref="O107" si="92">IF(O$2=1, $B107, N110)</f>
        <v>0</v>
      </c>
      <c r="P107" s="156">
        <f t="shared" ref="P107" si="93">IF(P$2=1, $B107, O110)</f>
        <v>0</v>
      </c>
      <c r="Q107" s="156">
        <f t="shared" ref="Q107" si="94">IF(Q$2=1, $B107, P110)</f>
        <v>0</v>
      </c>
      <c r="R107" s="156">
        <f t="shared" ref="R107" si="95">IF(R$2=1, $B107, Q110)</f>
        <v>0</v>
      </c>
      <c r="S107" s="156">
        <f t="shared" ref="S107" si="96">IF(S$2=1, $B107, R110)</f>
        <v>0</v>
      </c>
      <c r="T107" s="156">
        <f t="shared" ref="T107" si="97">IF(T$2=1, $B107, S110)</f>
        <v>0</v>
      </c>
      <c r="U107" s="156">
        <f t="shared" ref="U107" si="98">IF(U$2=1, $B107, T110)</f>
        <v>0</v>
      </c>
      <c r="V107" s="156">
        <f t="shared" ref="V107" si="99">IF(V$2=1, $B107, U110)</f>
        <v>0</v>
      </c>
      <c r="W107" s="156">
        <f t="shared" ref="W107" si="100">IF(W$2=1, $B107, V110)</f>
        <v>0</v>
      </c>
      <c r="X107" s="156">
        <f t="shared" ref="X107" si="101">IF(X$2=1, $B107, W110)</f>
        <v>0</v>
      </c>
      <c r="Y107" s="156">
        <f t="shared" ref="Y107" si="102">IF(Y$2=1, $B107, X110)</f>
        <v>0</v>
      </c>
      <c r="Z107" s="156">
        <f t="shared" ref="Z107" si="103">IF(Z$2=1, $B107, Y110)</f>
        <v>0</v>
      </c>
      <c r="AA107" s="156">
        <f t="shared" ref="AA107" si="104">IF(AA$2=1, $B107, Z110)</f>
        <v>0</v>
      </c>
      <c r="AB107" s="156">
        <f t="shared" ref="AB107" si="105">IF(AB$2=1, $B107, AA110)</f>
        <v>0</v>
      </c>
      <c r="AC107" s="156">
        <f t="shared" ref="AC107" si="106">IF(AC$2=1, $B107, AB110)</f>
        <v>0</v>
      </c>
      <c r="AD107" s="156">
        <f t="shared" ref="AD107" si="107">IF(AD$2=1, $B107, AC110)</f>
        <v>0</v>
      </c>
      <c r="AE107" s="156">
        <f t="shared" ref="AE107" si="108">IF(AE$2=1, $B107, AD110)</f>
        <v>0</v>
      </c>
      <c r="AF107" s="156">
        <f t="shared" ref="AF107" si="109">IF(AF$2=1, $B107, AE110)</f>
        <v>0</v>
      </c>
      <c r="AG107" s="156">
        <f t="shared" ref="AG107" si="110">IF(AG$2=1, $B107, AF110)</f>
        <v>0</v>
      </c>
      <c r="AH107" s="156">
        <f t="shared" ref="AH107" si="111">IF(AH$2=1, $B107, AG110)</f>
        <v>0</v>
      </c>
      <c r="AI107" s="156">
        <f t="shared" ref="AI107" si="112">IF(AI$2=1, $B107, AH110)</f>
        <v>0</v>
      </c>
      <c r="AJ107" s="156">
        <f t="shared" ref="AJ107" si="113">IF(AJ$2=1, $B107, AI110)</f>
        <v>0</v>
      </c>
      <c r="AK107" s="156">
        <f t="shared" ref="AK107" si="114">IF(AK$2=1, $B107, AJ110)</f>
        <v>0</v>
      </c>
      <c r="AL107" s="156">
        <f t="shared" ref="AL107" si="115">IF(AL$2=1, $B107, AK110)</f>
        <v>0</v>
      </c>
      <c r="AM107" s="156">
        <f t="shared" ref="AM107" si="116">IF(AM$2=1, $B107, AL110)</f>
        <v>0</v>
      </c>
      <c r="AN107" s="156">
        <f t="shared" ref="AN107" si="117">IF(AN$2=1, $B107, AM110)</f>
        <v>0</v>
      </c>
      <c r="AO107" s="156">
        <f t="shared" ref="AO107" si="118">IF(AO$2=1, $B107, AN110)</f>
        <v>0</v>
      </c>
      <c r="AP107" s="156">
        <f t="shared" ref="AP107" si="119">IF(AP$2=1, $B107, AO110)</f>
        <v>0</v>
      </c>
      <c r="AQ107" s="156">
        <f t="shared" ref="AQ107" si="120">IF(AQ$2=1, $B107, AP110)</f>
        <v>0</v>
      </c>
      <c r="AR107" s="156">
        <f t="shared" ref="AR107" si="121">IF(AR$2=1, $B107, AQ110)</f>
        <v>0</v>
      </c>
      <c r="AS107" s="156">
        <f t="shared" ref="AS107" si="122">IF(AS$2=1, $B107, AR110)</f>
        <v>0</v>
      </c>
      <c r="AT107" s="156">
        <f t="shared" ref="AT107" si="123">IF(AT$2=1, $B107, AS110)</f>
        <v>0</v>
      </c>
      <c r="AU107" s="156">
        <f t="shared" ref="AU107" si="124">IF(AU$2=1, $B107, AT110)</f>
        <v>0</v>
      </c>
      <c r="AV107" s="156">
        <f t="shared" ref="AV107" si="125">IF(AV$2=1, $B107, AU110)</f>
        <v>0</v>
      </c>
      <c r="AW107" s="156"/>
      <c r="AX107" s="142"/>
    </row>
    <row r="108" spans="1:50" x14ac:dyDescent="0.2">
      <c r="A108" s="154" t="str">
        <f ca="1">Language!A$550</f>
        <v>ставка процентов по кредиту</v>
      </c>
      <c r="B108" s="314">
        <v>0.14399999999999999</v>
      </c>
      <c r="C108" s="157" t="str">
        <f ca="1">Language!$A$471</f>
        <v>% в год</v>
      </c>
      <c r="D108" s="158"/>
      <c r="E108" s="57"/>
      <c r="F108" s="57" t="s">
        <v>756</v>
      </c>
      <c r="G108" s="315">
        <f>B108</f>
        <v>0.14399999999999999</v>
      </c>
      <c r="H108" s="315">
        <f t="shared" ref="H108" si="126">G108</f>
        <v>0.14399999999999999</v>
      </c>
      <c r="I108" s="315">
        <f t="shared" ref="I108" si="127">H108</f>
        <v>0.14399999999999999</v>
      </c>
      <c r="J108" s="315">
        <f t="shared" ref="J108" si="128">I108</f>
        <v>0.14399999999999999</v>
      </c>
      <c r="K108" s="315">
        <f t="shared" ref="K108" si="129">J108</f>
        <v>0.14399999999999999</v>
      </c>
      <c r="L108" s="315">
        <f t="shared" ref="L108" si="130">K108</f>
        <v>0.14399999999999999</v>
      </c>
      <c r="M108" s="315">
        <f t="shared" ref="M108" si="131">L108</f>
        <v>0.14399999999999999</v>
      </c>
      <c r="N108" s="315">
        <f t="shared" ref="N108" si="132">M108</f>
        <v>0.14399999999999999</v>
      </c>
      <c r="O108" s="315">
        <f t="shared" ref="O108" si="133">N108</f>
        <v>0.14399999999999999</v>
      </c>
      <c r="P108" s="315">
        <f t="shared" ref="P108" si="134">O108</f>
        <v>0.14399999999999999</v>
      </c>
      <c r="Q108" s="315">
        <f t="shared" ref="Q108" si="135">P108</f>
        <v>0.14399999999999999</v>
      </c>
      <c r="R108" s="315">
        <f t="shared" ref="R108" si="136">Q108</f>
        <v>0.14399999999999999</v>
      </c>
      <c r="S108" s="315">
        <f t="shared" ref="S108" si="137">R108</f>
        <v>0.14399999999999999</v>
      </c>
      <c r="T108" s="315">
        <f t="shared" ref="T108" si="138">S108</f>
        <v>0.14399999999999999</v>
      </c>
      <c r="U108" s="315">
        <f t="shared" ref="U108" si="139">T108</f>
        <v>0.14399999999999999</v>
      </c>
      <c r="V108" s="315">
        <f t="shared" ref="V108" si="140">U108</f>
        <v>0.14399999999999999</v>
      </c>
      <c r="W108" s="315">
        <f t="shared" ref="W108" si="141">V108</f>
        <v>0.14399999999999999</v>
      </c>
      <c r="X108" s="315">
        <f t="shared" ref="X108" si="142">W108</f>
        <v>0.14399999999999999</v>
      </c>
      <c r="Y108" s="315">
        <f t="shared" ref="Y108" si="143">X108</f>
        <v>0.14399999999999999</v>
      </c>
      <c r="Z108" s="315">
        <f t="shared" ref="Z108" si="144">Y108</f>
        <v>0.14399999999999999</v>
      </c>
      <c r="AA108" s="315">
        <f t="shared" ref="AA108" si="145">Z108</f>
        <v>0.14399999999999999</v>
      </c>
      <c r="AB108" s="315">
        <f t="shared" ref="AB108" si="146">AA108</f>
        <v>0.14399999999999999</v>
      </c>
      <c r="AC108" s="315">
        <f t="shared" ref="AC108" si="147">AB108</f>
        <v>0.14399999999999999</v>
      </c>
      <c r="AD108" s="315">
        <f t="shared" ref="AD108" si="148">AC108</f>
        <v>0.14399999999999999</v>
      </c>
      <c r="AE108" s="315">
        <f t="shared" ref="AE108" si="149">AD108</f>
        <v>0.14399999999999999</v>
      </c>
      <c r="AF108" s="315">
        <f t="shared" ref="AF108" si="150">AE108</f>
        <v>0.14399999999999999</v>
      </c>
      <c r="AG108" s="315">
        <f t="shared" ref="AG108" si="151">AF108</f>
        <v>0.14399999999999999</v>
      </c>
      <c r="AH108" s="315">
        <f t="shared" ref="AH108" si="152">AG108</f>
        <v>0.14399999999999999</v>
      </c>
      <c r="AI108" s="315">
        <f t="shared" ref="AI108" si="153">AH108</f>
        <v>0.14399999999999999</v>
      </c>
      <c r="AJ108" s="315">
        <f t="shared" ref="AJ108" si="154">AI108</f>
        <v>0.14399999999999999</v>
      </c>
      <c r="AK108" s="315">
        <f t="shared" ref="AK108" si="155">AJ108</f>
        <v>0.14399999999999999</v>
      </c>
      <c r="AL108" s="315">
        <f t="shared" ref="AL108" si="156">AK108</f>
        <v>0.14399999999999999</v>
      </c>
      <c r="AM108" s="315">
        <f t="shared" ref="AM108" si="157">AL108</f>
        <v>0.14399999999999999</v>
      </c>
      <c r="AN108" s="315">
        <f t="shared" ref="AN108" si="158">AM108</f>
        <v>0.14399999999999999</v>
      </c>
      <c r="AO108" s="315">
        <f t="shared" ref="AO108" si="159">AN108</f>
        <v>0.14399999999999999</v>
      </c>
      <c r="AP108" s="315">
        <f t="shared" ref="AP108" si="160">AO108</f>
        <v>0.14399999999999999</v>
      </c>
      <c r="AQ108" s="315">
        <f t="shared" ref="AQ108" si="161">AP108</f>
        <v>0.14399999999999999</v>
      </c>
      <c r="AR108" s="315">
        <f t="shared" ref="AR108" si="162">AQ108</f>
        <v>0.14399999999999999</v>
      </c>
      <c r="AS108" s="315">
        <f t="shared" ref="AS108" si="163">AR108</f>
        <v>0.14399999999999999</v>
      </c>
      <c r="AT108" s="315">
        <f t="shared" ref="AT108" si="164">AS108</f>
        <v>0.14399999999999999</v>
      </c>
      <c r="AU108" s="315">
        <f t="shared" ref="AU108" si="165">AT108</f>
        <v>0.14399999999999999</v>
      </c>
      <c r="AV108" s="315">
        <f t="shared" ref="AV108" si="166">AU108</f>
        <v>0.14399999999999999</v>
      </c>
      <c r="AW108" s="159"/>
      <c r="AX108" s="160"/>
    </row>
    <row r="109" spans="1:50" x14ac:dyDescent="0.2">
      <c r="A109" s="154" t="str">
        <f ca="1">Language!A$551</f>
        <v>погашение кредита</v>
      </c>
      <c r="B109" s="44"/>
      <c r="C109" s="146" t="str">
        <f t="shared" ref="C109:C112" ca="1" si="167">CHOOSE(D109,CurName1,CurName2,CurName3)</f>
        <v>тыс. руб.</v>
      </c>
      <c r="D109" s="155">
        <f>D106</f>
        <v>1</v>
      </c>
      <c r="E109" s="57" t="s">
        <v>1040</v>
      </c>
      <c r="F109" s="57" t="s">
        <v>753</v>
      </c>
      <c r="G109" s="310">
        <v>0</v>
      </c>
      <c r="H109" s="310">
        <f>B107</f>
        <v>2176632</v>
      </c>
      <c r="I109" s="310">
        <v>0</v>
      </c>
      <c r="J109" s="310">
        <v>0</v>
      </c>
      <c r="K109" s="310">
        <v>0</v>
      </c>
      <c r="L109" s="310">
        <v>0</v>
      </c>
      <c r="M109" s="310">
        <v>0</v>
      </c>
      <c r="N109" s="310">
        <v>0</v>
      </c>
      <c r="O109" s="310">
        <v>0</v>
      </c>
      <c r="P109" s="310">
        <v>0</v>
      </c>
      <c r="Q109" s="310">
        <v>0</v>
      </c>
      <c r="R109" s="310">
        <v>0</v>
      </c>
      <c r="S109" s="310">
        <v>0</v>
      </c>
      <c r="T109" s="310">
        <v>0</v>
      </c>
      <c r="U109" s="310">
        <v>0</v>
      </c>
      <c r="V109" s="310">
        <v>0</v>
      </c>
      <c r="W109" s="310">
        <v>0</v>
      </c>
      <c r="X109" s="310">
        <v>0</v>
      </c>
      <c r="Y109" s="310">
        <v>0</v>
      </c>
      <c r="Z109" s="310">
        <v>0</v>
      </c>
      <c r="AA109" s="310">
        <v>0</v>
      </c>
      <c r="AB109" s="310">
        <v>0</v>
      </c>
      <c r="AC109" s="310">
        <v>0</v>
      </c>
      <c r="AD109" s="310">
        <v>0</v>
      </c>
      <c r="AE109" s="310">
        <v>0</v>
      </c>
      <c r="AF109" s="310">
        <v>0</v>
      </c>
      <c r="AG109" s="310">
        <v>0</v>
      </c>
      <c r="AH109" s="310">
        <v>0</v>
      </c>
      <c r="AI109" s="310">
        <v>0</v>
      </c>
      <c r="AJ109" s="310">
        <v>0</v>
      </c>
      <c r="AK109" s="310">
        <v>0</v>
      </c>
      <c r="AL109" s="310">
        <v>0</v>
      </c>
      <c r="AM109" s="310">
        <v>0</v>
      </c>
      <c r="AN109" s="310">
        <v>0</v>
      </c>
      <c r="AO109" s="310">
        <v>0</v>
      </c>
      <c r="AP109" s="310">
        <v>0</v>
      </c>
      <c r="AQ109" s="310">
        <v>0</v>
      </c>
      <c r="AR109" s="310">
        <v>0</v>
      </c>
      <c r="AS109" s="310">
        <v>0</v>
      </c>
      <c r="AT109" s="310">
        <v>0</v>
      </c>
      <c r="AU109" s="310">
        <v>0</v>
      </c>
      <c r="AV109" s="310">
        <v>0</v>
      </c>
      <c r="AW109" s="156"/>
      <c r="AX109" s="142">
        <f>SUM(G109:AW109)</f>
        <v>2176632</v>
      </c>
    </row>
    <row r="110" spans="1:50" x14ac:dyDescent="0.2">
      <c r="A110" s="161" t="str">
        <f ca="1">Language!A$552</f>
        <v>задолженность по кредиту</v>
      </c>
      <c r="B110" s="162"/>
      <c r="C110" s="146" t="str">
        <f t="shared" ca="1" si="167"/>
        <v>тыс. руб.</v>
      </c>
      <c r="D110" s="155">
        <f>D106</f>
        <v>1</v>
      </c>
      <c r="E110" s="57" t="s">
        <v>1041</v>
      </c>
      <c r="F110" s="57" t="s">
        <v>754</v>
      </c>
      <c r="G110" s="163">
        <f>$B107+SUM($G111:G111)-SUM($G112:G112)-SUM($G109:G109)</f>
        <v>2176632</v>
      </c>
      <c r="H110" s="163">
        <f>$B107+SUM($G111:H111)-SUM($G112:H112)-SUM($G109:H109)</f>
        <v>0</v>
      </c>
      <c r="I110" s="163">
        <f>$B107+SUM($G111:I111)-SUM($G112:I112)-SUM($G109:I109)</f>
        <v>0</v>
      </c>
      <c r="J110" s="163">
        <f>$B107+SUM($G111:J111)-SUM($G112:J112)-SUM($G109:J109)</f>
        <v>0</v>
      </c>
      <c r="K110" s="163">
        <f>$B107+SUM($G111:K111)-SUM($G112:K112)-SUM($G109:K109)</f>
        <v>0</v>
      </c>
      <c r="L110" s="163">
        <f>$B107+SUM($G111:L111)-SUM($G112:L112)-SUM($G109:L109)</f>
        <v>0</v>
      </c>
      <c r="M110" s="163">
        <f>$B107+SUM($G111:M111)-SUM($G112:M112)-SUM($G109:M109)</f>
        <v>0</v>
      </c>
      <c r="N110" s="163">
        <f>$B107+SUM($G111:N111)-SUM($G112:N112)-SUM($G109:N109)</f>
        <v>0</v>
      </c>
      <c r="O110" s="163">
        <f>$B107+SUM($G111:O111)-SUM($G112:O112)-SUM($G109:O109)</f>
        <v>0</v>
      </c>
      <c r="P110" s="163">
        <f>$B107+SUM($G111:P111)-SUM($G112:P112)-SUM($G109:P109)</f>
        <v>0</v>
      </c>
      <c r="Q110" s="163">
        <f>$B107+SUM($G111:Q111)-SUM($G112:Q112)-SUM($G109:Q109)</f>
        <v>0</v>
      </c>
      <c r="R110" s="163">
        <f>$B107+SUM($G111:R111)-SUM($G112:R112)-SUM($G109:R109)</f>
        <v>0</v>
      </c>
      <c r="S110" s="163">
        <f>$B107+SUM($G111:S111)-SUM($G112:S112)-SUM($G109:S109)</f>
        <v>0</v>
      </c>
      <c r="T110" s="163">
        <f>$B107+SUM($G111:T111)-SUM($G112:T112)-SUM($G109:T109)</f>
        <v>0</v>
      </c>
      <c r="U110" s="163">
        <f>$B107+SUM($G111:U111)-SUM($G112:U112)-SUM($G109:U109)</f>
        <v>0</v>
      </c>
      <c r="V110" s="163">
        <f>$B107+SUM($G111:V111)-SUM($G112:V112)-SUM($G109:V109)</f>
        <v>0</v>
      </c>
      <c r="W110" s="163">
        <f>$B107+SUM($G111:W111)-SUM($G112:W112)-SUM($G109:W109)</f>
        <v>0</v>
      </c>
      <c r="X110" s="163">
        <f>$B107+SUM($G111:X111)-SUM($G112:X112)-SUM($G109:X109)</f>
        <v>0</v>
      </c>
      <c r="Y110" s="163">
        <f>$B107+SUM($G111:Y111)-SUM($G112:Y112)-SUM($G109:Y109)</f>
        <v>0</v>
      </c>
      <c r="Z110" s="163">
        <f>$B107+SUM($G111:Z111)-SUM($G112:Z112)-SUM($G109:Z109)</f>
        <v>0</v>
      </c>
      <c r="AA110" s="163">
        <f>$B107+SUM($G111:AA111)-SUM($G112:AA112)-SUM($G109:AA109)</f>
        <v>0</v>
      </c>
      <c r="AB110" s="163">
        <f>$B107+SUM($G111:AB111)-SUM($G112:AB112)-SUM($G109:AB109)</f>
        <v>0</v>
      </c>
      <c r="AC110" s="163">
        <f>$B107+SUM($G111:AC111)-SUM($G112:AC112)-SUM($G109:AC109)</f>
        <v>0</v>
      </c>
      <c r="AD110" s="163">
        <f>$B107+SUM($G111:AD111)-SUM($G112:AD112)-SUM($G109:AD109)</f>
        <v>0</v>
      </c>
      <c r="AE110" s="163">
        <f>$B107+SUM($G111:AE111)-SUM($G112:AE112)-SUM($G109:AE109)</f>
        <v>0</v>
      </c>
      <c r="AF110" s="163">
        <f>$B107+SUM($G111:AF111)-SUM($G112:AF112)-SUM($G109:AF109)</f>
        <v>0</v>
      </c>
      <c r="AG110" s="163">
        <f>$B107+SUM($G111:AG111)-SUM($G112:AG112)-SUM($G109:AG109)</f>
        <v>0</v>
      </c>
      <c r="AH110" s="163">
        <f>$B107+SUM($G111:AH111)-SUM($G112:AH112)-SUM($G109:AH109)</f>
        <v>0</v>
      </c>
      <c r="AI110" s="163">
        <f>$B107+SUM($G111:AI111)-SUM($G112:AI112)-SUM($G109:AI109)</f>
        <v>0</v>
      </c>
      <c r="AJ110" s="163">
        <f>$B107+SUM($G111:AJ111)-SUM($G112:AJ112)-SUM($G109:AJ109)</f>
        <v>0</v>
      </c>
      <c r="AK110" s="163">
        <f>$B107+SUM($G111:AK111)-SUM($G112:AK112)-SUM($G109:AK109)</f>
        <v>0</v>
      </c>
      <c r="AL110" s="163">
        <f>$B107+SUM($G111:AL111)-SUM($G112:AL112)-SUM($G109:AL109)</f>
        <v>0</v>
      </c>
      <c r="AM110" s="163">
        <f>$B107+SUM($G111:AM111)-SUM($G112:AM112)-SUM($G109:AM109)</f>
        <v>0</v>
      </c>
      <c r="AN110" s="163">
        <f>$B107+SUM($G111:AN111)-SUM($G112:AN112)-SUM($G109:AN109)</f>
        <v>0</v>
      </c>
      <c r="AO110" s="163">
        <f>$B107+SUM($G111:AO111)-SUM($G112:AO112)-SUM($G109:AO109)</f>
        <v>0</v>
      </c>
      <c r="AP110" s="163">
        <f>$B107+SUM($G111:AP111)-SUM($G112:AP112)-SUM($G109:AP109)</f>
        <v>0</v>
      </c>
      <c r="AQ110" s="163">
        <f>$B107+SUM($G111:AQ111)-SUM($G112:AQ112)-SUM($G109:AQ109)</f>
        <v>0</v>
      </c>
      <c r="AR110" s="163">
        <f>$B107+SUM($G111:AR111)-SUM($G112:AR112)-SUM($G109:AR109)</f>
        <v>0</v>
      </c>
      <c r="AS110" s="163">
        <f>$B107+SUM($G111:AS111)-SUM($G112:AS112)-SUM($G109:AS109)</f>
        <v>0</v>
      </c>
      <c r="AT110" s="163">
        <f>$B107+SUM($G111:AT111)-SUM($G112:AT112)-SUM($G109:AT109)</f>
        <v>0</v>
      </c>
      <c r="AU110" s="163">
        <f>$B107+SUM($G111:AU111)-SUM($G112:AU112)-SUM($G109:AU109)</f>
        <v>0</v>
      </c>
      <c r="AV110" s="163">
        <f>$B107+SUM($G111:AV111)-SUM($G112:AV112)-SUM($G109:AV109)</f>
        <v>0</v>
      </c>
      <c r="AW110" s="164"/>
      <c r="AX110" s="165"/>
    </row>
    <row r="111" spans="1:50" collapsed="1" x14ac:dyDescent="0.2">
      <c r="A111" s="161" t="str">
        <f ca="1">Language!A$553</f>
        <v>начисленные проценты</v>
      </c>
      <c r="B111" s="166"/>
      <c r="C111" s="146" t="str">
        <f t="shared" ca="1" si="167"/>
        <v>тыс. руб.</v>
      </c>
      <c r="D111" s="155">
        <f>D106</f>
        <v>1</v>
      </c>
      <c r="E111" s="57" t="s">
        <v>1446</v>
      </c>
      <c r="F111" s="57" t="s">
        <v>753</v>
      </c>
      <c r="G111" s="163">
        <f>($B107 - SUM($G109:G109) + SUM($F111:F111) - SUM($F112:F112)) * G108/12*Параметры!G$31</f>
        <v>78358.751999999993</v>
      </c>
      <c r="H111" s="163">
        <f>($B107 - SUM($G109:H109) + SUM($F111:G111) - SUM($F112:G112)) * H108/12*Параметры!H$31</f>
        <v>0</v>
      </c>
      <c r="I111" s="163">
        <f>($B107 - SUM($G109:I109) + SUM($F111:H111) - SUM($F112:H112)) * I108/12*Параметры!I$31</f>
        <v>0</v>
      </c>
      <c r="J111" s="163">
        <f>($B107 - SUM($G109:J109) + SUM($F111:I111) - SUM($F112:I112)) * J108/12*Параметры!J$31</f>
        <v>0</v>
      </c>
      <c r="K111" s="163">
        <f>($B107 - SUM($G109:K109) + SUM($F111:J111) - SUM($F112:J112)) * K108/12*Параметры!K$31</f>
        <v>0</v>
      </c>
      <c r="L111" s="163">
        <f>($B107 - SUM($G109:L109) + SUM($F111:K111) - SUM($F112:K112)) * L108/12*Параметры!L$31</f>
        <v>0</v>
      </c>
      <c r="M111" s="163">
        <f>($B107 - SUM($G109:M109) + SUM($F111:L111) - SUM($F112:L112)) * M108/12*Параметры!M$31</f>
        <v>0</v>
      </c>
      <c r="N111" s="163">
        <f>($B107 - SUM($G109:N109) + SUM($F111:M111) - SUM($F112:M112)) * N108/12*Параметры!N$31</f>
        <v>0</v>
      </c>
      <c r="O111" s="163">
        <f>($B107 - SUM($G109:O109) + SUM($F111:N111) - SUM($F112:N112)) * O108/12*Параметры!O$31</f>
        <v>0</v>
      </c>
      <c r="P111" s="163">
        <f>($B107 - SUM($G109:P109) + SUM($F111:O111) - SUM($F112:O112)) * P108/12*Параметры!P$31</f>
        <v>0</v>
      </c>
      <c r="Q111" s="163">
        <f>($B107 - SUM($G109:Q109) + SUM($F111:P111) - SUM($F112:P112)) * Q108/12*Параметры!Q$31</f>
        <v>0</v>
      </c>
      <c r="R111" s="163">
        <f>($B107 - SUM($G109:R109) + SUM($F111:Q111) - SUM($F112:Q112)) * R108/12*Параметры!R$31</f>
        <v>0</v>
      </c>
      <c r="S111" s="163">
        <f>($B107 - SUM($G109:S109) + SUM($F111:R111) - SUM($F112:R112)) * S108/12*Параметры!S$31</f>
        <v>0</v>
      </c>
      <c r="T111" s="163">
        <f>($B107 - SUM($G109:T109) + SUM($F111:S111) - SUM($F112:S112)) * T108/12*Параметры!T$31</f>
        <v>0</v>
      </c>
      <c r="U111" s="163">
        <f>($B107 - SUM($G109:U109) + SUM($F111:T111) - SUM($F112:T112)) * U108/12*Параметры!U$31</f>
        <v>0</v>
      </c>
      <c r="V111" s="163">
        <f>($B107 - SUM($G109:V109) + SUM($F111:U111) - SUM($F112:U112)) * V108/12*Параметры!V$31</f>
        <v>0</v>
      </c>
      <c r="W111" s="163">
        <f>($B107 - SUM($G109:W109) + SUM($F111:V111) - SUM($F112:V112)) * W108/12*Параметры!W$31</f>
        <v>0</v>
      </c>
      <c r="X111" s="163">
        <f>($B107 - SUM($G109:X109) + SUM($F111:W111) - SUM($F112:W112)) * X108/12*Параметры!X$31</f>
        <v>0</v>
      </c>
      <c r="Y111" s="163">
        <f>($B107 - SUM($G109:Y109) + SUM($F111:X111) - SUM($F112:X112)) * Y108/12*Параметры!Y$31</f>
        <v>0</v>
      </c>
      <c r="Z111" s="163">
        <f>($B107 - SUM($G109:Z109) + SUM($F111:Y111) - SUM($F112:Y112)) * Z108/12*Параметры!Z$31</f>
        <v>0</v>
      </c>
      <c r="AA111" s="163">
        <f>($B107 - SUM($G109:AA109) + SUM($F111:Z111) - SUM($F112:Z112)) * AA108/12*Параметры!AA$31</f>
        <v>0</v>
      </c>
      <c r="AB111" s="163">
        <f>($B107 - SUM($G109:AB109) + SUM($F111:AA111) - SUM($F112:AA112)) * AB108/12*Параметры!AB$31</f>
        <v>0</v>
      </c>
      <c r="AC111" s="163">
        <f>($B107 - SUM($G109:AC109) + SUM($F111:AB111) - SUM($F112:AB112)) * AC108/12*Параметры!AC$31</f>
        <v>0</v>
      </c>
      <c r="AD111" s="163">
        <f>($B107 - SUM($G109:AD109) + SUM($F111:AC111) - SUM($F112:AC112)) * AD108/12*Параметры!AD$31</f>
        <v>0</v>
      </c>
      <c r="AE111" s="163">
        <f>($B107 - SUM($G109:AE109) + SUM($F111:AD111) - SUM($F112:AD112)) * AE108/12*Параметры!AE$31</f>
        <v>0</v>
      </c>
      <c r="AF111" s="163">
        <f>($B107 - SUM($G109:AF109) + SUM($F111:AE111) - SUM($F112:AE112)) * AF108/12*Параметры!AF$31</f>
        <v>0</v>
      </c>
      <c r="AG111" s="163">
        <f>($B107 - SUM($G109:AG109) + SUM($F111:AF111) - SUM($F112:AF112)) * AG108/12*Параметры!AG$31</f>
        <v>0</v>
      </c>
      <c r="AH111" s="163">
        <f>($B107 - SUM($G109:AH109) + SUM($F111:AG111) - SUM($F112:AG112)) * AH108/12*Параметры!AH$31</f>
        <v>0</v>
      </c>
      <c r="AI111" s="163">
        <f>($B107 - SUM($G109:AI109) + SUM($F111:AH111) - SUM($F112:AH112)) * AI108/12*Параметры!AI$31</f>
        <v>0</v>
      </c>
      <c r="AJ111" s="163">
        <f>($B107 - SUM($G109:AJ109) + SUM($F111:AI111) - SUM($F112:AI112)) * AJ108/12*Параметры!AJ$31</f>
        <v>0</v>
      </c>
      <c r="AK111" s="163">
        <f>($B107 - SUM($G109:AK109) + SUM($F111:AJ111) - SUM($F112:AJ112)) * AK108/12*Параметры!AK$31</f>
        <v>0</v>
      </c>
      <c r="AL111" s="163">
        <f>($B107 - SUM($G109:AL109) + SUM($F111:AK111) - SUM($F112:AK112)) * AL108/12*Параметры!AL$31</f>
        <v>0</v>
      </c>
      <c r="AM111" s="163">
        <f>($B107 - SUM($G109:AM109) + SUM($F111:AL111) - SUM($F112:AL112)) * AM108/12*Параметры!AM$31</f>
        <v>0</v>
      </c>
      <c r="AN111" s="163">
        <f>($B107 - SUM($G109:AN109) + SUM($F111:AM111) - SUM($F112:AM112)) * AN108/12*Параметры!AN$31</f>
        <v>0</v>
      </c>
      <c r="AO111" s="163">
        <f>($B107 - SUM($G109:AO109) + SUM($F111:AN111) - SUM($F112:AN112)) * AO108/12*Параметры!AO$31</f>
        <v>0</v>
      </c>
      <c r="AP111" s="163">
        <f>($B107 - SUM($G109:AP109) + SUM($F111:AO111) - SUM($F112:AO112)) * AP108/12*Параметры!AP$31</f>
        <v>0</v>
      </c>
      <c r="AQ111" s="163">
        <f>($B107 - SUM($G109:AQ109) + SUM($F111:AP111) - SUM($F112:AP112)) * AQ108/12*Параметры!AQ$31</f>
        <v>0</v>
      </c>
      <c r="AR111" s="163">
        <f>($B107 - SUM($G109:AR109) + SUM($F111:AQ111) - SUM($F112:AQ112)) * AR108/12*Параметры!AR$31</f>
        <v>0</v>
      </c>
      <c r="AS111" s="163">
        <f>($B107 - SUM($G109:AS109) + SUM($F111:AR111) - SUM($F112:AR112)) * AS108/12*Параметры!AS$31</f>
        <v>0</v>
      </c>
      <c r="AT111" s="163">
        <f>($B107 - SUM($G109:AT109) + SUM($F111:AS111) - SUM($F112:AS112)) * AT108/12*Параметры!AT$31</f>
        <v>0</v>
      </c>
      <c r="AU111" s="163">
        <f>($B107 - SUM($G109:AU109) + SUM($F111:AT111) - SUM($F112:AT112)) * AU108/12*Параметры!AU$31</f>
        <v>0</v>
      </c>
      <c r="AV111" s="163">
        <f>($B107 - SUM($G109:AV109) + SUM($F111:AU111) - SUM($F112:AU112)) * AV108/12*Параметры!AV$31</f>
        <v>0</v>
      </c>
      <c r="AW111" s="164"/>
      <c r="AX111" s="165">
        <f>SUM(G111:AW111)</f>
        <v>78358.751999999993</v>
      </c>
    </row>
    <row r="112" spans="1:50" hidden="1" outlineLevel="1" x14ac:dyDescent="0.2">
      <c r="A112" s="167" t="str">
        <f ca="1">Language!A$554</f>
        <v>выплаченные проценты</v>
      </c>
      <c r="B112" s="100"/>
      <c r="C112" s="82" t="str">
        <f t="shared" ca="1" si="167"/>
        <v>тыс. руб.</v>
      </c>
      <c r="D112" s="155">
        <f>D106</f>
        <v>1</v>
      </c>
      <c r="E112" s="57" t="s">
        <v>1449</v>
      </c>
      <c r="F112" s="57" t="s">
        <v>753</v>
      </c>
      <c r="G112" s="316">
        <f>G111</f>
        <v>78358.751999999993</v>
      </c>
      <c r="H112" s="316">
        <f t="shared" ref="H112:AV112" si="168">H111</f>
        <v>0</v>
      </c>
      <c r="I112" s="316">
        <f t="shared" si="168"/>
        <v>0</v>
      </c>
      <c r="J112" s="316">
        <f t="shared" si="168"/>
        <v>0</v>
      </c>
      <c r="K112" s="316">
        <f t="shared" si="168"/>
        <v>0</v>
      </c>
      <c r="L112" s="316">
        <f t="shared" si="168"/>
        <v>0</v>
      </c>
      <c r="M112" s="316">
        <f t="shared" si="168"/>
        <v>0</v>
      </c>
      <c r="N112" s="316">
        <f t="shared" si="168"/>
        <v>0</v>
      </c>
      <c r="O112" s="316">
        <f t="shared" si="168"/>
        <v>0</v>
      </c>
      <c r="P112" s="316">
        <f t="shared" si="168"/>
        <v>0</v>
      </c>
      <c r="Q112" s="316">
        <f t="shared" si="168"/>
        <v>0</v>
      </c>
      <c r="R112" s="316">
        <f t="shared" si="168"/>
        <v>0</v>
      </c>
      <c r="S112" s="316">
        <f t="shared" si="168"/>
        <v>0</v>
      </c>
      <c r="T112" s="316">
        <f t="shared" si="168"/>
        <v>0</v>
      </c>
      <c r="U112" s="316">
        <f t="shared" si="168"/>
        <v>0</v>
      </c>
      <c r="V112" s="316">
        <f t="shared" si="168"/>
        <v>0</v>
      </c>
      <c r="W112" s="316">
        <f t="shared" si="168"/>
        <v>0</v>
      </c>
      <c r="X112" s="316">
        <f t="shared" si="168"/>
        <v>0</v>
      </c>
      <c r="Y112" s="316">
        <f t="shared" si="168"/>
        <v>0</v>
      </c>
      <c r="Z112" s="316">
        <f t="shared" si="168"/>
        <v>0</v>
      </c>
      <c r="AA112" s="316">
        <f t="shared" si="168"/>
        <v>0</v>
      </c>
      <c r="AB112" s="316">
        <f t="shared" si="168"/>
        <v>0</v>
      </c>
      <c r="AC112" s="316">
        <f t="shared" si="168"/>
        <v>0</v>
      </c>
      <c r="AD112" s="316">
        <f t="shared" si="168"/>
        <v>0</v>
      </c>
      <c r="AE112" s="316">
        <f t="shared" si="168"/>
        <v>0</v>
      </c>
      <c r="AF112" s="316">
        <f t="shared" si="168"/>
        <v>0</v>
      </c>
      <c r="AG112" s="316">
        <f t="shared" si="168"/>
        <v>0</v>
      </c>
      <c r="AH112" s="316">
        <f t="shared" si="168"/>
        <v>0</v>
      </c>
      <c r="AI112" s="316">
        <f t="shared" si="168"/>
        <v>0</v>
      </c>
      <c r="AJ112" s="316">
        <f t="shared" si="168"/>
        <v>0</v>
      </c>
      <c r="AK112" s="316">
        <f t="shared" si="168"/>
        <v>0</v>
      </c>
      <c r="AL112" s="316">
        <f t="shared" si="168"/>
        <v>0</v>
      </c>
      <c r="AM112" s="316">
        <f t="shared" si="168"/>
        <v>0</v>
      </c>
      <c r="AN112" s="316">
        <f t="shared" si="168"/>
        <v>0</v>
      </c>
      <c r="AO112" s="316">
        <f t="shared" si="168"/>
        <v>0</v>
      </c>
      <c r="AP112" s="316">
        <f t="shared" si="168"/>
        <v>0</v>
      </c>
      <c r="AQ112" s="316">
        <f t="shared" si="168"/>
        <v>0</v>
      </c>
      <c r="AR112" s="316">
        <f t="shared" si="168"/>
        <v>0</v>
      </c>
      <c r="AS112" s="316">
        <f t="shared" si="168"/>
        <v>0</v>
      </c>
      <c r="AT112" s="316">
        <f t="shared" si="168"/>
        <v>0</v>
      </c>
      <c r="AU112" s="316">
        <f t="shared" si="168"/>
        <v>0</v>
      </c>
      <c r="AV112" s="316">
        <f t="shared" si="168"/>
        <v>0</v>
      </c>
      <c r="AW112" s="168"/>
      <c r="AX112" s="169">
        <f>SUM(G112:AW112)</f>
        <v>78358.751999999993</v>
      </c>
    </row>
    <row r="113" spans="1:50" x14ac:dyDescent="0.2">
      <c r="A113" s="65"/>
      <c r="D113" s="57"/>
      <c r="E113" s="57"/>
      <c r="F113" s="57"/>
      <c r="AW113" s="94"/>
      <c r="AX113" s="170"/>
    </row>
    <row r="114" spans="1:50" s="98" customFormat="1" collapsed="1" x14ac:dyDescent="0.2">
      <c r="A114" s="92" t="str">
        <f ca="1">Language!A$564</f>
        <v>Итого: Задолженность на конец периода</v>
      </c>
      <c r="B114" s="38"/>
      <c r="C114" s="124" t="str">
        <f t="shared" ref="C114:C125" ca="1" si="169">CurName1</f>
        <v>тыс. руб.</v>
      </c>
      <c r="D114" s="57"/>
      <c r="E114" s="57"/>
      <c r="F114" s="57" t="s">
        <v>754</v>
      </c>
      <c r="G114" s="143">
        <f>G120+G121</f>
        <v>2176632</v>
      </c>
      <c r="H114" s="143">
        <f t="shared" ref="H114:J114" si="170">H120+H121</f>
        <v>0</v>
      </c>
      <c r="I114" s="143">
        <f t="shared" si="170"/>
        <v>0</v>
      </c>
      <c r="J114" s="143">
        <f t="shared" si="170"/>
        <v>0</v>
      </c>
      <c r="K114" s="143">
        <f t="shared" ref="K114:L114" si="171">K120+K121</f>
        <v>0</v>
      </c>
      <c r="L114" s="143">
        <f t="shared" si="171"/>
        <v>0</v>
      </c>
      <c r="M114" s="143">
        <f t="shared" ref="M114:N114" si="172">M120+M121</f>
        <v>0</v>
      </c>
      <c r="N114" s="143">
        <f t="shared" si="172"/>
        <v>0</v>
      </c>
      <c r="O114" s="143">
        <f t="shared" ref="O114:P114" si="173">O120+O121</f>
        <v>0</v>
      </c>
      <c r="P114" s="143">
        <f t="shared" si="173"/>
        <v>0</v>
      </c>
      <c r="Q114" s="143">
        <f t="shared" ref="Q114:R114" si="174">Q120+Q121</f>
        <v>0</v>
      </c>
      <c r="R114" s="143">
        <f t="shared" si="174"/>
        <v>0</v>
      </c>
      <c r="S114" s="143">
        <f t="shared" ref="S114:T114" si="175">S120+S121</f>
        <v>0</v>
      </c>
      <c r="T114" s="143">
        <f t="shared" si="175"/>
        <v>0</v>
      </c>
      <c r="U114" s="143">
        <f t="shared" ref="U114:V114" si="176">U120+U121</f>
        <v>0</v>
      </c>
      <c r="V114" s="143">
        <f t="shared" si="176"/>
        <v>0</v>
      </c>
      <c r="W114" s="143">
        <f t="shared" ref="W114:X114" si="177">W120+W121</f>
        <v>0</v>
      </c>
      <c r="X114" s="143">
        <f t="shared" si="177"/>
        <v>0</v>
      </c>
      <c r="Y114" s="143">
        <f t="shared" ref="Y114:Z114" si="178">Y120+Y121</f>
        <v>0</v>
      </c>
      <c r="Z114" s="143">
        <f t="shared" si="178"/>
        <v>0</v>
      </c>
      <c r="AA114" s="143">
        <f t="shared" ref="AA114:AB114" si="179">AA120+AA121</f>
        <v>0</v>
      </c>
      <c r="AB114" s="143">
        <f t="shared" si="179"/>
        <v>0</v>
      </c>
      <c r="AC114" s="143">
        <f t="shared" ref="AC114:AD114" si="180">AC120+AC121</f>
        <v>0</v>
      </c>
      <c r="AD114" s="143">
        <f t="shared" si="180"/>
        <v>0</v>
      </c>
      <c r="AE114" s="143">
        <f t="shared" ref="AE114:AF114" si="181">AE120+AE121</f>
        <v>0</v>
      </c>
      <c r="AF114" s="143">
        <f t="shared" si="181"/>
        <v>0</v>
      </c>
      <c r="AG114" s="143">
        <f t="shared" ref="AG114:AH114" si="182">AG120+AG121</f>
        <v>0</v>
      </c>
      <c r="AH114" s="143">
        <f t="shared" si="182"/>
        <v>0</v>
      </c>
      <c r="AI114" s="143">
        <f t="shared" ref="AI114:AJ114" si="183">AI120+AI121</f>
        <v>0</v>
      </c>
      <c r="AJ114" s="143">
        <f t="shared" si="183"/>
        <v>0</v>
      </c>
      <c r="AK114" s="143">
        <f t="shared" ref="AK114:AL114" si="184">AK120+AK121</f>
        <v>0</v>
      </c>
      <c r="AL114" s="143">
        <f t="shared" si="184"/>
        <v>0</v>
      </c>
      <c r="AM114" s="143">
        <f t="shared" ref="AM114:AN114" si="185">AM120+AM121</f>
        <v>0</v>
      </c>
      <c r="AN114" s="143">
        <f t="shared" si="185"/>
        <v>0</v>
      </c>
      <c r="AO114" s="143">
        <f t="shared" ref="AO114:AP114" si="186">AO120+AO121</f>
        <v>0</v>
      </c>
      <c r="AP114" s="143">
        <f t="shared" si="186"/>
        <v>0</v>
      </c>
      <c r="AQ114" s="143">
        <f t="shared" ref="AQ114:AR114" si="187">AQ120+AQ121</f>
        <v>0</v>
      </c>
      <c r="AR114" s="143">
        <f t="shared" si="187"/>
        <v>0</v>
      </c>
      <c r="AS114" s="143">
        <f t="shared" ref="AS114:AT114" si="188">AS120+AS121</f>
        <v>0</v>
      </c>
      <c r="AT114" s="143">
        <f t="shared" si="188"/>
        <v>0</v>
      </c>
      <c r="AU114" s="143">
        <f t="shared" ref="AU114:AV114" si="189">AU120+AU121</f>
        <v>0</v>
      </c>
      <c r="AV114" s="143">
        <f t="shared" si="189"/>
        <v>0</v>
      </c>
      <c r="AW114" s="94"/>
      <c r="AX114" s="171"/>
    </row>
    <row r="115" spans="1:50" s="98" customFormat="1" hidden="1" outlineLevel="1" x14ac:dyDescent="0.2">
      <c r="A115" s="65" t="str">
        <f ca="1">Language!A$565</f>
        <v>Выплата основного долга</v>
      </c>
      <c r="B115" s="38"/>
      <c r="C115" s="124" t="str">
        <f t="shared" ca="1" si="169"/>
        <v>тыс. руб.</v>
      </c>
      <c r="D115" s="57"/>
      <c r="E115" s="57"/>
      <c r="F115" s="57" t="s">
        <v>1117</v>
      </c>
      <c r="G115" s="138">
        <f t="shared" ref="G115:AV115" si="190">SUM(G$109)</f>
        <v>0</v>
      </c>
      <c r="H115" s="138">
        <f t="shared" si="190"/>
        <v>2176632</v>
      </c>
      <c r="I115" s="138">
        <f t="shared" si="190"/>
        <v>0</v>
      </c>
      <c r="J115" s="138">
        <f t="shared" si="190"/>
        <v>0</v>
      </c>
      <c r="K115" s="138">
        <f t="shared" si="190"/>
        <v>0</v>
      </c>
      <c r="L115" s="138">
        <f t="shared" si="190"/>
        <v>0</v>
      </c>
      <c r="M115" s="138">
        <f t="shared" si="190"/>
        <v>0</v>
      </c>
      <c r="N115" s="138">
        <f t="shared" si="190"/>
        <v>0</v>
      </c>
      <c r="O115" s="138">
        <f t="shared" si="190"/>
        <v>0</v>
      </c>
      <c r="P115" s="138">
        <f t="shared" si="190"/>
        <v>0</v>
      </c>
      <c r="Q115" s="138">
        <f t="shared" si="190"/>
        <v>0</v>
      </c>
      <c r="R115" s="138">
        <f t="shared" si="190"/>
        <v>0</v>
      </c>
      <c r="S115" s="138">
        <f t="shared" si="190"/>
        <v>0</v>
      </c>
      <c r="T115" s="138">
        <f t="shared" si="190"/>
        <v>0</v>
      </c>
      <c r="U115" s="138">
        <f t="shared" si="190"/>
        <v>0</v>
      </c>
      <c r="V115" s="138">
        <f t="shared" si="190"/>
        <v>0</v>
      </c>
      <c r="W115" s="138">
        <f t="shared" si="190"/>
        <v>0</v>
      </c>
      <c r="X115" s="138">
        <f t="shared" si="190"/>
        <v>0</v>
      </c>
      <c r="Y115" s="138">
        <f t="shared" si="190"/>
        <v>0</v>
      </c>
      <c r="Z115" s="138">
        <f t="shared" si="190"/>
        <v>0</v>
      </c>
      <c r="AA115" s="138">
        <f t="shared" si="190"/>
        <v>0</v>
      </c>
      <c r="AB115" s="138">
        <f t="shared" si="190"/>
        <v>0</v>
      </c>
      <c r="AC115" s="138">
        <f t="shared" si="190"/>
        <v>0</v>
      </c>
      <c r="AD115" s="138">
        <f t="shared" si="190"/>
        <v>0</v>
      </c>
      <c r="AE115" s="138">
        <f t="shared" si="190"/>
        <v>0</v>
      </c>
      <c r="AF115" s="138">
        <f t="shared" si="190"/>
        <v>0</v>
      </c>
      <c r="AG115" s="138">
        <f t="shared" si="190"/>
        <v>0</v>
      </c>
      <c r="AH115" s="138">
        <f t="shared" si="190"/>
        <v>0</v>
      </c>
      <c r="AI115" s="138">
        <f t="shared" si="190"/>
        <v>0</v>
      </c>
      <c r="AJ115" s="138">
        <f t="shared" si="190"/>
        <v>0</v>
      </c>
      <c r="AK115" s="138">
        <f t="shared" si="190"/>
        <v>0</v>
      </c>
      <c r="AL115" s="138">
        <f t="shared" si="190"/>
        <v>0</v>
      </c>
      <c r="AM115" s="138">
        <f t="shared" si="190"/>
        <v>0</v>
      </c>
      <c r="AN115" s="138">
        <f t="shared" si="190"/>
        <v>0</v>
      </c>
      <c r="AO115" s="138">
        <f t="shared" si="190"/>
        <v>0</v>
      </c>
      <c r="AP115" s="138">
        <f t="shared" si="190"/>
        <v>0</v>
      </c>
      <c r="AQ115" s="138">
        <f t="shared" si="190"/>
        <v>0</v>
      </c>
      <c r="AR115" s="138">
        <f t="shared" si="190"/>
        <v>0</v>
      </c>
      <c r="AS115" s="138">
        <f t="shared" si="190"/>
        <v>0</v>
      </c>
      <c r="AT115" s="138">
        <f t="shared" si="190"/>
        <v>0</v>
      </c>
      <c r="AU115" s="138">
        <f t="shared" si="190"/>
        <v>0</v>
      </c>
      <c r="AV115" s="138">
        <f t="shared" si="190"/>
        <v>0</v>
      </c>
      <c r="AW115" s="94"/>
      <c r="AX115" s="142">
        <f>SUM(G115:AW115)</f>
        <v>2176632</v>
      </c>
    </row>
    <row r="116" spans="1:50" s="98" customFormat="1" hidden="1" outlineLevel="1" x14ac:dyDescent="0.2">
      <c r="A116" s="65" t="str">
        <f ca="1">Language!A$566</f>
        <v>Проценты начисленные</v>
      </c>
      <c r="B116" s="38"/>
      <c r="C116" s="124" t="str">
        <f t="shared" ca="1" si="169"/>
        <v>тыс. руб.</v>
      </c>
      <c r="D116" s="57"/>
      <c r="E116" s="57"/>
      <c r="F116" s="57" t="s">
        <v>1447</v>
      </c>
      <c r="G116" s="138">
        <f t="shared" ref="G116:AV116" si="191">SUM(G$111)</f>
        <v>78358.751999999993</v>
      </c>
      <c r="H116" s="138">
        <f t="shared" si="191"/>
        <v>0</v>
      </c>
      <c r="I116" s="138">
        <f t="shared" si="191"/>
        <v>0</v>
      </c>
      <c r="J116" s="138">
        <f t="shared" si="191"/>
        <v>0</v>
      </c>
      <c r="K116" s="138">
        <f t="shared" si="191"/>
        <v>0</v>
      </c>
      <c r="L116" s="138">
        <f t="shared" si="191"/>
        <v>0</v>
      </c>
      <c r="M116" s="138">
        <f t="shared" si="191"/>
        <v>0</v>
      </c>
      <c r="N116" s="138">
        <f t="shared" si="191"/>
        <v>0</v>
      </c>
      <c r="O116" s="138">
        <f t="shared" si="191"/>
        <v>0</v>
      </c>
      <c r="P116" s="138">
        <f t="shared" si="191"/>
        <v>0</v>
      </c>
      <c r="Q116" s="138">
        <f t="shared" si="191"/>
        <v>0</v>
      </c>
      <c r="R116" s="138">
        <f t="shared" si="191"/>
        <v>0</v>
      </c>
      <c r="S116" s="138">
        <f t="shared" si="191"/>
        <v>0</v>
      </c>
      <c r="T116" s="138">
        <f t="shared" si="191"/>
        <v>0</v>
      </c>
      <c r="U116" s="138">
        <f t="shared" si="191"/>
        <v>0</v>
      </c>
      <c r="V116" s="138">
        <f t="shared" si="191"/>
        <v>0</v>
      </c>
      <c r="W116" s="138">
        <f t="shared" si="191"/>
        <v>0</v>
      </c>
      <c r="X116" s="138">
        <f t="shared" si="191"/>
        <v>0</v>
      </c>
      <c r="Y116" s="138">
        <f t="shared" si="191"/>
        <v>0</v>
      </c>
      <c r="Z116" s="138">
        <f t="shared" si="191"/>
        <v>0</v>
      </c>
      <c r="AA116" s="138">
        <f t="shared" si="191"/>
        <v>0</v>
      </c>
      <c r="AB116" s="138">
        <f t="shared" si="191"/>
        <v>0</v>
      </c>
      <c r="AC116" s="138">
        <f t="shared" si="191"/>
        <v>0</v>
      </c>
      <c r="AD116" s="138">
        <f t="shared" si="191"/>
        <v>0</v>
      </c>
      <c r="AE116" s="138">
        <f t="shared" si="191"/>
        <v>0</v>
      </c>
      <c r="AF116" s="138">
        <f t="shared" si="191"/>
        <v>0</v>
      </c>
      <c r="AG116" s="138">
        <f t="shared" si="191"/>
        <v>0</v>
      </c>
      <c r="AH116" s="138">
        <f t="shared" si="191"/>
        <v>0</v>
      </c>
      <c r="AI116" s="138">
        <f t="shared" si="191"/>
        <v>0</v>
      </c>
      <c r="AJ116" s="138">
        <f t="shared" si="191"/>
        <v>0</v>
      </c>
      <c r="AK116" s="138">
        <f t="shared" si="191"/>
        <v>0</v>
      </c>
      <c r="AL116" s="138">
        <f t="shared" si="191"/>
        <v>0</v>
      </c>
      <c r="AM116" s="138">
        <f t="shared" si="191"/>
        <v>0</v>
      </c>
      <c r="AN116" s="138">
        <f t="shared" si="191"/>
        <v>0</v>
      </c>
      <c r="AO116" s="138">
        <f t="shared" si="191"/>
        <v>0</v>
      </c>
      <c r="AP116" s="138">
        <f t="shared" si="191"/>
        <v>0</v>
      </c>
      <c r="AQ116" s="138">
        <f t="shared" si="191"/>
        <v>0</v>
      </c>
      <c r="AR116" s="138">
        <f t="shared" si="191"/>
        <v>0</v>
      </c>
      <c r="AS116" s="138">
        <f t="shared" si="191"/>
        <v>0</v>
      </c>
      <c r="AT116" s="138">
        <f t="shared" si="191"/>
        <v>0</v>
      </c>
      <c r="AU116" s="138">
        <f t="shared" si="191"/>
        <v>0</v>
      </c>
      <c r="AV116" s="138">
        <f t="shared" si="191"/>
        <v>0</v>
      </c>
      <c r="AW116" s="94"/>
      <c r="AX116" s="142">
        <f>SUM(G116:AW116)</f>
        <v>78358.751999999993</v>
      </c>
    </row>
    <row r="117" spans="1:50" s="98" customFormat="1" hidden="1" outlineLevel="1" x14ac:dyDescent="0.2">
      <c r="A117" s="65" t="str">
        <f ca="1">Language!A$567</f>
        <v>Проценты уплаченные</v>
      </c>
      <c r="B117" s="38"/>
      <c r="C117" s="124" t="str">
        <f t="shared" ca="1" si="169"/>
        <v>тыс. руб.</v>
      </c>
      <c r="D117" s="57"/>
      <c r="E117" s="57"/>
      <c r="F117" s="57" t="s">
        <v>1448</v>
      </c>
      <c r="G117" s="138">
        <f t="shared" ref="G117:AV117" si="192">SUM(G$112)</f>
        <v>78358.751999999993</v>
      </c>
      <c r="H117" s="138">
        <f t="shared" si="192"/>
        <v>0</v>
      </c>
      <c r="I117" s="138">
        <f t="shared" si="192"/>
        <v>0</v>
      </c>
      <c r="J117" s="138">
        <f t="shared" si="192"/>
        <v>0</v>
      </c>
      <c r="K117" s="138">
        <f t="shared" si="192"/>
        <v>0</v>
      </c>
      <c r="L117" s="138">
        <f t="shared" si="192"/>
        <v>0</v>
      </c>
      <c r="M117" s="138">
        <f t="shared" si="192"/>
        <v>0</v>
      </c>
      <c r="N117" s="138">
        <f t="shared" si="192"/>
        <v>0</v>
      </c>
      <c r="O117" s="138">
        <f t="shared" si="192"/>
        <v>0</v>
      </c>
      <c r="P117" s="138">
        <f t="shared" si="192"/>
        <v>0</v>
      </c>
      <c r="Q117" s="138">
        <f t="shared" si="192"/>
        <v>0</v>
      </c>
      <c r="R117" s="138">
        <f t="shared" si="192"/>
        <v>0</v>
      </c>
      <c r="S117" s="138">
        <f t="shared" si="192"/>
        <v>0</v>
      </c>
      <c r="T117" s="138">
        <f t="shared" si="192"/>
        <v>0</v>
      </c>
      <c r="U117" s="138">
        <f t="shared" si="192"/>
        <v>0</v>
      </c>
      <c r="V117" s="138">
        <f t="shared" si="192"/>
        <v>0</v>
      </c>
      <c r="W117" s="138">
        <f t="shared" si="192"/>
        <v>0</v>
      </c>
      <c r="X117" s="138">
        <f t="shared" si="192"/>
        <v>0</v>
      </c>
      <c r="Y117" s="138">
        <f t="shared" si="192"/>
        <v>0</v>
      </c>
      <c r="Z117" s="138">
        <f t="shared" si="192"/>
        <v>0</v>
      </c>
      <c r="AA117" s="138">
        <f t="shared" si="192"/>
        <v>0</v>
      </c>
      <c r="AB117" s="138">
        <f t="shared" si="192"/>
        <v>0</v>
      </c>
      <c r="AC117" s="138">
        <f t="shared" si="192"/>
        <v>0</v>
      </c>
      <c r="AD117" s="138">
        <f t="shared" si="192"/>
        <v>0</v>
      </c>
      <c r="AE117" s="138">
        <f t="shared" si="192"/>
        <v>0</v>
      </c>
      <c r="AF117" s="138">
        <f t="shared" si="192"/>
        <v>0</v>
      </c>
      <c r="AG117" s="138">
        <f t="shared" si="192"/>
        <v>0</v>
      </c>
      <c r="AH117" s="138">
        <f t="shared" si="192"/>
        <v>0</v>
      </c>
      <c r="AI117" s="138">
        <f t="shared" si="192"/>
        <v>0</v>
      </c>
      <c r="AJ117" s="138">
        <f t="shared" si="192"/>
        <v>0</v>
      </c>
      <c r="AK117" s="138">
        <f t="shared" si="192"/>
        <v>0</v>
      </c>
      <c r="AL117" s="138">
        <f t="shared" si="192"/>
        <v>0</v>
      </c>
      <c r="AM117" s="138">
        <f t="shared" si="192"/>
        <v>0</v>
      </c>
      <c r="AN117" s="138">
        <f t="shared" si="192"/>
        <v>0</v>
      </c>
      <c r="AO117" s="138">
        <f t="shared" si="192"/>
        <v>0</v>
      </c>
      <c r="AP117" s="138">
        <f t="shared" si="192"/>
        <v>0</v>
      </c>
      <c r="AQ117" s="138">
        <f t="shared" si="192"/>
        <v>0</v>
      </c>
      <c r="AR117" s="138">
        <f t="shared" si="192"/>
        <v>0</v>
      </c>
      <c r="AS117" s="138">
        <f t="shared" si="192"/>
        <v>0</v>
      </c>
      <c r="AT117" s="138">
        <f t="shared" si="192"/>
        <v>0</v>
      </c>
      <c r="AU117" s="138">
        <f t="shared" si="192"/>
        <v>0</v>
      </c>
      <c r="AV117" s="138">
        <f t="shared" si="192"/>
        <v>0</v>
      </c>
      <c r="AW117" s="94"/>
      <c r="AX117" s="142">
        <f>SUM(G117:AW117)</f>
        <v>78358.751999999993</v>
      </c>
    </row>
    <row r="118" spans="1:50" s="98" customFormat="1" hidden="1" outlineLevel="1" x14ac:dyDescent="0.2">
      <c r="A118" s="65" t="str">
        <f ca="1">Language!A$568</f>
        <v>Долгосрочные кредиты на начало периода</v>
      </c>
      <c r="B118" s="38"/>
      <c r="C118" s="124" t="str">
        <f t="shared" ca="1" si="169"/>
        <v>тыс. руб.</v>
      </c>
      <c r="D118" s="57"/>
      <c r="E118" s="57"/>
      <c r="F118" s="57" t="s">
        <v>1128</v>
      </c>
      <c r="G118" s="138">
        <f t="shared" ref="G118:AV118" si="193">SUM(G$107)</f>
        <v>2176632</v>
      </c>
      <c r="H118" s="138">
        <f t="shared" si="193"/>
        <v>2176632</v>
      </c>
      <c r="I118" s="138">
        <f t="shared" si="193"/>
        <v>0</v>
      </c>
      <c r="J118" s="138">
        <f t="shared" si="193"/>
        <v>0</v>
      </c>
      <c r="K118" s="138">
        <f t="shared" si="193"/>
        <v>0</v>
      </c>
      <c r="L118" s="138">
        <f t="shared" si="193"/>
        <v>0</v>
      </c>
      <c r="M118" s="138">
        <f t="shared" si="193"/>
        <v>0</v>
      </c>
      <c r="N118" s="138">
        <f t="shared" si="193"/>
        <v>0</v>
      </c>
      <c r="O118" s="138">
        <f t="shared" si="193"/>
        <v>0</v>
      </c>
      <c r="P118" s="138">
        <f t="shared" si="193"/>
        <v>0</v>
      </c>
      <c r="Q118" s="138">
        <f t="shared" si="193"/>
        <v>0</v>
      </c>
      <c r="R118" s="138">
        <f t="shared" si="193"/>
        <v>0</v>
      </c>
      <c r="S118" s="138">
        <f t="shared" si="193"/>
        <v>0</v>
      </c>
      <c r="T118" s="138">
        <f t="shared" si="193"/>
        <v>0</v>
      </c>
      <c r="U118" s="138">
        <f t="shared" si="193"/>
        <v>0</v>
      </c>
      <c r="V118" s="138">
        <f t="shared" si="193"/>
        <v>0</v>
      </c>
      <c r="W118" s="138">
        <f t="shared" si="193"/>
        <v>0</v>
      </c>
      <c r="X118" s="138">
        <f t="shared" si="193"/>
        <v>0</v>
      </c>
      <c r="Y118" s="138">
        <f t="shared" si="193"/>
        <v>0</v>
      </c>
      <c r="Z118" s="138">
        <f t="shared" si="193"/>
        <v>0</v>
      </c>
      <c r="AA118" s="138">
        <f t="shared" si="193"/>
        <v>0</v>
      </c>
      <c r="AB118" s="138">
        <f t="shared" si="193"/>
        <v>0</v>
      </c>
      <c r="AC118" s="138">
        <f t="shared" si="193"/>
        <v>0</v>
      </c>
      <c r="AD118" s="138">
        <f t="shared" si="193"/>
        <v>0</v>
      </c>
      <c r="AE118" s="138">
        <f t="shared" si="193"/>
        <v>0</v>
      </c>
      <c r="AF118" s="138">
        <f t="shared" si="193"/>
        <v>0</v>
      </c>
      <c r="AG118" s="138">
        <f t="shared" si="193"/>
        <v>0</v>
      </c>
      <c r="AH118" s="138">
        <f t="shared" si="193"/>
        <v>0</v>
      </c>
      <c r="AI118" s="138">
        <f t="shared" si="193"/>
        <v>0</v>
      </c>
      <c r="AJ118" s="138">
        <f t="shared" si="193"/>
        <v>0</v>
      </c>
      <c r="AK118" s="138">
        <f t="shared" si="193"/>
        <v>0</v>
      </c>
      <c r="AL118" s="138">
        <f t="shared" si="193"/>
        <v>0</v>
      </c>
      <c r="AM118" s="138">
        <f t="shared" si="193"/>
        <v>0</v>
      </c>
      <c r="AN118" s="138">
        <f t="shared" si="193"/>
        <v>0</v>
      </c>
      <c r="AO118" s="138">
        <f t="shared" si="193"/>
        <v>0</v>
      </c>
      <c r="AP118" s="138">
        <f t="shared" si="193"/>
        <v>0</v>
      </c>
      <c r="AQ118" s="138">
        <f t="shared" si="193"/>
        <v>0</v>
      </c>
      <c r="AR118" s="138">
        <f t="shared" si="193"/>
        <v>0</v>
      </c>
      <c r="AS118" s="138">
        <f t="shared" si="193"/>
        <v>0</v>
      </c>
      <c r="AT118" s="138">
        <f t="shared" si="193"/>
        <v>0</v>
      </c>
      <c r="AU118" s="138">
        <f t="shared" si="193"/>
        <v>0</v>
      </c>
      <c r="AV118" s="138">
        <f t="shared" si="193"/>
        <v>0</v>
      </c>
      <c r="AW118" s="94"/>
      <c r="AX118" s="171"/>
    </row>
    <row r="119" spans="1:50" s="98" customFormat="1" hidden="1" outlineLevel="1" x14ac:dyDescent="0.2">
      <c r="A119" s="65" t="str">
        <f ca="1">Language!A$569</f>
        <v>Краткосрочные кредиты на начало периода</v>
      </c>
      <c r="B119" s="38"/>
      <c r="C119" s="124" t="str">
        <f t="shared" ca="1" si="169"/>
        <v>тыс. руб.</v>
      </c>
      <c r="D119" s="57"/>
      <c r="E119" s="57"/>
      <c r="F119" s="57" t="s">
        <v>1129</v>
      </c>
      <c r="G119" s="138">
        <v>0</v>
      </c>
      <c r="H119" s="138">
        <v>0</v>
      </c>
      <c r="I119" s="138"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38">
        <v>0</v>
      </c>
      <c r="Z119" s="138">
        <v>0</v>
      </c>
      <c r="AA119" s="138">
        <v>0</v>
      </c>
      <c r="AB119" s="138">
        <v>0</v>
      </c>
      <c r="AC119" s="138">
        <v>0</v>
      </c>
      <c r="AD119" s="138">
        <v>0</v>
      </c>
      <c r="AE119" s="138">
        <v>0</v>
      </c>
      <c r="AF119" s="138">
        <v>0</v>
      </c>
      <c r="AG119" s="138">
        <v>0</v>
      </c>
      <c r="AH119" s="138">
        <v>0</v>
      </c>
      <c r="AI119" s="138">
        <v>0</v>
      </c>
      <c r="AJ119" s="138">
        <v>0</v>
      </c>
      <c r="AK119" s="138">
        <v>0</v>
      </c>
      <c r="AL119" s="138">
        <v>0</v>
      </c>
      <c r="AM119" s="138">
        <v>0</v>
      </c>
      <c r="AN119" s="138">
        <v>0</v>
      </c>
      <c r="AO119" s="138">
        <v>0</v>
      </c>
      <c r="AP119" s="138">
        <v>0</v>
      </c>
      <c r="AQ119" s="138">
        <v>0</v>
      </c>
      <c r="AR119" s="138">
        <v>0</v>
      </c>
      <c r="AS119" s="138">
        <v>0</v>
      </c>
      <c r="AT119" s="138">
        <v>0</v>
      </c>
      <c r="AU119" s="138">
        <v>0</v>
      </c>
      <c r="AV119" s="138">
        <v>0</v>
      </c>
      <c r="AW119" s="94"/>
      <c r="AX119" s="171"/>
    </row>
    <row r="120" spans="1:50" s="98" customFormat="1" hidden="1" outlineLevel="1" x14ac:dyDescent="0.2">
      <c r="A120" s="65" t="str">
        <f ca="1">Language!A$570</f>
        <v>Долгосрочные кредиты на конец периода</v>
      </c>
      <c r="B120" s="38"/>
      <c r="C120" s="124" t="str">
        <f t="shared" ca="1" si="169"/>
        <v>тыс. руб.</v>
      </c>
      <c r="D120" s="57"/>
      <c r="E120" s="57"/>
      <c r="F120" s="57" t="s">
        <v>1118</v>
      </c>
      <c r="G120" s="138">
        <f t="shared" ref="G120:AV120" si="194">SUM(G$110)</f>
        <v>2176632</v>
      </c>
      <c r="H120" s="138">
        <f t="shared" si="194"/>
        <v>0</v>
      </c>
      <c r="I120" s="138">
        <f t="shared" si="194"/>
        <v>0</v>
      </c>
      <c r="J120" s="138">
        <f t="shared" si="194"/>
        <v>0</v>
      </c>
      <c r="K120" s="138">
        <f t="shared" si="194"/>
        <v>0</v>
      </c>
      <c r="L120" s="138">
        <f t="shared" si="194"/>
        <v>0</v>
      </c>
      <c r="M120" s="138">
        <f t="shared" si="194"/>
        <v>0</v>
      </c>
      <c r="N120" s="138">
        <f t="shared" si="194"/>
        <v>0</v>
      </c>
      <c r="O120" s="138">
        <f t="shared" si="194"/>
        <v>0</v>
      </c>
      <c r="P120" s="138">
        <f t="shared" si="194"/>
        <v>0</v>
      </c>
      <c r="Q120" s="138">
        <f t="shared" si="194"/>
        <v>0</v>
      </c>
      <c r="R120" s="138">
        <f t="shared" si="194"/>
        <v>0</v>
      </c>
      <c r="S120" s="138">
        <f t="shared" si="194"/>
        <v>0</v>
      </c>
      <c r="T120" s="138">
        <f t="shared" si="194"/>
        <v>0</v>
      </c>
      <c r="U120" s="138">
        <f t="shared" si="194"/>
        <v>0</v>
      </c>
      <c r="V120" s="138">
        <f t="shared" si="194"/>
        <v>0</v>
      </c>
      <c r="W120" s="138">
        <f t="shared" si="194"/>
        <v>0</v>
      </c>
      <c r="X120" s="138">
        <f t="shared" si="194"/>
        <v>0</v>
      </c>
      <c r="Y120" s="138">
        <f t="shared" si="194"/>
        <v>0</v>
      </c>
      <c r="Z120" s="138">
        <f t="shared" si="194"/>
        <v>0</v>
      </c>
      <c r="AA120" s="138">
        <f t="shared" si="194"/>
        <v>0</v>
      </c>
      <c r="AB120" s="138">
        <f t="shared" si="194"/>
        <v>0</v>
      </c>
      <c r="AC120" s="138">
        <f t="shared" si="194"/>
        <v>0</v>
      </c>
      <c r="AD120" s="138">
        <f t="shared" si="194"/>
        <v>0</v>
      </c>
      <c r="AE120" s="138">
        <f t="shared" si="194"/>
        <v>0</v>
      </c>
      <c r="AF120" s="138">
        <f t="shared" si="194"/>
        <v>0</v>
      </c>
      <c r="AG120" s="138">
        <f t="shared" si="194"/>
        <v>0</v>
      </c>
      <c r="AH120" s="138">
        <f t="shared" si="194"/>
        <v>0</v>
      </c>
      <c r="AI120" s="138">
        <f t="shared" si="194"/>
        <v>0</v>
      </c>
      <c r="AJ120" s="138">
        <f t="shared" si="194"/>
        <v>0</v>
      </c>
      <c r="AK120" s="138">
        <f t="shared" si="194"/>
        <v>0</v>
      </c>
      <c r="AL120" s="138">
        <f t="shared" si="194"/>
        <v>0</v>
      </c>
      <c r="AM120" s="138">
        <f t="shared" si="194"/>
        <v>0</v>
      </c>
      <c r="AN120" s="138">
        <f t="shared" si="194"/>
        <v>0</v>
      </c>
      <c r="AO120" s="138">
        <f t="shared" si="194"/>
        <v>0</v>
      </c>
      <c r="AP120" s="138">
        <f t="shared" si="194"/>
        <v>0</v>
      </c>
      <c r="AQ120" s="138">
        <f t="shared" si="194"/>
        <v>0</v>
      </c>
      <c r="AR120" s="138">
        <f t="shared" si="194"/>
        <v>0</v>
      </c>
      <c r="AS120" s="138">
        <f t="shared" si="194"/>
        <v>0</v>
      </c>
      <c r="AT120" s="138">
        <f t="shared" si="194"/>
        <v>0</v>
      </c>
      <c r="AU120" s="138">
        <f t="shared" si="194"/>
        <v>0</v>
      </c>
      <c r="AV120" s="138">
        <f t="shared" si="194"/>
        <v>0</v>
      </c>
      <c r="AW120" s="94"/>
      <c r="AX120" s="171"/>
    </row>
    <row r="121" spans="1:50" s="98" customFormat="1" hidden="1" outlineLevel="1" x14ac:dyDescent="0.2">
      <c r="A121" s="65" t="str">
        <f ca="1">Language!A$571</f>
        <v>Краткосрочные кредиты на конец периода</v>
      </c>
      <c r="B121" s="38"/>
      <c r="C121" s="124" t="str">
        <f t="shared" ca="1" si="169"/>
        <v>тыс. руб.</v>
      </c>
      <c r="D121" s="57"/>
      <c r="E121" s="57"/>
      <c r="F121" s="57" t="s">
        <v>1119</v>
      </c>
      <c r="G121" s="138">
        <v>0</v>
      </c>
      <c r="H121" s="138">
        <v>0</v>
      </c>
      <c r="I121" s="138">
        <v>0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38">
        <v>0</v>
      </c>
      <c r="Z121" s="138">
        <v>0</v>
      </c>
      <c r="AA121" s="138">
        <v>0</v>
      </c>
      <c r="AB121" s="138">
        <v>0</v>
      </c>
      <c r="AC121" s="138">
        <v>0</v>
      </c>
      <c r="AD121" s="138">
        <v>0</v>
      </c>
      <c r="AE121" s="138">
        <v>0</v>
      </c>
      <c r="AF121" s="138">
        <v>0</v>
      </c>
      <c r="AG121" s="138">
        <v>0</v>
      </c>
      <c r="AH121" s="138">
        <v>0</v>
      </c>
      <c r="AI121" s="138">
        <v>0</v>
      </c>
      <c r="AJ121" s="138">
        <v>0</v>
      </c>
      <c r="AK121" s="138">
        <v>0</v>
      </c>
      <c r="AL121" s="138">
        <v>0</v>
      </c>
      <c r="AM121" s="138">
        <v>0</v>
      </c>
      <c r="AN121" s="138">
        <v>0</v>
      </c>
      <c r="AO121" s="138">
        <v>0</v>
      </c>
      <c r="AP121" s="138">
        <v>0</v>
      </c>
      <c r="AQ121" s="138">
        <v>0</v>
      </c>
      <c r="AR121" s="138">
        <v>0</v>
      </c>
      <c r="AS121" s="138">
        <v>0</v>
      </c>
      <c r="AT121" s="138">
        <v>0</v>
      </c>
      <c r="AU121" s="138">
        <v>0</v>
      </c>
      <c r="AV121" s="138">
        <v>0</v>
      </c>
      <c r="AW121" s="94"/>
      <c r="AX121" s="171"/>
    </row>
    <row r="122" spans="1:50" s="98" customFormat="1" hidden="1" outlineLevel="1" x14ac:dyDescent="0.2">
      <c r="A122" s="65" t="str">
        <f ca="1">Language!A$572</f>
        <v>Курсовые разницы</v>
      </c>
      <c r="B122" s="38"/>
      <c r="C122" s="124" t="str">
        <f t="shared" ca="1" si="169"/>
        <v>тыс. руб.</v>
      </c>
      <c r="D122" s="57"/>
      <c r="E122" s="57"/>
      <c r="F122" s="57" t="s">
        <v>753</v>
      </c>
      <c r="G122" s="138">
        <f>IF(G$2=1,0,$G118+$G119-SUM($F115:G115)-G120-G121+SUM($F116:G116)-SUM($F117:G117)-SUM($F122:F122))</f>
        <v>0</v>
      </c>
      <c r="H122" s="138">
        <f>IF(H$2=1,0,$G118+$G119-SUM($F115:H115)-H120-H121+SUM($F116:H116)-SUM($F117:H117)-SUM($F122:G122))</f>
        <v>0</v>
      </c>
      <c r="I122" s="138">
        <f>IF(I$2=1,0,$G118+$G119-SUM($F115:I115)-I120-I121+SUM($F116:I116)-SUM($F117:I117)-SUM($F122:H122))</f>
        <v>0</v>
      </c>
      <c r="J122" s="138">
        <f>IF(J$2=1,0,$G118+$G119-SUM($F115:J115)-J120-J121+SUM($F116:J116)-SUM($F117:J117)-SUM($F122:I122))</f>
        <v>0</v>
      </c>
      <c r="K122" s="138">
        <f>IF(K$2=1,0,$G118+$G119-SUM($F115:K115)-K120-K121+SUM($F116:K116)-SUM($F117:K117)-SUM($F122:J122))</f>
        <v>0</v>
      </c>
      <c r="L122" s="138">
        <f>IF(L$2=1,0,$G118+$G119-SUM($F115:L115)-L120-L121+SUM($F116:L116)-SUM($F117:L117)-SUM($F122:K122))</f>
        <v>0</v>
      </c>
      <c r="M122" s="138">
        <f>IF(M$2=1,0,$G118+$G119-SUM($F115:M115)-M120-M121+SUM($F116:M116)-SUM($F117:M117)-SUM($F122:L122))</f>
        <v>0</v>
      </c>
      <c r="N122" s="138">
        <f>IF(N$2=1,0,$G118+$G119-SUM($F115:N115)-N120-N121+SUM($F116:N116)-SUM($F117:N117)-SUM($F122:M122))</f>
        <v>0</v>
      </c>
      <c r="O122" s="138">
        <f>IF(O$2=1,0,$G118+$G119-SUM($F115:O115)-O120-O121+SUM($F116:O116)-SUM($F117:O117)-SUM($F122:N122))</f>
        <v>0</v>
      </c>
      <c r="P122" s="138">
        <f>IF(P$2=1,0,$G118+$G119-SUM($F115:P115)-P120-P121+SUM($F116:P116)-SUM($F117:P117)-SUM($F122:O122))</f>
        <v>0</v>
      </c>
      <c r="Q122" s="138">
        <f>IF(Q$2=1,0,$G118+$G119-SUM($F115:Q115)-Q120-Q121+SUM($F116:Q116)-SUM($F117:Q117)-SUM($F122:P122))</f>
        <v>0</v>
      </c>
      <c r="R122" s="138">
        <f>IF(R$2=1,0,$G118+$G119-SUM($F115:R115)-R120-R121+SUM($F116:R116)-SUM($F117:R117)-SUM($F122:Q122))</f>
        <v>0</v>
      </c>
      <c r="S122" s="138">
        <f>IF(S$2=1,0,$G118+$G119-SUM($F115:S115)-S120-S121+SUM($F116:S116)-SUM($F117:S117)-SUM($F122:R122))</f>
        <v>0</v>
      </c>
      <c r="T122" s="138">
        <f>IF(T$2=1,0,$G118+$G119-SUM($F115:T115)-T120-T121+SUM($F116:T116)-SUM($F117:T117)-SUM($F122:S122))</f>
        <v>0</v>
      </c>
      <c r="U122" s="138">
        <f>IF(U$2=1,0,$G118+$G119-SUM($F115:U115)-U120-U121+SUM($F116:U116)-SUM($F117:U117)-SUM($F122:T122))</f>
        <v>0</v>
      </c>
      <c r="V122" s="138">
        <f>IF(V$2=1,0,$G118+$G119-SUM($F115:V115)-V120-V121+SUM($F116:V116)-SUM($F117:V117)-SUM($F122:U122))</f>
        <v>0</v>
      </c>
      <c r="W122" s="138">
        <f>IF(W$2=1,0,$G118+$G119-SUM($F115:W115)-W120-W121+SUM($F116:W116)-SUM($F117:W117)-SUM($F122:V122))</f>
        <v>0</v>
      </c>
      <c r="X122" s="138">
        <f>IF(X$2=1,0,$G118+$G119-SUM($F115:X115)-X120-X121+SUM($F116:X116)-SUM($F117:X117)-SUM($F122:W122))</f>
        <v>0</v>
      </c>
      <c r="Y122" s="138">
        <f>IF(Y$2=1,0,$G118+$G119-SUM($F115:Y115)-Y120-Y121+SUM($F116:Y116)-SUM($F117:Y117)-SUM($F122:X122))</f>
        <v>0</v>
      </c>
      <c r="Z122" s="138">
        <f>IF(Z$2=1,0,$G118+$G119-SUM($F115:Z115)-Z120-Z121+SUM($F116:Z116)-SUM($F117:Z117)-SUM($F122:Y122))</f>
        <v>0</v>
      </c>
      <c r="AA122" s="138">
        <f>IF(AA$2=1,0,$G118+$G119-SUM($F115:AA115)-AA120-AA121+SUM($F116:AA116)-SUM($F117:AA117)-SUM($F122:Z122))</f>
        <v>0</v>
      </c>
      <c r="AB122" s="138">
        <f>IF(AB$2=1,0,$G118+$G119-SUM($F115:AB115)-AB120-AB121+SUM($F116:AB116)-SUM($F117:AB117)-SUM($F122:AA122))</f>
        <v>0</v>
      </c>
      <c r="AC122" s="138">
        <f>IF(AC$2=1,0,$G118+$G119-SUM($F115:AC115)-AC120-AC121+SUM($F116:AC116)-SUM($F117:AC117)-SUM($F122:AB122))</f>
        <v>0</v>
      </c>
      <c r="AD122" s="138">
        <f>IF(AD$2=1,0,$G118+$G119-SUM($F115:AD115)-AD120-AD121+SUM($F116:AD116)-SUM($F117:AD117)-SUM($F122:AC122))</f>
        <v>0</v>
      </c>
      <c r="AE122" s="138">
        <f>IF(AE$2=1,0,$G118+$G119-SUM($F115:AE115)-AE120-AE121+SUM($F116:AE116)-SUM($F117:AE117)-SUM($F122:AD122))</f>
        <v>0</v>
      </c>
      <c r="AF122" s="138">
        <f>IF(AF$2=1,0,$G118+$G119-SUM($F115:AF115)-AF120-AF121+SUM($F116:AF116)-SUM($F117:AF117)-SUM($F122:AE122))</f>
        <v>0</v>
      </c>
      <c r="AG122" s="138">
        <f>IF(AG$2=1,0,$G118+$G119-SUM($F115:AG115)-AG120-AG121+SUM($F116:AG116)-SUM($F117:AG117)-SUM($F122:AF122))</f>
        <v>0</v>
      </c>
      <c r="AH122" s="138">
        <f>IF(AH$2=1,0,$G118+$G119-SUM($F115:AH115)-AH120-AH121+SUM($F116:AH116)-SUM($F117:AH117)-SUM($F122:AG122))</f>
        <v>0</v>
      </c>
      <c r="AI122" s="138">
        <f>IF(AI$2=1,0,$G118+$G119-SUM($F115:AI115)-AI120-AI121+SUM($F116:AI116)-SUM($F117:AI117)-SUM($F122:AH122))</f>
        <v>0</v>
      </c>
      <c r="AJ122" s="138">
        <f>IF(AJ$2=1,0,$G118+$G119-SUM($F115:AJ115)-AJ120-AJ121+SUM($F116:AJ116)-SUM($F117:AJ117)-SUM($F122:AI122))</f>
        <v>0</v>
      </c>
      <c r="AK122" s="138">
        <f>IF(AK$2=1,0,$G118+$G119-SUM($F115:AK115)-AK120-AK121+SUM($F116:AK116)-SUM($F117:AK117)-SUM($F122:AJ122))</f>
        <v>0</v>
      </c>
      <c r="AL122" s="138">
        <f>IF(AL$2=1,0,$G118+$G119-SUM($F115:AL115)-AL120-AL121+SUM($F116:AL116)-SUM($F117:AL117)-SUM($F122:AK122))</f>
        <v>0</v>
      </c>
      <c r="AM122" s="138">
        <f>IF(AM$2=1,0,$G118+$G119-SUM($F115:AM115)-AM120-AM121+SUM($F116:AM116)-SUM($F117:AM117)-SUM($F122:AL122))</f>
        <v>0</v>
      </c>
      <c r="AN122" s="138">
        <f>IF(AN$2=1,0,$G118+$G119-SUM($F115:AN115)-AN120-AN121+SUM($F116:AN116)-SUM($F117:AN117)-SUM($F122:AM122))</f>
        <v>0</v>
      </c>
      <c r="AO122" s="138">
        <f>IF(AO$2=1,0,$G118+$G119-SUM($F115:AO115)-AO120-AO121+SUM($F116:AO116)-SUM($F117:AO117)-SUM($F122:AN122))</f>
        <v>0</v>
      </c>
      <c r="AP122" s="138">
        <f>IF(AP$2=1,0,$G118+$G119-SUM($F115:AP115)-AP120-AP121+SUM($F116:AP116)-SUM($F117:AP117)-SUM($F122:AO122))</f>
        <v>0</v>
      </c>
      <c r="AQ122" s="138">
        <f>IF(AQ$2=1,0,$G118+$G119-SUM($F115:AQ115)-AQ120-AQ121+SUM($F116:AQ116)-SUM($F117:AQ117)-SUM($F122:AP122))</f>
        <v>0</v>
      </c>
      <c r="AR122" s="138">
        <f>IF(AR$2=1,0,$G118+$G119-SUM($F115:AR115)-AR120-AR121+SUM($F116:AR116)-SUM($F117:AR117)-SUM($F122:AQ122))</f>
        <v>0</v>
      </c>
      <c r="AS122" s="138">
        <f>IF(AS$2=1,0,$G118+$G119-SUM($F115:AS115)-AS120-AS121+SUM($F116:AS116)-SUM($F117:AS117)-SUM($F122:AR122))</f>
        <v>0</v>
      </c>
      <c r="AT122" s="138">
        <f>IF(AT$2=1,0,$G118+$G119-SUM($F115:AT115)-AT120-AT121+SUM($F116:AT116)-SUM($F117:AT117)-SUM($F122:AS122))</f>
        <v>0</v>
      </c>
      <c r="AU122" s="138">
        <f>IF(AU$2=1,0,$G118+$G119-SUM($F115:AU115)-AU120-AU121+SUM($F116:AU116)-SUM($F117:AU117)-SUM($F122:AT122))</f>
        <v>0</v>
      </c>
      <c r="AV122" s="138">
        <f>IF(AV$2=1,0,$G118+$G119-SUM($F115:AV115)-AV120-AV121+SUM($F116:AV116)-SUM($F117:AV117)-SUM($F122:AU122))</f>
        <v>0</v>
      </c>
      <c r="AW122" s="94"/>
      <c r="AX122" s="142">
        <f>SUM(G122:AW122)</f>
        <v>0</v>
      </c>
    </row>
    <row r="123" spans="1:50" s="98" customFormat="1" x14ac:dyDescent="0.2">
      <c r="A123" s="154"/>
      <c r="B123" s="138"/>
      <c r="C123" s="124"/>
      <c r="D123" s="57"/>
      <c r="E123" s="57"/>
      <c r="F123" s="57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94"/>
      <c r="AX123" s="171"/>
    </row>
    <row r="124" spans="1:50" s="98" customFormat="1" x14ac:dyDescent="0.2">
      <c r="A124" s="65" t="str">
        <f ca="1">Language!A$573</f>
        <v>Прочие долгосрочные кредиты</v>
      </c>
      <c r="B124" s="38"/>
      <c r="C124" s="124" t="str">
        <f t="shared" ca="1" si="169"/>
        <v>тыс. руб.</v>
      </c>
      <c r="D124" s="57"/>
      <c r="E124" s="57"/>
      <c r="F124" s="57" t="s">
        <v>754</v>
      </c>
      <c r="G124" s="138">
        <f t="shared" ref="G124:AV124" si="195">IF(G$2=1, $B$37-$G$118, F124)</f>
        <v>0</v>
      </c>
      <c r="H124" s="138">
        <f t="shared" si="195"/>
        <v>0</v>
      </c>
      <c r="I124" s="138">
        <f t="shared" si="195"/>
        <v>0</v>
      </c>
      <c r="J124" s="138">
        <f t="shared" si="195"/>
        <v>0</v>
      </c>
      <c r="K124" s="138">
        <f t="shared" si="195"/>
        <v>0</v>
      </c>
      <c r="L124" s="138">
        <f t="shared" si="195"/>
        <v>0</v>
      </c>
      <c r="M124" s="138">
        <f t="shared" si="195"/>
        <v>0</v>
      </c>
      <c r="N124" s="138">
        <f t="shared" si="195"/>
        <v>0</v>
      </c>
      <c r="O124" s="138">
        <f t="shared" si="195"/>
        <v>0</v>
      </c>
      <c r="P124" s="138">
        <f t="shared" si="195"/>
        <v>0</v>
      </c>
      <c r="Q124" s="138">
        <f t="shared" si="195"/>
        <v>0</v>
      </c>
      <c r="R124" s="138">
        <f t="shared" si="195"/>
        <v>0</v>
      </c>
      <c r="S124" s="138">
        <f t="shared" si="195"/>
        <v>0</v>
      </c>
      <c r="T124" s="138">
        <f t="shared" si="195"/>
        <v>0</v>
      </c>
      <c r="U124" s="138">
        <f t="shared" si="195"/>
        <v>0</v>
      </c>
      <c r="V124" s="138">
        <f t="shared" si="195"/>
        <v>0</v>
      </c>
      <c r="W124" s="138">
        <f t="shared" si="195"/>
        <v>0</v>
      </c>
      <c r="X124" s="138">
        <f t="shared" si="195"/>
        <v>0</v>
      </c>
      <c r="Y124" s="138">
        <f t="shared" si="195"/>
        <v>0</v>
      </c>
      <c r="Z124" s="138">
        <f t="shared" si="195"/>
        <v>0</v>
      </c>
      <c r="AA124" s="138">
        <f t="shared" si="195"/>
        <v>0</v>
      </c>
      <c r="AB124" s="138">
        <f t="shared" si="195"/>
        <v>0</v>
      </c>
      <c r="AC124" s="138">
        <f t="shared" si="195"/>
        <v>0</v>
      </c>
      <c r="AD124" s="138">
        <f t="shared" si="195"/>
        <v>0</v>
      </c>
      <c r="AE124" s="138">
        <f t="shared" si="195"/>
        <v>0</v>
      </c>
      <c r="AF124" s="138">
        <f t="shared" si="195"/>
        <v>0</v>
      </c>
      <c r="AG124" s="138">
        <f t="shared" si="195"/>
        <v>0</v>
      </c>
      <c r="AH124" s="138">
        <f t="shared" si="195"/>
        <v>0</v>
      </c>
      <c r="AI124" s="138">
        <f t="shared" si="195"/>
        <v>0</v>
      </c>
      <c r="AJ124" s="138">
        <f t="shared" si="195"/>
        <v>0</v>
      </c>
      <c r="AK124" s="138">
        <f t="shared" si="195"/>
        <v>0</v>
      </c>
      <c r="AL124" s="138">
        <f t="shared" si="195"/>
        <v>0</v>
      </c>
      <c r="AM124" s="138">
        <f t="shared" si="195"/>
        <v>0</v>
      </c>
      <c r="AN124" s="138">
        <f t="shared" si="195"/>
        <v>0</v>
      </c>
      <c r="AO124" s="138">
        <f t="shared" si="195"/>
        <v>0</v>
      </c>
      <c r="AP124" s="138">
        <f t="shared" si="195"/>
        <v>0</v>
      </c>
      <c r="AQ124" s="138">
        <f t="shared" si="195"/>
        <v>0</v>
      </c>
      <c r="AR124" s="138">
        <f t="shared" si="195"/>
        <v>0</v>
      </c>
      <c r="AS124" s="138">
        <f t="shared" si="195"/>
        <v>0</v>
      </c>
      <c r="AT124" s="138">
        <f t="shared" si="195"/>
        <v>0</v>
      </c>
      <c r="AU124" s="138">
        <f t="shared" si="195"/>
        <v>0</v>
      </c>
      <c r="AV124" s="138">
        <f t="shared" si="195"/>
        <v>0</v>
      </c>
      <c r="AW124" s="94"/>
      <c r="AX124" s="171"/>
    </row>
    <row r="125" spans="1:50" s="98" customFormat="1" x14ac:dyDescent="0.2">
      <c r="A125" s="65" t="str">
        <f ca="1">Language!A$574</f>
        <v>Прочие краткосрочные кредиты</v>
      </c>
      <c r="B125" s="38"/>
      <c r="C125" s="124" t="str">
        <f t="shared" ca="1" si="169"/>
        <v>тыс. руб.</v>
      </c>
      <c r="D125" s="57"/>
      <c r="E125" s="57"/>
      <c r="F125" s="57" t="s">
        <v>754</v>
      </c>
      <c r="G125" s="138">
        <f t="shared" ref="G125:AV125" si="196">IF(G$2=1, $B$33-$G$119, F125)</f>
        <v>14528</v>
      </c>
      <c r="H125" s="138">
        <f t="shared" si="196"/>
        <v>14528</v>
      </c>
      <c r="I125" s="138">
        <f t="shared" si="196"/>
        <v>14528</v>
      </c>
      <c r="J125" s="138">
        <f t="shared" si="196"/>
        <v>14528</v>
      </c>
      <c r="K125" s="138">
        <f t="shared" si="196"/>
        <v>14528</v>
      </c>
      <c r="L125" s="138">
        <f t="shared" si="196"/>
        <v>14528</v>
      </c>
      <c r="M125" s="138">
        <f t="shared" si="196"/>
        <v>14528</v>
      </c>
      <c r="N125" s="138">
        <f t="shared" si="196"/>
        <v>14528</v>
      </c>
      <c r="O125" s="138">
        <f t="shared" si="196"/>
        <v>14528</v>
      </c>
      <c r="P125" s="138">
        <f t="shared" si="196"/>
        <v>14528</v>
      </c>
      <c r="Q125" s="138">
        <f t="shared" si="196"/>
        <v>14528</v>
      </c>
      <c r="R125" s="138">
        <f t="shared" si="196"/>
        <v>14528</v>
      </c>
      <c r="S125" s="138">
        <f t="shared" si="196"/>
        <v>14528</v>
      </c>
      <c r="T125" s="138">
        <f t="shared" si="196"/>
        <v>14528</v>
      </c>
      <c r="U125" s="138">
        <f t="shared" si="196"/>
        <v>14528</v>
      </c>
      <c r="V125" s="138">
        <f t="shared" si="196"/>
        <v>14528</v>
      </c>
      <c r="W125" s="138">
        <f t="shared" si="196"/>
        <v>14528</v>
      </c>
      <c r="X125" s="138">
        <f t="shared" si="196"/>
        <v>14528</v>
      </c>
      <c r="Y125" s="138">
        <f t="shared" si="196"/>
        <v>14528</v>
      </c>
      <c r="Z125" s="138">
        <f t="shared" si="196"/>
        <v>14528</v>
      </c>
      <c r="AA125" s="138">
        <f t="shared" si="196"/>
        <v>14528</v>
      </c>
      <c r="AB125" s="138">
        <f t="shared" si="196"/>
        <v>14528</v>
      </c>
      <c r="AC125" s="138">
        <f t="shared" si="196"/>
        <v>14528</v>
      </c>
      <c r="AD125" s="138">
        <f t="shared" si="196"/>
        <v>14528</v>
      </c>
      <c r="AE125" s="138">
        <f t="shared" si="196"/>
        <v>14528</v>
      </c>
      <c r="AF125" s="138">
        <f t="shared" si="196"/>
        <v>14528</v>
      </c>
      <c r="AG125" s="138">
        <f t="shared" si="196"/>
        <v>14528</v>
      </c>
      <c r="AH125" s="138">
        <f t="shared" si="196"/>
        <v>14528</v>
      </c>
      <c r="AI125" s="138">
        <f t="shared" si="196"/>
        <v>14528</v>
      </c>
      <c r="AJ125" s="138">
        <f t="shared" si="196"/>
        <v>14528</v>
      </c>
      <c r="AK125" s="138">
        <f t="shared" si="196"/>
        <v>14528</v>
      </c>
      <c r="AL125" s="138">
        <f t="shared" si="196"/>
        <v>14528</v>
      </c>
      <c r="AM125" s="138">
        <f t="shared" si="196"/>
        <v>14528</v>
      </c>
      <c r="AN125" s="138">
        <f t="shared" si="196"/>
        <v>14528</v>
      </c>
      <c r="AO125" s="138">
        <f t="shared" si="196"/>
        <v>14528</v>
      </c>
      <c r="AP125" s="138">
        <f t="shared" si="196"/>
        <v>14528</v>
      </c>
      <c r="AQ125" s="138">
        <f t="shared" si="196"/>
        <v>14528</v>
      </c>
      <c r="AR125" s="138">
        <f t="shared" si="196"/>
        <v>14528</v>
      </c>
      <c r="AS125" s="138">
        <f t="shared" si="196"/>
        <v>14528</v>
      </c>
      <c r="AT125" s="138">
        <f t="shared" si="196"/>
        <v>14528</v>
      </c>
      <c r="AU125" s="138">
        <f t="shared" si="196"/>
        <v>14528</v>
      </c>
      <c r="AV125" s="138">
        <f t="shared" si="196"/>
        <v>14528</v>
      </c>
      <c r="AW125" s="94"/>
      <c r="AX125" s="171"/>
    </row>
    <row r="126" spans="1:50" x14ac:dyDescent="0.2">
      <c r="A126" s="67"/>
      <c r="B126" s="51"/>
      <c r="C126" s="51"/>
      <c r="D126" s="68"/>
      <c r="E126" s="68" t="s">
        <v>935</v>
      </c>
      <c r="F126" s="68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112"/>
      <c r="AX126" s="149"/>
    </row>
  </sheetData>
  <sheetProtection formatCells="0"/>
  <dataConsolidate/>
  <mergeCells count="1">
    <mergeCell ref="A1:C2"/>
  </mergeCells>
  <conditionalFormatting sqref="G62:K62">
    <cfRule type="cellIs" dxfId="76" priority="71" operator="lessThan">
      <formula>0</formula>
    </cfRule>
  </conditionalFormatting>
  <conditionalFormatting sqref="B47">
    <cfRule type="expression" dxfId="75" priority="63">
      <formula>$B$47&lt;&gt;0</formula>
    </cfRule>
  </conditionalFormatting>
  <conditionalFormatting sqref="L62">
    <cfRule type="cellIs" dxfId="74" priority="41" operator="lessThan">
      <formula>0</formula>
    </cfRule>
  </conditionalFormatting>
  <conditionalFormatting sqref="M62">
    <cfRule type="cellIs" dxfId="73" priority="40" operator="lessThan">
      <formula>0</formula>
    </cfRule>
  </conditionalFormatting>
  <conditionalFormatting sqref="N62">
    <cfRule type="cellIs" dxfId="72" priority="39" operator="lessThan">
      <formula>0</formula>
    </cfRule>
  </conditionalFormatting>
  <conditionalFormatting sqref="O62">
    <cfRule type="cellIs" dxfId="71" priority="38" operator="lessThan">
      <formula>0</formula>
    </cfRule>
  </conditionalFormatting>
  <conditionalFormatting sqref="P62">
    <cfRule type="cellIs" dxfId="70" priority="37" operator="lessThan">
      <formula>0</formula>
    </cfRule>
  </conditionalFormatting>
  <conditionalFormatting sqref="Q62">
    <cfRule type="cellIs" dxfId="69" priority="36" operator="lessThan">
      <formula>0</formula>
    </cfRule>
  </conditionalFormatting>
  <conditionalFormatting sqref="R62">
    <cfRule type="cellIs" dxfId="68" priority="35" operator="lessThan">
      <formula>0</formula>
    </cfRule>
  </conditionalFormatting>
  <conditionalFormatting sqref="S62">
    <cfRule type="cellIs" dxfId="67" priority="34" operator="lessThan">
      <formula>0</formula>
    </cfRule>
  </conditionalFormatting>
  <conditionalFormatting sqref="T62">
    <cfRule type="cellIs" dxfId="66" priority="33" operator="lessThan">
      <formula>0</formula>
    </cfRule>
  </conditionalFormatting>
  <conditionalFormatting sqref="U62">
    <cfRule type="cellIs" dxfId="65" priority="32" operator="lessThan">
      <formula>0</formula>
    </cfRule>
  </conditionalFormatting>
  <conditionalFormatting sqref="V62">
    <cfRule type="cellIs" dxfId="64" priority="31" operator="lessThan">
      <formula>0</formula>
    </cfRule>
  </conditionalFormatting>
  <conditionalFormatting sqref="W62">
    <cfRule type="cellIs" dxfId="63" priority="30" operator="lessThan">
      <formula>0</formula>
    </cfRule>
  </conditionalFormatting>
  <conditionalFormatting sqref="X62">
    <cfRule type="cellIs" dxfId="62" priority="29" operator="lessThan">
      <formula>0</formula>
    </cfRule>
  </conditionalFormatting>
  <conditionalFormatting sqref="Y62">
    <cfRule type="cellIs" dxfId="61" priority="28" operator="lessThan">
      <formula>0</formula>
    </cfRule>
  </conditionalFormatting>
  <conditionalFormatting sqref="Z62">
    <cfRule type="cellIs" dxfId="60" priority="27" operator="lessThan">
      <formula>0</formula>
    </cfRule>
  </conditionalFormatting>
  <conditionalFormatting sqref="AA62">
    <cfRule type="cellIs" dxfId="59" priority="26" operator="lessThan">
      <formula>0</formula>
    </cfRule>
  </conditionalFormatting>
  <conditionalFormatting sqref="AB62">
    <cfRule type="cellIs" dxfId="58" priority="25" operator="lessThan">
      <formula>0</formula>
    </cfRule>
  </conditionalFormatting>
  <conditionalFormatting sqref="AC62">
    <cfRule type="cellIs" dxfId="57" priority="24" operator="lessThan">
      <formula>0</formula>
    </cfRule>
  </conditionalFormatting>
  <conditionalFormatting sqref="AD62">
    <cfRule type="cellIs" dxfId="56" priority="23" operator="lessThan">
      <formula>0</formula>
    </cfRule>
  </conditionalFormatting>
  <conditionalFormatting sqref="AE62">
    <cfRule type="cellIs" dxfId="55" priority="22" operator="lessThan">
      <formula>0</formula>
    </cfRule>
  </conditionalFormatting>
  <conditionalFormatting sqref="AF62">
    <cfRule type="cellIs" dxfId="54" priority="21" operator="lessThan">
      <formula>0</formula>
    </cfRule>
  </conditionalFormatting>
  <conditionalFormatting sqref="AG62">
    <cfRule type="cellIs" dxfId="53" priority="20" operator="lessThan">
      <formula>0</formula>
    </cfRule>
  </conditionalFormatting>
  <conditionalFormatting sqref="AH62">
    <cfRule type="cellIs" dxfId="52" priority="19" operator="lessThan">
      <formula>0</formula>
    </cfRule>
  </conditionalFormatting>
  <conditionalFormatting sqref="AI62">
    <cfRule type="cellIs" dxfId="51" priority="18" operator="lessThan">
      <formula>0</formula>
    </cfRule>
  </conditionalFormatting>
  <conditionalFormatting sqref="AJ62">
    <cfRule type="cellIs" dxfId="50" priority="17" operator="lessThan">
      <formula>0</formula>
    </cfRule>
  </conditionalFormatting>
  <conditionalFormatting sqref="AK62">
    <cfRule type="cellIs" dxfId="49" priority="16" operator="lessThan">
      <formula>0</formula>
    </cfRule>
  </conditionalFormatting>
  <conditionalFormatting sqref="AL62">
    <cfRule type="cellIs" dxfId="48" priority="15" operator="lessThan">
      <formula>0</formula>
    </cfRule>
  </conditionalFormatting>
  <conditionalFormatting sqref="AM62">
    <cfRule type="cellIs" dxfId="47" priority="14" operator="lessThan">
      <formula>0</formula>
    </cfRule>
  </conditionalFormatting>
  <conditionalFormatting sqref="AN62">
    <cfRule type="cellIs" dxfId="46" priority="13" operator="lessThan">
      <formula>0</formula>
    </cfRule>
  </conditionalFormatting>
  <conditionalFormatting sqref="AO62">
    <cfRule type="cellIs" dxfId="45" priority="12" operator="lessThan">
      <formula>0</formula>
    </cfRule>
  </conditionalFormatting>
  <conditionalFormatting sqref="AP62">
    <cfRule type="cellIs" dxfId="44" priority="11" operator="lessThan">
      <formula>0</formula>
    </cfRule>
  </conditionalFormatting>
  <conditionalFormatting sqref="AQ62">
    <cfRule type="cellIs" dxfId="43" priority="10" operator="lessThan">
      <formula>0</formula>
    </cfRule>
  </conditionalFormatting>
  <conditionalFormatting sqref="AR62">
    <cfRule type="cellIs" dxfId="42" priority="9" operator="lessThan">
      <formula>0</formula>
    </cfRule>
  </conditionalFormatting>
  <conditionalFormatting sqref="AS62">
    <cfRule type="cellIs" dxfId="41" priority="8" operator="lessThan">
      <formula>0</formula>
    </cfRule>
  </conditionalFormatting>
  <conditionalFormatting sqref="AT62">
    <cfRule type="cellIs" dxfId="40" priority="7" operator="lessThan">
      <formula>0</formula>
    </cfRule>
  </conditionalFormatting>
  <conditionalFormatting sqref="AU62">
    <cfRule type="cellIs" dxfId="39" priority="6" operator="lessThan">
      <formula>0</formula>
    </cfRule>
  </conditionalFormatting>
  <conditionalFormatting sqref="AV62">
    <cfRule type="cellIs" dxfId="38" priority="5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topLeftCell="A55" zoomScaleNormal="100" workbookViewId="0">
      <selection activeCell="D85" sqref="D85"/>
    </sheetView>
  </sheetViews>
  <sheetFormatPr defaultColWidth="8.7109375" defaultRowHeight="12.75" x14ac:dyDescent="0.2"/>
  <cols>
    <col min="1" max="11" width="10.5703125" style="38" customWidth="1"/>
    <col min="12" max="12" width="12.5703125" style="38" customWidth="1"/>
    <col min="13" max="14" width="10.5703125" style="38" customWidth="1"/>
    <col min="15" max="16384" width="8.7109375" style="38"/>
  </cols>
  <sheetData>
    <row r="1" spans="1:14" s="64" customFormat="1" ht="20.100000000000001" customHeight="1" x14ac:dyDescent="0.2">
      <c r="B1" s="391" t="s">
        <v>2206</v>
      </c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</row>
    <row r="2" spans="1:14" ht="12.6" customHeight="1" x14ac:dyDescent="0.2"/>
    <row r="3" spans="1:14" ht="14.1" customHeight="1" x14ac:dyDescent="0.2">
      <c r="A3" s="388">
        <v>2016</v>
      </c>
      <c r="B3" s="386" t="s">
        <v>2207</v>
      </c>
      <c r="C3" s="390" t="s">
        <v>2208</v>
      </c>
      <c r="D3" s="390"/>
      <c r="E3" s="390"/>
      <c r="F3" s="390" t="s">
        <v>2209</v>
      </c>
      <c r="G3" s="390"/>
      <c r="H3" s="390"/>
      <c r="I3" s="386" t="s">
        <v>2210</v>
      </c>
      <c r="J3" s="386" t="s">
        <v>2211</v>
      </c>
      <c r="K3" s="386" t="s">
        <v>2212</v>
      </c>
      <c r="L3" s="386" t="s">
        <v>2213</v>
      </c>
      <c r="M3" s="386" t="s">
        <v>2214</v>
      </c>
      <c r="N3" s="386" t="s">
        <v>2215</v>
      </c>
    </row>
    <row r="4" spans="1:14" s="39" customFormat="1" ht="14.1" customHeight="1" thickBot="1" x14ac:dyDescent="0.25">
      <c r="A4" s="389"/>
      <c r="B4" s="387"/>
      <c r="C4" s="331" t="s">
        <v>2216</v>
      </c>
      <c r="D4" s="331" t="s">
        <v>2217</v>
      </c>
      <c r="E4" s="331" t="s">
        <v>2218</v>
      </c>
      <c r="F4" s="331" t="s">
        <v>2219</v>
      </c>
      <c r="G4" s="331" t="s">
        <v>2229</v>
      </c>
      <c r="H4" s="331" t="s">
        <v>2220</v>
      </c>
      <c r="I4" s="387"/>
      <c r="J4" s="387"/>
      <c r="K4" s="387"/>
      <c r="L4" s="387"/>
      <c r="M4" s="387"/>
      <c r="N4" s="387"/>
    </row>
    <row r="5" spans="1:14" ht="12.6" customHeight="1" thickTop="1" x14ac:dyDescent="0.2">
      <c r="A5" s="44" t="s">
        <v>2221</v>
      </c>
      <c r="B5" s="41">
        <v>1662</v>
      </c>
      <c r="C5" s="45"/>
      <c r="D5" s="45">
        <f>INT((B8+0.7*B7)/2)</f>
        <v>1188</v>
      </c>
      <c r="E5" s="45"/>
      <c r="F5" s="335">
        <v>714</v>
      </c>
      <c r="G5" s="45"/>
      <c r="H5" s="45">
        <f>INT(D5*5%)</f>
        <v>59</v>
      </c>
      <c r="I5" s="41">
        <f>B5+C5+D5+E5-F5-G5-H5</f>
        <v>2077</v>
      </c>
      <c r="J5" s="41">
        <f>(B5+I5)/2*365</f>
        <v>682367.5</v>
      </c>
      <c r="K5" s="43"/>
      <c r="L5" s="41"/>
      <c r="M5" s="44"/>
      <c r="N5" s="235"/>
    </row>
    <row r="6" spans="1:14" ht="12.6" customHeight="1" x14ac:dyDescent="0.2">
      <c r="A6" s="44" t="s">
        <v>2222</v>
      </c>
      <c r="B6" s="41">
        <v>298</v>
      </c>
      <c r="C6" s="335">
        <v>360</v>
      </c>
      <c r="D6" s="42"/>
      <c r="E6" s="45">
        <f>F5</f>
        <v>714</v>
      </c>
      <c r="F6" s="335">
        <v>1300</v>
      </c>
      <c r="G6" s="335">
        <v>0</v>
      </c>
      <c r="H6" s="45"/>
      <c r="I6" s="41">
        <f t="shared" ref="I6:I9" si="0">B6+C6+D6+E6-F6-G6-H6</f>
        <v>72</v>
      </c>
      <c r="J6" s="41">
        <f t="shared" ref="J6:J8" si="1">(B6+I6)/2*365</f>
        <v>67525</v>
      </c>
      <c r="K6" s="43"/>
      <c r="L6" s="41"/>
      <c r="M6" s="44"/>
      <c r="N6" s="237"/>
    </row>
    <row r="7" spans="1:14" ht="12.6" customHeight="1" x14ac:dyDescent="0.2">
      <c r="A7" s="44" t="s">
        <v>2223</v>
      </c>
      <c r="B7" s="41">
        <v>87</v>
      </c>
      <c r="C7" s="45"/>
      <c r="D7" s="42"/>
      <c r="E7" s="45">
        <f>F6</f>
        <v>1300</v>
      </c>
      <c r="F7" s="335">
        <v>1135</v>
      </c>
      <c r="G7" s="45"/>
      <c r="H7" s="45"/>
      <c r="I7" s="41">
        <f t="shared" si="0"/>
        <v>252</v>
      </c>
      <c r="J7" s="41">
        <f t="shared" si="1"/>
        <v>61867.5</v>
      </c>
      <c r="K7" s="43">
        <v>17</v>
      </c>
      <c r="L7" s="46">
        <f>(B7+I7)/2*K7*365</f>
        <v>1051747.5</v>
      </c>
      <c r="M7" s="44"/>
      <c r="N7" s="235"/>
    </row>
    <row r="8" spans="1:14" ht="12.6" customHeight="1" x14ac:dyDescent="0.2">
      <c r="A8" s="44" t="s">
        <v>2224</v>
      </c>
      <c r="B8" s="41">
        <v>2317</v>
      </c>
      <c r="C8" s="45"/>
      <c r="D8" s="42"/>
      <c r="E8" s="45">
        <f>F7</f>
        <v>1135</v>
      </c>
      <c r="F8" s="45"/>
      <c r="G8" s="45">
        <f>INT(B8/3)</f>
        <v>772</v>
      </c>
      <c r="H8" s="45"/>
      <c r="I8" s="41">
        <f t="shared" si="0"/>
        <v>2680</v>
      </c>
      <c r="J8" s="41">
        <f t="shared" si="1"/>
        <v>911952.5</v>
      </c>
      <c r="K8" s="43">
        <v>21.3</v>
      </c>
      <c r="L8" s="46">
        <f>(B8+I8)/2*K8*365</f>
        <v>19424588.25</v>
      </c>
      <c r="M8" s="44">
        <v>500</v>
      </c>
      <c r="N8" s="237">
        <f t="shared" ref="N8" si="2">G8*M8</f>
        <v>386000</v>
      </c>
    </row>
    <row r="9" spans="1:14" ht="12.6" customHeight="1" x14ac:dyDescent="0.2">
      <c r="A9" s="51" t="s">
        <v>2225</v>
      </c>
      <c r="B9" s="48">
        <v>54</v>
      </c>
      <c r="C9" s="49"/>
      <c r="D9" s="49">
        <f>D5</f>
        <v>1188</v>
      </c>
      <c r="E9" s="49"/>
      <c r="F9" s="49"/>
      <c r="G9" s="49">
        <f>B9+D9-H9</f>
        <v>1183</v>
      </c>
      <c r="H9" s="49">
        <f>INT(D9*5%)</f>
        <v>59</v>
      </c>
      <c r="I9" s="48">
        <f t="shared" si="0"/>
        <v>0</v>
      </c>
      <c r="J9" s="48">
        <f>(B9+I9)/2*365+D9*30</f>
        <v>45495</v>
      </c>
      <c r="K9" s="50"/>
      <c r="L9" s="48"/>
      <c r="M9" s="51">
        <v>60</v>
      </c>
      <c r="N9" s="251">
        <f>G9*M9</f>
        <v>70980</v>
      </c>
    </row>
    <row r="10" spans="1:14" ht="12.6" customHeight="1" x14ac:dyDescent="0.2"/>
    <row r="11" spans="1:14" ht="14.1" customHeight="1" x14ac:dyDescent="0.2">
      <c r="A11" s="388">
        <v>2017</v>
      </c>
      <c r="B11" s="386" t="s">
        <v>2207</v>
      </c>
      <c r="C11" s="390" t="s">
        <v>2208</v>
      </c>
      <c r="D11" s="390"/>
      <c r="E11" s="390"/>
      <c r="F11" s="390" t="s">
        <v>2209</v>
      </c>
      <c r="G11" s="390"/>
      <c r="H11" s="390"/>
      <c r="I11" s="386" t="s">
        <v>2210</v>
      </c>
      <c r="J11" s="386" t="s">
        <v>2211</v>
      </c>
      <c r="K11" s="386" t="s">
        <v>2212</v>
      </c>
      <c r="L11" s="386" t="s">
        <v>2213</v>
      </c>
      <c r="M11" s="386" t="s">
        <v>2214</v>
      </c>
      <c r="N11" s="386" t="s">
        <v>2215</v>
      </c>
    </row>
    <row r="12" spans="1:14" ht="14.1" customHeight="1" thickBot="1" x14ac:dyDescent="0.25">
      <c r="A12" s="389"/>
      <c r="B12" s="387"/>
      <c r="C12" s="331" t="s">
        <v>2216</v>
      </c>
      <c r="D12" s="331" t="s">
        <v>2217</v>
      </c>
      <c r="E12" s="331" t="s">
        <v>2218</v>
      </c>
      <c r="F12" s="331" t="s">
        <v>2219</v>
      </c>
      <c r="G12" s="331" t="s">
        <v>2229</v>
      </c>
      <c r="H12" s="331" t="s">
        <v>2220</v>
      </c>
      <c r="I12" s="387"/>
      <c r="J12" s="387"/>
      <c r="K12" s="387"/>
      <c r="L12" s="387"/>
      <c r="M12" s="387"/>
      <c r="N12" s="387"/>
    </row>
    <row r="13" spans="1:14" ht="12.6" customHeight="1" thickTop="1" x14ac:dyDescent="0.2">
      <c r="A13" s="44" t="s">
        <v>2221</v>
      </c>
      <c r="B13" s="41">
        <f>I5</f>
        <v>2077</v>
      </c>
      <c r="C13" s="45"/>
      <c r="D13" s="45">
        <f>INT((B16+0.7*B15)/2)</f>
        <v>1428</v>
      </c>
      <c r="E13" s="45"/>
      <c r="F13" s="335">
        <v>788</v>
      </c>
      <c r="G13" s="45"/>
      <c r="H13" s="45">
        <f>INT(D13*5%)</f>
        <v>71</v>
      </c>
      <c r="I13" s="41">
        <f>B13+C13+D13+E13-F13-G13-H13</f>
        <v>2646</v>
      </c>
      <c r="J13" s="41">
        <f>(B13+I13)/2*365</f>
        <v>861947.5</v>
      </c>
      <c r="K13" s="43"/>
      <c r="L13" s="41"/>
      <c r="M13" s="44"/>
      <c r="N13" s="235"/>
    </row>
    <row r="14" spans="1:14" ht="12.6" customHeight="1" x14ac:dyDescent="0.2">
      <c r="A14" s="44" t="s">
        <v>2222</v>
      </c>
      <c r="B14" s="41">
        <f t="shared" ref="B14:B17" si="3">I6</f>
        <v>72</v>
      </c>
      <c r="C14" s="335">
        <v>600</v>
      </c>
      <c r="D14" s="42"/>
      <c r="E14" s="45">
        <f>F13</f>
        <v>788</v>
      </c>
      <c r="F14" s="335">
        <v>795</v>
      </c>
      <c r="G14" s="335">
        <v>269</v>
      </c>
      <c r="H14" s="45"/>
      <c r="I14" s="41">
        <f t="shared" ref="I14:I17" si="4">B14+C14+D14+E14-F14-G14-H14</f>
        <v>396</v>
      </c>
      <c r="J14" s="41">
        <f t="shared" ref="J14:J16" si="5">(B14+I14)/2*365</f>
        <v>85410</v>
      </c>
      <c r="K14" s="43"/>
      <c r="L14" s="41"/>
      <c r="M14" s="44"/>
      <c r="N14" s="237"/>
    </row>
    <row r="15" spans="1:14" ht="12.6" customHeight="1" x14ac:dyDescent="0.2">
      <c r="A15" s="44" t="s">
        <v>2223</v>
      </c>
      <c r="B15" s="41">
        <f t="shared" si="3"/>
        <v>252</v>
      </c>
      <c r="C15" s="45"/>
      <c r="D15" s="42"/>
      <c r="E15" s="45">
        <f>F14</f>
        <v>795</v>
      </c>
      <c r="F15" s="335">
        <v>932</v>
      </c>
      <c r="G15" s="45"/>
      <c r="H15" s="45"/>
      <c r="I15" s="41">
        <f t="shared" si="4"/>
        <v>115</v>
      </c>
      <c r="J15" s="41">
        <f t="shared" si="5"/>
        <v>66977.5</v>
      </c>
      <c r="K15" s="43">
        <v>17</v>
      </c>
      <c r="L15" s="46">
        <f>(B15+I15)/2*K15*365</f>
        <v>1138617.5</v>
      </c>
      <c r="M15" s="44"/>
      <c r="N15" s="235"/>
    </row>
    <row r="16" spans="1:14" ht="12.6" customHeight="1" x14ac:dyDescent="0.2">
      <c r="A16" s="44" t="s">
        <v>2224</v>
      </c>
      <c r="B16" s="41">
        <f t="shared" si="3"/>
        <v>2680</v>
      </c>
      <c r="C16" s="45"/>
      <c r="D16" s="42"/>
      <c r="E16" s="45">
        <f>F15</f>
        <v>932</v>
      </c>
      <c r="F16" s="45"/>
      <c r="G16" s="45">
        <f>INT(B16/3)</f>
        <v>893</v>
      </c>
      <c r="H16" s="45"/>
      <c r="I16" s="41">
        <f t="shared" si="4"/>
        <v>2719</v>
      </c>
      <c r="J16" s="41">
        <f t="shared" si="5"/>
        <v>985317.5</v>
      </c>
      <c r="K16" s="43">
        <v>21.3</v>
      </c>
      <c r="L16" s="46">
        <f>(B16+I16)/2*K16*365</f>
        <v>20987262.75</v>
      </c>
      <c r="M16" s="44">
        <v>500</v>
      </c>
      <c r="N16" s="237">
        <f t="shared" ref="N16" si="6">G16*M16</f>
        <v>446500</v>
      </c>
    </row>
    <row r="17" spans="1:14" ht="12.6" customHeight="1" x14ac:dyDescent="0.2">
      <c r="A17" s="51" t="s">
        <v>2225</v>
      </c>
      <c r="B17" s="48">
        <f t="shared" si="3"/>
        <v>0</v>
      </c>
      <c r="C17" s="49"/>
      <c r="D17" s="49">
        <f>D13</f>
        <v>1428</v>
      </c>
      <c r="E17" s="49"/>
      <c r="F17" s="49"/>
      <c r="G17" s="49">
        <f>B17+D17-H17</f>
        <v>1357</v>
      </c>
      <c r="H17" s="49">
        <f>INT(D17*5%)</f>
        <v>71</v>
      </c>
      <c r="I17" s="48">
        <f t="shared" si="4"/>
        <v>0</v>
      </c>
      <c r="J17" s="48">
        <f>(B17+I17)/2*365+D17*30</f>
        <v>42840</v>
      </c>
      <c r="K17" s="50"/>
      <c r="L17" s="48"/>
      <c r="M17" s="51">
        <v>60</v>
      </c>
      <c r="N17" s="251">
        <f>G17*M17</f>
        <v>81420</v>
      </c>
    </row>
    <row r="18" spans="1:14" ht="12.6" customHeight="1" x14ac:dyDescent="0.2"/>
    <row r="19" spans="1:14" ht="14.1" customHeight="1" x14ac:dyDescent="0.2">
      <c r="A19" s="388">
        <v>2018</v>
      </c>
      <c r="B19" s="386" t="s">
        <v>2207</v>
      </c>
      <c r="C19" s="390" t="s">
        <v>2208</v>
      </c>
      <c r="D19" s="390"/>
      <c r="E19" s="390"/>
      <c r="F19" s="390" t="s">
        <v>2209</v>
      </c>
      <c r="G19" s="390"/>
      <c r="H19" s="390"/>
      <c r="I19" s="386" t="s">
        <v>2210</v>
      </c>
      <c r="J19" s="386" t="s">
        <v>2211</v>
      </c>
      <c r="K19" s="386" t="s">
        <v>2212</v>
      </c>
      <c r="L19" s="386" t="s">
        <v>2213</v>
      </c>
      <c r="M19" s="386" t="s">
        <v>2214</v>
      </c>
      <c r="N19" s="386" t="s">
        <v>2215</v>
      </c>
    </row>
    <row r="20" spans="1:14" ht="14.1" customHeight="1" thickBot="1" x14ac:dyDescent="0.25">
      <c r="A20" s="389"/>
      <c r="B20" s="387"/>
      <c r="C20" s="331" t="s">
        <v>2216</v>
      </c>
      <c r="D20" s="331" t="s">
        <v>2217</v>
      </c>
      <c r="E20" s="331" t="s">
        <v>2218</v>
      </c>
      <c r="F20" s="331" t="s">
        <v>2219</v>
      </c>
      <c r="G20" s="331" t="s">
        <v>2229</v>
      </c>
      <c r="H20" s="331" t="s">
        <v>2220</v>
      </c>
      <c r="I20" s="387"/>
      <c r="J20" s="387"/>
      <c r="K20" s="387"/>
      <c r="L20" s="387"/>
      <c r="M20" s="387"/>
      <c r="N20" s="387"/>
    </row>
    <row r="21" spans="1:14" ht="12.6" customHeight="1" thickTop="1" x14ac:dyDescent="0.2">
      <c r="A21" s="44" t="s">
        <v>2221</v>
      </c>
      <c r="B21" s="41">
        <f>I13</f>
        <v>2646</v>
      </c>
      <c r="C21" s="45"/>
      <c r="D21" s="45">
        <f>INT((B24+0.7*B23)/2)</f>
        <v>1399</v>
      </c>
      <c r="E21" s="45"/>
      <c r="F21" s="335">
        <v>1360</v>
      </c>
      <c r="G21" s="45"/>
      <c r="H21" s="45">
        <f>INT(D21*5%)</f>
        <v>69</v>
      </c>
      <c r="I21" s="41">
        <f>B21+C21+D21+E21-F21-G21-H21</f>
        <v>2616</v>
      </c>
      <c r="J21" s="41">
        <f>(B21+I21)/2*365</f>
        <v>960315</v>
      </c>
      <c r="K21" s="43"/>
      <c r="L21" s="41"/>
      <c r="M21" s="44"/>
      <c r="N21" s="235"/>
    </row>
    <row r="22" spans="1:14" ht="12.6" customHeight="1" x14ac:dyDescent="0.2">
      <c r="A22" s="44" t="s">
        <v>2222</v>
      </c>
      <c r="B22" s="41">
        <f t="shared" ref="B22:B25" si="7">I14</f>
        <v>396</v>
      </c>
      <c r="C22" s="335"/>
      <c r="D22" s="42"/>
      <c r="E22" s="45">
        <f>F21</f>
        <v>1360</v>
      </c>
      <c r="F22" s="335">
        <v>1336</v>
      </c>
      <c r="G22" s="335">
        <v>137</v>
      </c>
      <c r="H22" s="45"/>
      <c r="I22" s="41">
        <f t="shared" ref="I22:I25" si="8">B22+C22+D22+E22-F22-G22-H22</f>
        <v>283</v>
      </c>
      <c r="J22" s="41">
        <f t="shared" ref="J22:J24" si="9">(B22+I22)/2*365</f>
        <v>123917.5</v>
      </c>
      <c r="K22" s="43"/>
      <c r="L22" s="41"/>
      <c r="M22" s="44"/>
      <c r="N22" s="237"/>
    </row>
    <row r="23" spans="1:14" ht="12.6" customHeight="1" x14ac:dyDescent="0.2">
      <c r="A23" s="44" t="s">
        <v>2223</v>
      </c>
      <c r="B23" s="41">
        <f t="shared" si="7"/>
        <v>115</v>
      </c>
      <c r="C23" s="45"/>
      <c r="D23" s="42"/>
      <c r="E23" s="45">
        <f>F22</f>
        <v>1336</v>
      </c>
      <c r="F23" s="335">
        <v>1120</v>
      </c>
      <c r="G23" s="45"/>
      <c r="H23" s="45"/>
      <c r="I23" s="41">
        <f t="shared" si="8"/>
        <v>331</v>
      </c>
      <c r="J23" s="41">
        <f t="shared" si="9"/>
        <v>81395</v>
      </c>
      <c r="K23" s="43">
        <v>17</v>
      </c>
      <c r="L23" s="46">
        <f>(B23+I23)/2*K23*365</f>
        <v>1383715</v>
      </c>
      <c r="M23" s="44"/>
      <c r="N23" s="235"/>
    </row>
    <row r="24" spans="1:14" ht="12.6" customHeight="1" x14ac:dyDescent="0.2">
      <c r="A24" s="44" t="s">
        <v>2224</v>
      </c>
      <c r="B24" s="41">
        <f t="shared" si="7"/>
        <v>2719</v>
      </c>
      <c r="C24" s="45"/>
      <c r="D24" s="42"/>
      <c r="E24" s="45">
        <f>F23</f>
        <v>1120</v>
      </c>
      <c r="F24" s="45"/>
      <c r="G24" s="45">
        <f>INT(B24/3)</f>
        <v>906</v>
      </c>
      <c r="H24" s="45"/>
      <c r="I24" s="41">
        <f t="shared" si="8"/>
        <v>2933</v>
      </c>
      <c r="J24" s="41">
        <f t="shared" si="9"/>
        <v>1031490</v>
      </c>
      <c r="K24" s="43">
        <v>21.3</v>
      </c>
      <c r="L24" s="46">
        <f>(B24+I24)/2*K24*365</f>
        <v>21970737</v>
      </c>
      <c r="M24" s="44">
        <v>500</v>
      </c>
      <c r="N24" s="237">
        <f t="shared" ref="N24" si="10">G24*M24</f>
        <v>453000</v>
      </c>
    </row>
    <row r="25" spans="1:14" ht="12.6" customHeight="1" x14ac:dyDescent="0.2">
      <c r="A25" s="51" t="s">
        <v>2225</v>
      </c>
      <c r="B25" s="48">
        <f t="shared" si="7"/>
        <v>0</v>
      </c>
      <c r="C25" s="49"/>
      <c r="D25" s="49">
        <f>D21</f>
        <v>1399</v>
      </c>
      <c r="E25" s="49"/>
      <c r="F25" s="49"/>
      <c r="G25" s="49">
        <f>B25+D25-H25</f>
        <v>1330</v>
      </c>
      <c r="H25" s="49">
        <f>INT(D25*5%)</f>
        <v>69</v>
      </c>
      <c r="I25" s="48">
        <f t="shared" si="8"/>
        <v>0</v>
      </c>
      <c r="J25" s="48">
        <f>(B25+I25)/2*365+D25*30</f>
        <v>41970</v>
      </c>
      <c r="K25" s="50"/>
      <c r="L25" s="48"/>
      <c r="M25" s="51">
        <v>60</v>
      </c>
      <c r="N25" s="251">
        <f>G25*M25</f>
        <v>79800</v>
      </c>
    </row>
    <row r="26" spans="1:14" ht="12.6" customHeight="1" x14ac:dyDescent="0.2"/>
    <row r="27" spans="1:14" ht="14.1" customHeight="1" x14ac:dyDescent="0.2">
      <c r="A27" s="388">
        <v>2019</v>
      </c>
      <c r="B27" s="386" t="s">
        <v>2207</v>
      </c>
      <c r="C27" s="390" t="s">
        <v>2208</v>
      </c>
      <c r="D27" s="390"/>
      <c r="E27" s="390"/>
      <c r="F27" s="390" t="s">
        <v>2209</v>
      </c>
      <c r="G27" s="390"/>
      <c r="H27" s="390"/>
      <c r="I27" s="386" t="s">
        <v>2210</v>
      </c>
      <c r="J27" s="386" t="s">
        <v>2211</v>
      </c>
      <c r="K27" s="386" t="s">
        <v>2212</v>
      </c>
      <c r="L27" s="386" t="s">
        <v>2213</v>
      </c>
      <c r="M27" s="386" t="s">
        <v>2214</v>
      </c>
      <c r="N27" s="386" t="s">
        <v>2215</v>
      </c>
    </row>
    <row r="28" spans="1:14" ht="14.1" customHeight="1" thickBot="1" x14ac:dyDescent="0.25">
      <c r="A28" s="389"/>
      <c r="B28" s="387"/>
      <c r="C28" s="331" t="s">
        <v>2216</v>
      </c>
      <c r="D28" s="331" t="s">
        <v>2217</v>
      </c>
      <c r="E28" s="331" t="s">
        <v>2218</v>
      </c>
      <c r="F28" s="331" t="s">
        <v>2219</v>
      </c>
      <c r="G28" s="331" t="s">
        <v>2229</v>
      </c>
      <c r="H28" s="331" t="s">
        <v>2220</v>
      </c>
      <c r="I28" s="387"/>
      <c r="J28" s="387"/>
      <c r="K28" s="387"/>
      <c r="L28" s="387"/>
      <c r="M28" s="387"/>
      <c r="N28" s="387"/>
    </row>
    <row r="29" spans="1:14" ht="12.6" customHeight="1" thickTop="1" x14ac:dyDescent="0.2">
      <c r="A29" s="44" t="s">
        <v>2221</v>
      </c>
      <c r="B29" s="41">
        <f>I21</f>
        <v>2616</v>
      </c>
      <c r="C29" s="45"/>
      <c r="D29" s="45">
        <f>INT((B32+0.7*B31)/2)</f>
        <v>1582</v>
      </c>
      <c r="E29" s="45"/>
      <c r="F29" s="335">
        <v>1189</v>
      </c>
      <c r="G29" s="45"/>
      <c r="H29" s="45">
        <f>INT(D29*5%)</f>
        <v>79</v>
      </c>
      <c r="I29" s="41">
        <f>B29+C29+D29+E29-F29-G29-H29</f>
        <v>2930</v>
      </c>
      <c r="J29" s="41">
        <f>(B29+I29)/2*365</f>
        <v>1012145</v>
      </c>
      <c r="K29" s="43"/>
      <c r="L29" s="41"/>
      <c r="M29" s="44"/>
      <c r="N29" s="235"/>
    </row>
    <row r="30" spans="1:14" ht="12.6" customHeight="1" x14ac:dyDescent="0.2">
      <c r="A30" s="44" t="s">
        <v>2222</v>
      </c>
      <c r="B30" s="41">
        <f t="shared" ref="B30:B33" si="11">I22</f>
        <v>283</v>
      </c>
      <c r="C30" s="335"/>
      <c r="D30" s="42"/>
      <c r="E30" s="45">
        <f>F29</f>
        <v>1189</v>
      </c>
      <c r="F30" s="335">
        <v>1292</v>
      </c>
      <c r="G30" s="335">
        <v>50</v>
      </c>
      <c r="H30" s="45"/>
      <c r="I30" s="41">
        <f t="shared" ref="I30:I33" si="12">B30+C30+D30+E30-F30-G30-H30</f>
        <v>130</v>
      </c>
      <c r="J30" s="41">
        <f t="shared" ref="J30:J32" si="13">(B30+I30)/2*365</f>
        <v>75372.5</v>
      </c>
      <c r="K30" s="43"/>
      <c r="L30" s="41"/>
      <c r="M30" s="44"/>
      <c r="N30" s="237"/>
    </row>
    <row r="31" spans="1:14" ht="12.6" customHeight="1" x14ac:dyDescent="0.2">
      <c r="A31" s="44" t="s">
        <v>2223</v>
      </c>
      <c r="B31" s="41">
        <f t="shared" si="11"/>
        <v>331</v>
      </c>
      <c r="C31" s="45"/>
      <c r="D31" s="42"/>
      <c r="E31" s="45">
        <f>F30</f>
        <v>1292</v>
      </c>
      <c r="F31" s="335">
        <v>1319</v>
      </c>
      <c r="G31" s="45"/>
      <c r="H31" s="45"/>
      <c r="I31" s="41">
        <f t="shared" si="12"/>
        <v>304</v>
      </c>
      <c r="J31" s="41">
        <f t="shared" si="13"/>
        <v>115887.5</v>
      </c>
      <c r="K31" s="43">
        <v>17</v>
      </c>
      <c r="L31" s="46">
        <f>(B31+I31)/2*K31*365</f>
        <v>1970087.5</v>
      </c>
      <c r="M31" s="44"/>
      <c r="N31" s="235"/>
    </row>
    <row r="32" spans="1:14" ht="12.6" customHeight="1" x14ac:dyDescent="0.2">
      <c r="A32" s="44" t="s">
        <v>2224</v>
      </c>
      <c r="B32" s="41">
        <f t="shared" si="11"/>
        <v>2933</v>
      </c>
      <c r="C32" s="45"/>
      <c r="D32" s="42"/>
      <c r="E32" s="45">
        <f>F31</f>
        <v>1319</v>
      </c>
      <c r="F32" s="45"/>
      <c r="G32" s="45">
        <f>INT(B32/3)</f>
        <v>977</v>
      </c>
      <c r="H32" s="45"/>
      <c r="I32" s="41">
        <f t="shared" si="12"/>
        <v>3275</v>
      </c>
      <c r="J32" s="41">
        <f t="shared" si="13"/>
        <v>1132960</v>
      </c>
      <c r="K32" s="43">
        <v>21.3</v>
      </c>
      <c r="L32" s="46">
        <f>(B32+I32)/2*K32*365</f>
        <v>24132048</v>
      </c>
      <c r="M32" s="44">
        <v>500</v>
      </c>
      <c r="N32" s="237">
        <f t="shared" ref="N32" si="14">G32*M32</f>
        <v>488500</v>
      </c>
    </row>
    <row r="33" spans="1:14" ht="12.6" customHeight="1" x14ac:dyDescent="0.2">
      <c r="A33" s="51" t="s">
        <v>2225</v>
      </c>
      <c r="B33" s="48">
        <f t="shared" si="11"/>
        <v>0</v>
      </c>
      <c r="C33" s="49"/>
      <c r="D33" s="49">
        <f>D29</f>
        <v>1582</v>
      </c>
      <c r="E33" s="49"/>
      <c r="F33" s="49"/>
      <c r="G33" s="49">
        <f>B33+D33-H33</f>
        <v>1503</v>
      </c>
      <c r="H33" s="49">
        <f>INT(D33*5%)</f>
        <v>79</v>
      </c>
      <c r="I33" s="48">
        <f t="shared" si="12"/>
        <v>0</v>
      </c>
      <c r="J33" s="48">
        <f>(B33+I33)/2*365+D33*30</f>
        <v>47460</v>
      </c>
      <c r="K33" s="50"/>
      <c r="L33" s="48"/>
      <c r="M33" s="51">
        <v>60</v>
      </c>
      <c r="N33" s="251">
        <f>G33*M33</f>
        <v>90180</v>
      </c>
    </row>
    <row r="34" spans="1:14" ht="12.6" customHeight="1" x14ac:dyDescent="0.2"/>
    <row r="35" spans="1:14" ht="14.1" customHeight="1" x14ac:dyDescent="0.2">
      <c r="A35" s="388">
        <v>2020</v>
      </c>
      <c r="B35" s="386" t="s">
        <v>2207</v>
      </c>
      <c r="C35" s="390" t="s">
        <v>2208</v>
      </c>
      <c r="D35" s="390"/>
      <c r="E35" s="390"/>
      <c r="F35" s="390" t="s">
        <v>2209</v>
      </c>
      <c r="G35" s="390"/>
      <c r="H35" s="390"/>
      <c r="I35" s="386" t="s">
        <v>2210</v>
      </c>
      <c r="J35" s="386" t="s">
        <v>2211</v>
      </c>
      <c r="K35" s="386" t="s">
        <v>2212</v>
      </c>
      <c r="L35" s="386" t="s">
        <v>2213</v>
      </c>
      <c r="M35" s="386" t="s">
        <v>2214</v>
      </c>
      <c r="N35" s="386" t="s">
        <v>2215</v>
      </c>
    </row>
    <row r="36" spans="1:14" ht="14.1" customHeight="1" thickBot="1" x14ac:dyDescent="0.25">
      <c r="A36" s="389"/>
      <c r="B36" s="387"/>
      <c r="C36" s="331" t="s">
        <v>2216</v>
      </c>
      <c r="D36" s="331" t="s">
        <v>2217</v>
      </c>
      <c r="E36" s="331" t="s">
        <v>2218</v>
      </c>
      <c r="F36" s="331" t="s">
        <v>2219</v>
      </c>
      <c r="G36" s="331" t="s">
        <v>2229</v>
      </c>
      <c r="H36" s="331" t="s">
        <v>2220</v>
      </c>
      <c r="I36" s="387"/>
      <c r="J36" s="387"/>
      <c r="K36" s="387"/>
      <c r="L36" s="387"/>
      <c r="M36" s="387"/>
      <c r="N36" s="387"/>
    </row>
    <row r="37" spans="1:14" ht="12.6" customHeight="1" thickTop="1" x14ac:dyDescent="0.2">
      <c r="A37" s="44" t="s">
        <v>2221</v>
      </c>
      <c r="B37" s="41">
        <f>I29</f>
        <v>2930</v>
      </c>
      <c r="C37" s="45"/>
      <c r="D37" s="45">
        <f>INT((B40+0.7*B39)/2)</f>
        <v>1743</v>
      </c>
      <c r="E37" s="45"/>
      <c r="F37" s="335">
        <v>1284</v>
      </c>
      <c r="G37" s="45"/>
      <c r="H37" s="45">
        <f>INT(D37*5%)</f>
        <v>87</v>
      </c>
      <c r="I37" s="41">
        <f>B37+C37+D37+E37-F37-G37-H37</f>
        <v>3302</v>
      </c>
      <c r="J37" s="41">
        <f>(B37+I37)/2*365</f>
        <v>1137340</v>
      </c>
      <c r="K37" s="43"/>
      <c r="L37" s="41"/>
      <c r="M37" s="44"/>
      <c r="N37" s="235"/>
    </row>
    <row r="38" spans="1:14" ht="12.6" customHeight="1" x14ac:dyDescent="0.2">
      <c r="A38" s="44" t="s">
        <v>2222</v>
      </c>
      <c r="B38" s="41">
        <f t="shared" ref="B38:B41" si="15">I30</f>
        <v>130</v>
      </c>
      <c r="C38" s="335"/>
      <c r="D38" s="42"/>
      <c r="E38" s="45">
        <f>F37</f>
        <v>1284</v>
      </c>
      <c r="F38" s="335">
        <v>1080</v>
      </c>
      <c r="G38" s="335">
        <v>270</v>
      </c>
      <c r="H38" s="45"/>
      <c r="I38" s="41">
        <f t="shared" ref="I38:I41" si="16">B38+C38+D38+E38-F38-G38-H38</f>
        <v>64</v>
      </c>
      <c r="J38" s="41">
        <f t="shared" ref="J38:J40" si="17">(B38+I38)/2*365</f>
        <v>35405</v>
      </c>
      <c r="K38" s="43"/>
      <c r="L38" s="41"/>
      <c r="M38" s="44"/>
      <c r="N38" s="237"/>
    </row>
    <row r="39" spans="1:14" ht="12.6" customHeight="1" x14ac:dyDescent="0.2">
      <c r="A39" s="44" t="s">
        <v>2223</v>
      </c>
      <c r="B39" s="41">
        <f t="shared" si="15"/>
        <v>304</v>
      </c>
      <c r="C39" s="45"/>
      <c r="D39" s="42"/>
      <c r="E39" s="45">
        <f>F38</f>
        <v>1080</v>
      </c>
      <c r="F39" s="335">
        <v>1211</v>
      </c>
      <c r="G39" s="45"/>
      <c r="H39" s="45"/>
      <c r="I39" s="41">
        <f t="shared" si="16"/>
        <v>173</v>
      </c>
      <c r="J39" s="41">
        <f t="shared" si="17"/>
        <v>87052.5</v>
      </c>
      <c r="K39" s="43">
        <v>17</v>
      </c>
      <c r="L39" s="46">
        <f>(B39+I39)/2*K39*365</f>
        <v>1479892.5</v>
      </c>
      <c r="M39" s="44"/>
      <c r="N39" s="235"/>
    </row>
    <row r="40" spans="1:14" ht="12.6" customHeight="1" x14ac:dyDescent="0.2">
      <c r="A40" s="44" t="s">
        <v>2224</v>
      </c>
      <c r="B40" s="41">
        <f t="shared" si="15"/>
        <v>3275</v>
      </c>
      <c r="C40" s="45"/>
      <c r="D40" s="42"/>
      <c r="E40" s="45">
        <f>F39</f>
        <v>1211</v>
      </c>
      <c r="F40" s="45"/>
      <c r="G40" s="45">
        <f>INT(B40/3)</f>
        <v>1091</v>
      </c>
      <c r="H40" s="45"/>
      <c r="I40" s="41">
        <f t="shared" si="16"/>
        <v>3395</v>
      </c>
      <c r="J40" s="41">
        <f t="shared" si="17"/>
        <v>1217275</v>
      </c>
      <c r="K40" s="43">
        <v>21.3</v>
      </c>
      <c r="L40" s="46">
        <f>(B40+I40)/2*K40*365</f>
        <v>25927957.5</v>
      </c>
      <c r="M40" s="44">
        <v>500</v>
      </c>
      <c r="N40" s="237">
        <f t="shared" ref="N40" si="18">G40*M40</f>
        <v>545500</v>
      </c>
    </row>
    <row r="41" spans="1:14" ht="12.6" customHeight="1" x14ac:dyDescent="0.2">
      <c r="A41" s="51" t="s">
        <v>2225</v>
      </c>
      <c r="B41" s="48">
        <f t="shared" si="15"/>
        <v>0</v>
      </c>
      <c r="C41" s="49"/>
      <c r="D41" s="49">
        <f>D37</f>
        <v>1743</v>
      </c>
      <c r="E41" s="49"/>
      <c r="F41" s="49"/>
      <c r="G41" s="49">
        <f>B41+D41-H41</f>
        <v>1656</v>
      </c>
      <c r="H41" s="49">
        <f>INT(D41*5%)</f>
        <v>87</v>
      </c>
      <c r="I41" s="48">
        <f t="shared" si="16"/>
        <v>0</v>
      </c>
      <c r="J41" s="48">
        <f>(B41+I41)/2*365+D41*30</f>
        <v>52290</v>
      </c>
      <c r="K41" s="50"/>
      <c r="L41" s="48"/>
      <c r="M41" s="51">
        <v>60</v>
      </c>
      <c r="N41" s="251">
        <f>G41*M41</f>
        <v>99360</v>
      </c>
    </row>
    <row r="42" spans="1:14" ht="12.6" customHeight="1" x14ac:dyDescent="0.2"/>
    <row r="43" spans="1:14" ht="14.1" customHeight="1" x14ac:dyDescent="0.2">
      <c r="A43" s="388">
        <v>2021</v>
      </c>
      <c r="B43" s="386" t="s">
        <v>2207</v>
      </c>
      <c r="C43" s="390" t="s">
        <v>2208</v>
      </c>
      <c r="D43" s="390"/>
      <c r="E43" s="390"/>
      <c r="F43" s="390" t="s">
        <v>2209</v>
      </c>
      <c r="G43" s="390"/>
      <c r="H43" s="390"/>
      <c r="I43" s="386" t="s">
        <v>2210</v>
      </c>
      <c r="J43" s="386" t="s">
        <v>2211</v>
      </c>
      <c r="K43" s="386" t="s">
        <v>2212</v>
      </c>
      <c r="L43" s="386" t="s">
        <v>2213</v>
      </c>
      <c r="M43" s="386" t="s">
        <v>2214</v>
      </c>
      <c r="N43" s="386" t="s">
        <v>2215</v>
      </c>
    </row>
    <row r="44" spans="1:14" ht="14.1" customHeight="1" thickBot="1" x14ac:dyDescent="0.25">
      <c r="A44" s="389"/>
      <c r="B44" s="387"/>
      <c r="C44" s="331" t="s">
        <v>2216</v>
      </c>
      <c r="D44" s="331" t="s">
        <v>2217</v>
      </c>
      <c r="E44" s="331" t="s">
        <v>2218</v>
      </c>
      <c r="F44" s="331" t="s">
        <v>2219</v>
      </c>
      <c r="G44" s="331" t="s">
        <v>2229</v>
      </c>
      <c r="H44" s="331" t="s">
        <v>2220</v>
      </c>
      <c r="I44" s="387"/>
      <c r="J44" s="387"/>
      <c r="K44" s="387"/>
      <c r="L44" s="387"/>
      <c r="M44" s="387"/>
      <c r="N44" s="387"/>
    </row>
    <row r="45" spans="1:14" ht="12.6" customHeight="1" thickTop="1" x14ac:dyDescent="0.2">
      <c r="A45" s="44" t="s">
        <v>2221</v>
      </c>
      <c r="B45" s="41">
        <f>I37</f>
        <v>3302</v>
      </c>
      <c r="C45" s="45"/>
      <c r="D45" s="45">
        <f>INT((B48+0.7*B47)/2)</f>
        <v>1758</v>
      </c>
      <c r="E45" s="45"/>
      <c r="F45" s="335">
        <v>1500</v>
      </c>
      <c r="G45" s="45"/>
      <c r="H45" s="45">
        <f>INT(D45*5%)</f>
        <v>87</v>
      </c>
      <c r="I45" s="41">
        <f>B45+C45+D45+E45-F45-G45-H45</f>
        <v>3473</v>
      </c>
      <c r="J45" s="41">
        <f>(B45+I45)/2*365</f>
        <v>1236437.5</v>
      </c>
      <c r="K45" s="43"/>
      <c r="L45" s="41"/>
      <c r="M45" s="44"/>
      <c r="N45" s="235"/>
    </row>
    <row r="46" spans="1:14" ht="12.6" customHeight="1" x14ac:dyDescent="0.2">
      <c r="A46" s="44" t="s">
        <v>2222</v>
      </c>
      <c r="B46" s="41">
        <f t="shared" ref="B46:B49" si="19">I38</f>
        <v>64</v>
      </c>
      <c r="C46" s="335"/>
      <c r="D46" s="42"/>
      <c r="E46" s="45">
        <f>F45</f>
        <v>1500</v>
      </c>
      <c r="F46" s="335">
        <v>1138</v>
      </c>
      <c r="G46" s="335">
        <v>240</v>
      </c>
      <c r="H46" s="45"/>
      <c r="I46" s="41">
        <f t="shared" ref="I46:I49" si="20">B46+C46+D46+E46-F46-G46-H46</f>
        <v>186</v>
      </c>
      <c r="J46" s="41">
        <f t="shared" ref="J46:J48" si="21">(B46+I46)/2*365</f>
        <v>45625</v>
      </c>
      <c r="K46" s="43"/>
      <c r="L46" s="41"/>
      <c r="M46" s="44"/>
      <c r="N46" s="237"/>
    </row>
    <row r="47" spans="1:14" ht="12.6" customHeight="1" x14ac:dyDescent="0.2">
      <c r="A47" s="44" t="s">
        <v>2223</v>
      </c>
      <c r="B47" s="41">
        <f t="shared" si="19"/>
        <v>173</v>
      </c>
      <c r="C47" s="45"/>
      <c r="D47" s="42"/>
      <c r="E47" s="45">
        <f>F46</f>
        <v>1138</v>
      </c>
      <c r="F47" s="335">
        <v>1288</v>
      </c>
      <c r="G47" s="45"/>
      <c r="H47" s="45"/>
      <c r="I47" s="41">
        <f t="shared" si="20"/>
        <v>23</v>
      </c>
      <c r="J47" s="41">
        <f t="shared" si="21"/>
        <v>35770</v>
      </c>
      <c r="K47" s="43">
        <v>17</v>
      </c>
      <c r="L47" s="46">
        <f>(B47+I47)/2*K47*365</f>
        <v>608090</v>
      </c>
      <c r="M47" s="44"/>
      <c r="N47" s="235"/>
    </row>
    <row r="48" spans="1:14" ht="12.6" customHeight="1" x14ac:dyDescent="0.2">
      <c r="A48" s="44" t="s">
        <v>2224</v>
      </c>
      <c r="B48" s="41">
        <f t="shared" si="19"/>
        <v>3395</v>
      </c>
      <c r="C48" s="45"/>
      <c r="D48" s="42"/>
      <c r="E48" s="45">
        <f>F47</f>
        <v>1288</v>
      </c>
      <c r="F48" s="45"/>
      <c r="G48" s="45">
        <f>INT(B48/3)</f>
        <v>1131</v>
      </c>
      <c r="H48" s="45"/>
      <c r="I48" s="41">
        <f t="shared" si="20"/>
        <v>3552</v>
      </c>
      <c r="J48" s="41">
        <f t="shared" si="21"/>
        <v>1267827.5</v>
      </c>
      <c r="K48" s="43">
        <v>21.3</v>
      </c>
      <c r="L48" s="46">
        <f>(B48+I48)/2*K48*365</f>
        <v>27004725.75</v>
      </c>
      <c r="M48" s="44">
        <v>500</v>
      </c>
      <c r="N48" s="237">
        <f t="shared" ref="N48" si="22">G48*M48</f>
        <v>565500</v>
      </c>
    </row>
    <row r="49" spans="1:14" ht="12.6" customHeight="1" x14ac:dyDescent="0.2">
      <c r="A49" s="51" t="s">
        <v>2225</v>
      </c>
      <c r="B49" s="48">
        <f t="shared" si="19"/>
        <v>0</v>
      </c>
      <c r="C49" s="49"/>
      <c r="D49" s="49">
        <f>D45</f>
        <v>1758</v>
      </c>
      <c r="E49" s="49"/>
      <c r="F49" s="49"/>
      <c r="G49" s="49">
        <f>B49+D49-H49</f>
        <v>1671</v>
      </c>
      <c r="H49" s="49">
        <f>INT(D49*5%)</f>
        <v>87</v>
      </c>
      <c r="I49" s="48">
        <f t="shared" si="20"/>
        <v>0</v>
      </c>
      <c r="J49" s="48">
        <f>(B49+I49)/2*365+D49*30</f>
        <v>52740</v>
      </c>
      <c r="K49" s="50"/>
      <c r="L49" s="48"/>
      <c r="M49" s="51">
        <v>60</v>
      </c>
      <c r="N49" s="251">
        <f>G49*M49</f>
        <v>100260</v>
      </c>
    </row>
    <row r="50" spans="1:14" ht="12.6" customHeight="1" x14ac:dyDescent="0.2"/>
    <row r="51" spans="1:14" ht="14.1" customHeight="1" x14ac:dyDescent="0.2">
      <c r="A51" s="388">
        <v>2022</v>
      </c>
      <c r="B51" s="386" t="s">
        <v>2207</v>
      </c>
      <c r="C51" s="390" t="s">
        <v>2208</v>
      </c>
      <c r="D51" s="390"/>
      <c r="E51" s="390"/>
      <c r="F51" s="390" t="s">
        <v>2209</v>
      </c>
      <c r="G51" s="390"/>
      <c r="H51" s="390"/>
      <c r="I51" s="386" t="s">
        <v>2210</v>
      </c>
      <c r="J51" s="386" t="s">
        <v>2211</v>
      </c>
      <c r="K51" s="386" t="s">
        <v>2212</v>
      </c>
      <c r="L51" s="386" t="s">
        <v>2213</v>
      </c>
      <c r="M51" s="386" t="s">
        <v>2214</v>
      </c>
      <c r="N51" s="386" t="s">
        <v>2215</v>
      </c>
    </row>
    <row r="52" spans="1:14" ht="14.1" customHeight="1" thickBot="1" x14ac:dyDescent="0.25">
      <c r="A52" s="389"/>
      <c r="B52" s="387"/>
      <c r="C52" s="331" t="s">
        <v>2216</v>
      </c>
      <c r="D52" s="331" t="s">
        <v>2217</v>
      </c>
      <c r="E52" s="331" t="s">
        <v>2218</v>
      </c>
      <c r="F52" s="331" t="s">
        <v>2219</v>
      </c>
      <c r="G52" s="331" t="s">
        <v>2229</v>
      </c>
      <c r="H52" s="331" t="s">
        <v>2220</v>
      </c>
      <c r="I52" s="387"/>
      <c r="J52" s="387"/>
      <c r="K52" s="387"/>
      <c r="L52" s="387"/>
      <c r="M52" s="387"/>
      <c r="N52" s="387"/>
    </row>
    <row r="53" spans="1:14" ht="12.6" customHeight="1" thickTop="1" x14ac:dyDescent="0.2">
      <c r="A53" s="44" t="s">
        <v>2221</v>
      </c>
      <c r="B53" s="41">
        <f>I45</f>
        <v>3473</v>
      </c>
      <c r="C53" s="45"/>
      <c r="D53" s="45">
        <f>INT((B56+0.7*B55)/2)</f>
        <v>1784</v>
      </c>
      <c r="E53" s="45"/>
      <c r="F53" s="335">
        <v>1556</v>
      </c>
      <c r="G53" s="45"/>
      <c r="H53" s="45">
        <f>INT(D53*5%)</f>
        <v>89</v>
      </c>
      <c r="I53" s="41">
        <f>B53+C53+D53+E53-F53-G53-H53</f>
        <v>3612</v>
      </c>
      <c r="J53" s="41">
        <f>(B53+I53)/2*365</f>
        <v>1293012.5</v>
      </c>
      <c r="K53" s="43"/>
      <c r="L53" s="41"/>
      <c r="M53" s="44"/>
      <c r="N53" s="235"/>
    </row>
    <row r="54" spans="1:14" ht="12.6" customHeight="1" x14ac:dyDescent="0.2">
      <c r="A54" s="44" t="s">
        <v>2222</v>
      </c>
      <c r="B54" s="41">
        <f t="shared" ref="B54:B57" si="23">I46</f>
        <v>186</v>
      </c>
      <c r="C54" s="335"/>
      <c r="D54" s="42"/>
      <c r="E54" s="45">
        <f>F53</f>
        <v>1556</v>
      </c>
      <c r="F54" s="335">
        <v>1181</v>
      </c>
      <c r="G54" s="335">
        <v>420</v>
      </c>
      <c r="H54" s="45"/>
      <c r="I54" s="41">
        <f t="shared" ref="I54:I57" si="24">B54+C54+D54+E54-F54-G54-H54</f>
        <v>141</v>
      </c>
      <c r="J54" s="41">
        <f t="shared" ref="J54:J56" si="25">(B54+I54)/2*365</f>
        <v>59677.5</v>
      </c>
      <c r="K54" s="43"/>
      <c r="L54" s="41"/>
      <c r="M54" s="44"/>
      <c r="N54" s="237"/>
    </row>
    <row r="55" spans="1:14" ht="12.6" customHeight="1" x14ac:dyDescent="0.2">
      <c r="A55" s="44" t="s">
        <v>2223</v>
      </c>
      <c r="B55" s="41">
        <f t="shared" si="23"/>
        <v>23</v>
      </c>
      <c r="C55" s="45"/>
      <c r="D55" s="42"/>
      <c r="E55" s="45">
        <f>F54</f>
        <v>1181</v>
      </c>
      <c r="F55" s="335">
        <v>1181</v>
      </c>
      <c r="G55" s="45"/>
      <c r="H55" s="45"/>
      <c r="I55" s="41">
        <f t="shared" si="24"/>
        <v>23</v>
      </c>
      <c r="J55" s="41">
        <f t="shared" si="25"/>
        <v>8395</v>
      </c>
      <c r="K55" s="43">
        <v>17</v>
      </c>
      <c r="L55" s="46">
        <f>(B55+I55)/2*K55*365</f>
        <v>142715</v>
      </c>
      <c r="M55" s="44"/>
      <c r="N55" s="235"/>
    </row>
    <row r="56" spans="1:14" ht="12.6" customHeight="1" x14ac:dyDescent="0.2">
      <c r="A56" s="44" t="s">
        <v>2224</v>
      </c>
      <c r="B56" s="41">
        <f t="shared" si="23"/>
        <v>3552</v>
      </c>
      <c r="C56" s="45"/>
      <c r="D56" s="42"/>
      <c r="E56" s="45">
        <f>F55</f>
        <v>1181</v>
      </c>
      <c r="F56" s="45"/>
      <c r="G56" s="45">
        <f>INT(B56/3)</f>
        <v>1184</v>
      </c>
      <c r="H56" s="45"/>
      <c r="I56" s="41">
        <f t="shared" si="24"/>
        <v>3549</v>
      </c>
      <c r="J56" s="41">
        <f t="shared" si="25"/>
        <v>1295932.5</v>
      </c>
      <c r="K56" s="43">
        <v>21.3</v>
      </c>
      <c r="L56" s="46">
        <f>(B56+I56)/2*K56*365</f>
        <v>27603362.250000004</v>
      </c>
      <c r="M56" s="44">
        <v>500</v>
      </c>
      <c r="N56" s="237">
        <f t="shared" ref="N56" si="26">G56*M56</f>
        <v>592000</v>
      </c>
    </row>
    <row r="57" spans="1:14" ht="12.6" customHeight="1" x14ac:dyDescent="0.2">
      <c r="A57" s="51" t="s">
        <v>2225</v>
      </c>
      <c r="B57" s="48">
        <f t="shared" si="23"/>
        <v>0</v>
      </c>
      <c r="C57" s="49"/>
      <c r="D57" s="49">
        <f>D53</f>
        <v>1784</v>
      </c>
      <c r="E57" s="49"/>
      <c r="F57" s="49"/>
      <c r="G57" s="49">
        <f>B57+D57-H57</f>
        <v>1695</v>
      </c>
      <c r="H57" s="49">
        <f>INT(D57*5%)</f>
        <v>89</v>
      </c>
      <c r="I57" s="48">
        <f t="shared" si="24"/>
        <v>0</v>
      </c>
      <c r="J57" s="48">
        <f>(B57+I57)/2*365+D57*30</f>
        <v>53520</v>
      </c>
      <c r="K57" s="50"/>
      <c r="L57" s="48"/>
      <c r="M57" s="51">
        <v>60</v>
      </c>
      <c r="N57" s="251">
        <f>G57*M57</f>
        <v>101700</v>
      </c>
    </row>
    <row r="58" spans="1:14" ht="12.6" customHeight="1" x14ac:dyDescent="0.2"/>
    <row r="59" spans="1:14" ht="14.1" customHeight="1" x14ac:dyDescent="0.2">
      <c r="A59" s="388">
        <v>2023</v>
      </c>
      <c r="B59" s="386" t="s">
        <v>2207</v>
      </c>
      <c r="C59" s="390" t="s">
        <v>2208</v>
      </c>
      <c r="D59" s="390"/>
      <c r="E59" s="390"/>
      <c r="F59" s="390" t="s">
        <v>2209</v>
      </c>
      <c r="G59" s="390"/>
      <c r="H59" s="390"/>
      <c r="I59" s="386" t="s">
        <v>2210</v>
      </c>
      <c r="J59" s="386" t="s">
        <v>2211</v>
      </c>
      <c r="K59" s="386" t="s">
        <v>2212</v>
      </c>
      <c r="L59" s="386" t="s">
        <v>2213</v>
      </c>
      <c r="M59" s="386" t="s">
        <v>2214</v>
      </c>
      <c r="N59" s="386" t="s">
        <v>2215</v>
      </c>
    </row>
    <row r="60" spans="1:14" ht="14.1" customHeight="1" thickBot="1" x14ac:dyDescent="0.25">
      <c r="A60" s="389"/>
      <c r="B60" s="387"/>
      <c r="C60" s="331" t="s">
        <v>2216</v>
      </c>
      <c r="D60" s="331" t="s">
        <v>2217</v>
      </c>
      <c r="E60" s="331" t="s">
        <v>2218</v>
      </c>
      <c r="F60" s="331" t="s">
        <v>2219</v>
      </c>
      <c r="G60" s="331" t="s">
        <v>2229</v>
      </c>
      <c r="H60" s="331" t="s">
        <v>2220</v>
      </c>
      <c r="I60" s="387"/>
      <c r="J60" s="387"/>
      <c r="K60" s="387"/>
      <c r="L60" s="387"/>
      <c r="M60" s="387"/>
      <c r="N60" s="387"/>
    </row>
    <row r="61" spans="1:14" ht="12.6" customHeight="1" thickTop="1" x14ac:dyDescent="0.2">
      <c r="A61" s="44" t="s">
        <v>2221</v>
      </c>
      <c r="B61" s="41">
        <f>I53</f>
        <v>3612</v>
      </c>
      <c r="C61" s="45"/>
      <c r="D61" s="45">
        <f>INT((B64+0.7*B63)/2)</f>
        <v>1782</v>
      </c>
      <c r="E61" s="45"/>
      <c r="F61" s="335">
        <v>1650</v>
      </c>
      <c r="G61" s="45"/>
      <c r="H61" s="45">
        <f>INT(D61*5%)</f>
        <v>89</v>
      </c>
      <c r="I61" s="41">
        <f>B61+C61+D61+E61-F61-G61-H61</f>
        <v>3655</v>
      </c>
      <c r="J61" s="41">
        <f>(B61+I61)/2*365</f>
        <v>1326227.5</v>
      </c>
      <c r="K61" s="43"/>
      <c r="L61" s="41"/>
      <c r="M61" s="44"/>
      <c r="N61" s="235"/>
    </row>
    <row r="62" spans="1:14" ht="12.6" customHeight="1" x14ac:dyDescent="0.2">
      <c r="A62" s="44" t="s">
        <v>2222</v>
      </c>
      <c r="B62" s="41">
        <f t="shared" ref="B62:B65" si="27">I54</f>
        <v>141</v>
      </c>
      <c r="C62" s="335"/>
      <c r="D62" s="42"/>
      <c r="E62" s="45">
        <f>F61</f>
        <v>1650</v>
      </c>
      <c r="F62" s="335">
        <v>1181</v>
      </c>
      <c r="G62" s="335">
        <v>480</v>
      </c>
      <c r="H62" s="45"/>
      <c r="I62" s="41">
        <f t="shared" ref="I62:I65" si="28">B62+C62+D62+E62-F62-G62-H62</f>
        <v>130</v>
      </c>
      <c r="J62" s="41">
        <f t="shared" ref="J62:J64" si="29">(B62+I62)/2*365</f>
        <v>49457.5</v>
      </c>
      <c r="K62" s="43"/>
      <c r="L62" s="41"/>
      <c r="M62" s="44"/>
      <c r="N62" s="237"/>
    </row>
    <row r="63" spans="1:14" ht="12.6" customHeight="1" x14ac:dyDescent="0.2">
      <c r="A63" s="44" t="s">
        <v>2223</v>
      </c>
      <c r="B63" s="41">
        <f t="shared" si="27"/>
        <v>23</v>
      </c>
      <c r="C63" s="45"/>
      <c r="D63" s="42"/>
      <c r="E63" s="45">
        <f>F62</f>
        <v>1181</v>
      </c>
      <c r="F63" s="335">
        <v>1181</v>
      </c>
      <c r="G63" s="45"/>
      <c r="H63" s="45"/>
      <c r="I63" s="41">
        <f t="shared" si="28"/>
        <v>23</v>
      </c>
      <c r="J63" s="41">
        <f t="shared" si="29"/>
        <v>8395</v>
      </c>
      <c r="K63" s="43">
        <v>17</v>
      </c>
      <c r="L63" s="46">
        <f>(B63+I63)/2*K63*365</f>
        <v>142715</v>
      </c>
      <c r="M63" s="44"/>
      <c r="N63" s="235"/>
    </row>
    <row r="64" spans="1:14" ht="12.6" customHeight="1" x14ac:dyDescent="0.2">
      <c r="A64" s="44" t="s">
        <v>2224</v>
      </c>
      <c r="B64" s="41">
        <f t="shared" si="27"/>
        <v>3549</v>
      </c>
      <c r="C64" s="45"/>
      <c r="D64" s="42"/>
      <c r="E64" s="45">
        <f>F63</f>
        <v>1181</v>
      </c>
      <c r="F64" s="45"/>
      <c r="G64" s="45">
        <f>INT(B64/3)</f>
        <v>1183</v>
      </c>
      <c r="H64" s="45"/>
      <c r="I64" s="41">
        <f t="shared" si="28"/>
        <v>3547</v>
      </c>
      <c r="J64" s="41">
        <f t="shared" si="29"/>
        <v>1295020</v>
      </c>
      <c r="K64" s="43">
        <v>21.3</v>
      </c>
      <c r="L64" s="46">
        <f>(B64+I64)/2*K64*365</f>
        <v>27583926.000000004</v>
      </c>
      <c r="M64" s="44">
        <v>500</v>
      </c>
      <c r="N64" s="237">
        <f t="shared" ref="N64" si="30">G64*M64</f>
        <v>591500</v>
      </c>
    </row>
    <row r="65" spans="1:14" ht="12.6" customHeight="1" x14ac:dyDescent="0.2">
      <c r="A65" s="51" t="s">
        <v>2225</v>
      </c>
      <c r="B65" s="48">
        <f t="shared" si="27"/>
        <v>0</v>
      </c>
      <c r="C65" s="49"/>
      <c r="D65" s="49">
        <f>D61</f>
        <v>1782</v>
      </c>
      <c r="E65" s="49"/>
      <c r="F65" s="49"/>
      <c r="G65" s="49">
        <f>B65+D65-H65</f>
        <v>1693</v>
      </c>
      <c r="H65" s="49">
        <f>INT(D65*5%)</f>
        <v>89</v>
      </c>
      <c r="I65" s="48">
        <f t="shared" si="28"/>
        <v>0</v>
      </c>
      <c r="J65" s="48">
        <f>(B65+I65)/2*365+D65*30</f>
        <v>53460</v>
      </c>
      <c r="K65" s="50"/>
      <c r="L65" s="48"/>
      <c r="M65" s="51">
        <v>60</v>
      </c>
      <c r="N65" s="251">
        <f>G65*M65</f>
        <v>101580</v>
      </c>
    </row>
    <row r="66" spans="1:14" ht="12.6" customHeight="1" x14ac:dyDescent="0.2"/>
    <row r="67" spans="1:14" ht="14.1" customHeight="1" x14ac:dyDescent="0.2">
      <c r="A67" s="388">
        <v>2024</v>
      </c>
      <c r="B67" s="386" t="s">
        <v>2207</v>
      </c>
      <c r="C67" s="390" t="s">
        <v>2208</v>
      </c>
      <c r="D67" s="390"/>
      <c r="E67" s="390"/>
      <c r="F67" s="390" t="s">
        <v>2209</v>
      </c>
      <c r="G67" s="390"/>
      <c r="H67" s="390"/>
      <c r="I67" s="386" t="s">
        <v>2210</v>
      </c>
      <c r="J67" s="386" t="s">
        <v>2211</v>
      </c>
      <c r="K67" s="386" t="s">
        <v>2212</v>
      </c>
      <c r="L67" s="386" t="s">
        <v>2213</v>
      </c>
      <c r="M67" s="386" t="s">
        <v>2214</v>
      </c>
      <c r="N67" s="386" t="s">
        <v>2215</v>
      </c>
    </row>
    <row r="68" spans="1:14" ht="14.1" customHeight="1" thickBot="1" x14ac:dyDescent="0.25">
      <c r="A68" s="389"/>
      <c r="B68" s="387"/>
      <c r="C68" s="331" t="s">
        <v>2216</v>
      </c>
      <c r="D68" s="331" t="s">
        <v>2217</v>
      </c>
      <c r="E68" s="331" t="s">
        <v>2218</v>
      </c>
      <c r="F68" s="331" t="s">
        <v>2219</v>
      </c>
      <c r="G68" s="331" t="s">
        <v>2229</v>
      </c>
      <c r="H68" s="331" t="s">
        <v>2220</v>
      </c>
      <c r="I68" s="387"/>
      <c r="J68" s="387"/>
      <c r="K68" s="387"/>
      <c r="L68" s="387"/>
      <c r="M68" s="387"/>
      <c r="N68" s="387"/>
    </row>
    <row r="69" spans="1:14" ht="12.6" customHeight="1" thickTop="1" x14ac:dyDescent="0.2">
      <c r="A69" s="44" t="s">
        <v>2221</v>
      </c>
      <c r="B69" s="41">
        <f>I61</f>
        <v>3655</v>
      </c>
      <c r="C69" s="45"/>
      <c r="D69" s="45">
        <f>INT((B72+0.7*B71)/2)</f>
        <v>1781</v>
      </c>
      <c r="E69" s="45"/>
      <c r="F69" s="335">
        <v>1650</v>
      </c>
      <c r="G69" s="45"/>
      <c r="H69" s="45">
        <f>INT(D69*5%)</f>
        <v>89</v>
      </c>
      <c r="I69" s="41">
        <f>B69+C69+D69+E69-F69-G69-H69</f>
        <v>3697</v>
      </c>
      <c r="J69" s="41">
        <f>(B69+I69)/2*365</f>
        <v>1341740</v>
      </c>
      <c r="K69" s="43"/>
      <c r="L69" s="41"/>
      <c r="M69" s="44"/>
      <c r="N69" s="235"/>
    </row>
    <row r="70" spans="1:14" ht="12.6" customHeight="1" x14ac:dyDescent="0.2">
      <c r="A70" s="44" t="s">
        <v>2222</v>
      </c>
      <c r="B70" s="41">
        <f t="shared" ref="B70:B73" si="31">I62</f>
        <v>130</v>
      </c>
      <c r="C70" s="335"/>
      <c r="D70" s="42"/>
      <c r="E70" s="45">
        <f>F69</f>
        <v>1650</v>
      </c>
      <c r="F70" s="335">
        <v>1174</v>
      </c>
      <c r="G70" s="335">
        <v>470</v>
      </c>
      <c r="H70" s="45"/>
      <c r="I70" s="41">
        <f t="shared" ref="I70:I73" si="32">B70+C70+D70+E70-F70-G70-H70</f>
        <v>136</v>
      </c>
      <c r="J70" s="41">
        <f t="shared" ref="J70:J72" si="33">(B70+I70)/2*365</f>
        <v>48545</v>
      </c>
      <c r="K70" s="43"/>
      <c r="L70" s="41"/>
      <c r="M70" s="44"/>
      <c r="N70" s="237"/>
    </row>
    <row r="71" spans="1:14" ht="12.6" customHeight="1" x14ac:dyDescent="0.2">
      <c r="A71" s="44" t="s">
        <v>2223</v>
      </c>
      <c r="B71" s="41">
        <f t="shared" si="31"/>
        <v>23</v>
      </c>
      <c r="C71" s="45"/>
      <c r="D71" s="42"/>
      <c r="E71" s="45">
        <f>F70</f>
        <v>1174</v>
      </c>
      <c r="F71" s="335">
        <v>1174</v>
      </c>
      <c r="G71" s="45"/>
      <c r="H71" s="45"/>
      <c r="I71" s="41">
        <f t="shared" si="32"/>
        <v>23</v>
      </c>
      <c r="J71" s="41">
        <f t="shared" si="33"/>
        <v>8395</v>
      </c>
      <c r="K71" s="43">
        <v>17</v>
      </c>
      <c r="L71" s="46">
        <f>(B71+I71)/2*K71*365</f>
        <v>142715</v>
      </c>
      <c r="M71" s="44"/>
      <c r="N71" s="235"/>
    </row>
    <row r="72" spans="1:14" ht="12.6" customHeight="1" x14ac:dyDescent="0.2">
      <c r="A72" s="44" t="s">
        <v>2224</v>
      </c>
      <c r="B72" s="41">
        <f t="shared" si="31"/>
        <v>3547</v>
      </c>
      <c r="C72" s="45"/>
      <c r="D72" s="42"/>
      <c r="E72" s="45">
        <f>F71</f>
        <v>1174</v>
      </c>
      <c r="F72" s="45"/>
      <c r="G72" s="45">
        <f>INT(B72/3)</f>
        <v>1182</v>
      </c>
      <c r="H72" s="45"/>
      <c r="I72" s="41">
        <f t="shared" si="32"/>
        <v>3539</v>
      </c>
      <c r="J72" s="41">
        <f t="shared" si="33"/>
        <v>1293195</v>
      </c>
      <c r="K72" s="43">
        <v>21.3</v>
      </c>
      <c r="L72" s="46">
        <f>(B72+I72)/2*K72*365</f>
        <v>27545053.500000004</v>
      </c>
      <c r="M72" s="44">
        <v>500</v>
      </c>
      <c r="N72" s="237">
        <f t="shared" ref="N72" si="34">G72*M72</f>
        <v>591000</v>
      </c>
    </row>
    <row r="73" spans="1:14" ht="12.6" customHeight="1" x14ac:dyDescent="0.2">
      <c r="A73" s="51" t="s">
        <v>2225</v>
      </c>
      <c r="B73" s="48">
        <f t="shared" si="31"/>
        <v>0</v>
      </c>
      <c r="C73" s="49"/>
      <c r="D73" s="49">
        <f>D69</f>
        <v>1781</v>
      </c>
      <c r="E73" s="49"/>
      <c r="F73" s="49"/>
      <c r="G73" s="49">
        <f>B73+D73-H73</f>
        <v>1692</v>
      </c>
      <c r="H73" s="49">
        <f>INT(D73*5%)</f>
        <v>89</v>
      </c>
      <c r="I73" s="48">
        <f t="shared" si="32"/>
        <v>0</v>
      </c>
      <c r="J73" s="48">
        <f>(B73+I73)/2*365+D73*30</f>
        <v>53430</v>
      </c>
      <c r="K73" s="50"/>
      <c r="L73" s="48"/>
      <c r="M73" s="51">
        <v>60</v>
      </c>
      <c r="N73" s="251">
        <f>G73*M73</f>
        <v>101520</v>
      </c>
    </row>
    <row r="74" spans="1:14" ht="12.6" customHeight="1" x14ac:dyDescent="0.2"/>
    <row r="75" spans="1:14" ht="14.1" customHeight="1" x14ac:dyDescent="0.2">
      <c r="A75" s="388">
        <v>2025</v>
      </c>
      <c r="B75" s="386" t="s">
        <v>2207</v>
      </c>
      <c r="C75" s="390" t="s">
        <v>2208</v>
      </c>
      <c r="D75" s="390"/>
      <c r="E75" s="390"/>
      <c r="F75" s="390" t="s">
        <v>2209</v>
      </c>
      <c r="G75" s="390"/>
      <c r="H75" s="390"/>
      <c r="I75" s="386" t="s">
        <v>2210</v>
      </c>
      <c r="J75" s="386" t="s">
        <v>2211</v>
      </c>
      <c r="K75" s="386" t="s">
        <v>2212</v>
      </c>
      <c r="L75" s="386" t="s">
        <v>2213</v>
      </c>
      <c r="M75" s="386" t="s">
        <v>2214</v>
      </c>
      <c r="N75" s="386" t="s">
        <v>2215</v>
      </c>
    </row>
    <row r="76" spans="1:14" ht="14.1" customHeight="1" thickBot="1" x14ac:dyDescent="0.25">
      <c r="A76" s="389"/>
      <c r="B76" s="387"/>
      <c r="C76" s="331" t="s">
        <v>2216</v>
      </c>
      <c r="D76" s="331" t="s">
        <v>2217</v>
      </c>
      <c r="E76" s="331" t="s">
        <v>2218</v>
      </c>
      <c r="F76" s="331" t="s">
        <v>2219</v>
      </c>
      <c r="G76" s="331" t="s">
        <v>2229</v>
      </c>
      <c r="H76" s="331" t="s">
        <v>2220</v>
      </c>
      <c r="I76" s="387"/>
      <c r="J76" s="387"/>
      <c r="K76" s="387"/>
      <c r="L76" s="387"/>
      <c r="M76" s="387"/>
      <c r="N76" s="387"/>
    </row>
    <row r="77" spans="1:14" ht="12.6" customHeight="1" thickTop="1" x14ac:dyDescent="0.2">
      <c r="A77" s="44" t="s">
        <v>2221</v>
      </c>
      <c r="B77" s="41">
        <f>I69</f>
        <v>3697</v>
      </c>
      <c r="C77" s="45"/>
      <c r="D77" s="45">
        <f>INT((B80+0.7*B79)/2)</f>
        <v>1777</v>
      </c>
      <c r="E77" s="45"/>
      <c r="F77" s="335">
        <v>1650</v>
      </c>
      <c r="G77" s="45"/>
      <c r="H77" s="45">
        <f>INT(D77*5%)</f>
        <v>88</v>
      </c>
      <c r="I77" s="41">
        <f>B77+C77+D77+E77-F77-G77-H77</f>
        <v>3736</v>
      </c>
      <c r="J77" s="41">
        <f>(B77+I77)/2*365</f>
        <v>1356522.5</v>
      </c>
      <c r="K77" s="43"/>
      <c r="L77" s="41"/>
      <c r="M77" s="44"/>
      <c r="N77" s="235"/>
    </row>
    <row r="78" spans="1:14" ht="12.6" customHeight="1" x14ac:dyDescent="0.2">
      <c r="A78" s="44" t="s">
        <v>2222</v>
      </c>
      <c r="B78" s="41">
        <f t="shared" ref="B78:B81" si="35">I70</f>
        <v>136</v>
      </c>
      <c r="C78" s="335"/>
      <c r="D78" s="42"/>
      <c r="E78" s="45">
        <f>F77</f>
        <v>1650</v>
      </c>
      <c r="F78" s="335">
        <v>1185</v>
      </c>
      <c r="G78" s="335">
        <v>470</v>
      </c>
      <c r="H78" s="45"/>
      <c r="I78" s="41">
        <f t="shared" ref="I78:I81" si="36">B78+C78+D78+E78-F78-G78-H78</f>
        <v>131</v>
      </c>
      <c r="J78" s="41">
        <f t="shared" ref="J78:J80" si="37">(B78+I78)/2*365</f>
        <v>48727.5</v>
      </c>
      <c r="K78" s="43"/>
      <c r="L78" s="41"/>
      <c r="M78" s="44"/>
      <c r="N78" s="237"/>
    </row>
    <row r="79" spans="1:14" ht="12.6" customHeight="1" x14ac:dyDescent="0.2">
      <c r="A79" s="44" t="s">
        <v>2223</v>
      </c>
      <c r="B79" s="41">
        <f t="shared" si="35"/>
        <v>23</v>
      </c>
      <c r="C79" s="45"/>
      <c r="D79" s="42"/>
      <c r="E79" s="45">
        <f>F78</f>
        <v>1185</v>
      </c>
      <c r="F79" s="335">
        <v>1185</v>
      </c>
      <c r="G79" s="45"/>
      <c r="H79" s="45"/>
      <c r="I79" s="41">
        <f t="shared" si="36"/>
        <v>23</v>
      </c>
      <c r="J79" s="41">
        <f t="shared" si="37"/>
        <v>8395</v>
      </c>
      <c r="K79" s="43">
        <v>17</v>
      </c>
      <c r="L79" s="46">
        <f>(B79+I79)/2*K79*365</f>
        <v>142715</v>
      </c>
      <c r="M79" s="44"/>
      <c r="N79" s="235"/>
    </row>
    <row r="80" spans="1:14" ht="12.6" customHeight="1" x14ac:dyDescent="0.2">
      <c r="A80" s="44" t="s">
        <v>2224</v>
      </c>
      <c r="B80" s="41">
        <f t="shared" si="35"/>
        <v>3539</v>
      </c>
      <c r="C80" s="45"/>
      <c r="D80" s="42"/>
      <c r="E80" s="45">
        <f>F79</f>
        <v>1185</v>
      </c>
      <c r="F80" s="45"/>
      <c r="G80" s="45">
        <f>INT(B80/3)</f>
        <v>1179</v>
      </c>
      <c r="H80" s="45"/>
      <c r="I80" s="41">
        <f t="shared" si="36"/>
        <v>3545</v>
      </c>
      <c r="J80" s="41">
        <f t="shared" si="37"/>
        <v>1292830</v>
      </c>
      <c r="K80" s="43">
        <v>21.3</v>
      </c>
      <c r="L80" s="46">
        <f>(B80+I80)/2*K80*365</f>
        <v>27537279.000000004</v>
      </c>
      <c r="M80" s="44">
        <v>500</v>
      </c>
      <c r="N80" s="237">
        <f t="shared" ref="N80" si="38">G80*M80</f>
        <v>589500</v>
      </c>
    </row>
    <row r="81" spans="1:14" ht="12.6" customHeight="1" x14ac:dyDescent="0.2">
      <c r="A81" s="51" t="s">
        <v>2225</v>
      </c>
      <c r="B81" s="48">
        <f t="shared" si="35"/>
        <v>0</v>
      </c>
      <c r="C81" s="49"/>
      <c r="D81" s="49">
        <f>D77</f>
        <v>1777</v>
      </c>
      <c r="E81" s="49"/>
      <c r="F81" s="49"/>
      <c r="G81" s="49">
        <f>B81+D81-H81</f>
        <v>1689</v>
      </c>
      <c r="H81" s="49">
        <f>INT(D81*5%)</f>
        <v>88</v>
      </c>
      <c r="I81" s="48">
        <f t="shared" si="36"/>
        <v>0</v>
      </c>
      <c r="J81" s="48">
        <f>(B81+I81)/2*365+D81*30</f>
        <v>53310</v>
      </c>
      <c r="K81" s="50"/>
      <c r="L81" s="48"/>
      <c r="M81" s="51">
        <v>60</v>
      </c>
      <c r="N81" s="251">
        <f>G81*M81</f>
        <v>101340</v>
      </c>
    </row>
    <row r="82" spans="1:14" ht="12.6" customHeight="1" x14ac:dyDescent="0.2"/>
    <row r="83" spans="1:14" ht="14.1" customHeight="1" x14ac:dyDescent="0.2">
      <c r="A83" s="388">
        <v>2026</v>
      </c>
      <c r="B83" s="386" t="s">
        <v>2207</v>
      </c>
      <c r="C83" s="390" t="s">
        <v>2208</v>
      </c>
      <c r="D83" s="390"/>
      <c r="E83" s="390"/>
      <c r="F83" s="390" t="s">
        <v>2209</v>
      </c>
      <c r="G83" s="390"/>
      <c r="H83" s="390"/>
      <c r="I83" s="386" t="s">
        <v>2210</v>
      </c>
      <c r="J83" s="386" t="s">
        <v>2211</v>
      </c>
      <c r="K83" s="386" t="s">
        <v>2212</v>
      </c>
      <c r="L83" s="386" t="s">
        <v>2213</v>
      </c>
      <c r="M83" s="386" t="s">
        <v>2214</v>
      </c>
      <c r="N83" s="386" t="s">
        <v>2215</v>
      </c>
    </row>
    <row r="84" spans="1:14" ht="14.1" customHeight="1" thickBot="1" x14ac:dyDescent="0.25">
      <c r="A84" s="389"/>
      <c r="B84" s="387"/>
      <c r="C84" s="331" t="s">
        <v>2216</v>
      </c>
      <c r="D84" s="331" t="s">
        <v>2217</v>
      </c>
      <c r="E84" s="331" t="s">
        <v>2218</v>
      </c>
      <c r="F84" s="331" t="s">
        <v>2219</v>
      </c>
      <c r="G84" s="331" t="s">
        <v>2229</v>
      </c>
      <c r="H84" s="331" t="s">
        <v>2220</v>
      </c>
      <c r="I84" s="387"/>
      <c r="J84" s="387"/>
      <c r="K84" s="387"/>
      <c r="L84" s="387"/>
      <c r="M84" s="387"/>
      <c r="N84" s="387"/>
    </row>
    <row r="85" spans="1:14" ht="12.6" customHeight="1" thickTop="1" x14ac:dyDescent="0.2">
      <c r="A85" s="44" t="s">
        <v>2221</v>
      </c>
      <c r="B85" s="41">
        <f>I77</f>
        <v>3736</v>
      </c>
      <c r="C85" s="45"/>
      <c r="D85" s="45">
        <f>INT((B88+0.7*B87)/2)</f>
        <v>1780</v>
      </c>
      <c r="E85" s="45"/>
      <c r="F85" s="335">
        <v>1650</v>
      </c>
      <c r="G85" s="45"/>
      <c r="H85" s="45">
        <f>INT(D85*5%)</f>
        <v>89</v>
      </c>
      <c r="I85" s="41">
        <f>B85+C85+D85+E85-F85-G85-H85</f>
        <v>3777</v>
      </c>
      <c r="J85" s="41">
        <f>(B85+I85)/2*365</f>
        <v>1371122.5</v>
      </c>
      <c r="K85" s="43"/>
      <c r="L85" s="41"/>
      <c r="M85" s="44"/>
      <c r="N85" s="235"/>
    </row>
    <row r="86" spans="1:14" ht="12.6" customHeight="1" x14ac:dyDescent="0.2">
      <c r="A86" s="44" t="s">
        <v>2222</v>
      </c>
      <c r="B86" s="41">
        <f t="shared" ref="B86:B89" si="39">I78</f>
        <v>131</v>
      </c>
      <c r="C86" s="335"/>
      <c r="D86" s="42"/>
      <c r="E86" s="45">
        <f>F85</f>
        <v>1650</v>
      </c>
      <c r="F86" s="335">
        <v>1170</v>
      </c>
      <c r="G86" s="335">
        <v>0</v>
      </c>
      <c r="H86" s="45"/>
      <c r="I86" s="41">
        <f t="shared" ref="I86:I89" si="40">B86+C86+D86+E86-F86-G86-H86</f>
        <v>611</v>
      </c>
      <c r="J86" s="41">
        <f t="shared" ref="J86:J88" si="41">(B86+I86)/2*365</f>
        <v>135415</v>
      </c>
      <c r="K86" s="43"/>
      <c r="L86" s="41"/>
      <c r="M86" s="44"/>
      <c r="N86" s="237"/>
    </row>
    <row r="87" spans="1:14" ht="12.6" customHeight="1" x14ac:dyDescent="0.2">
      <c r="A87" s="44" t="s">
        <v>2223</v>
      </c>
      <c r="B87" s="41">
        <f t="shared" si="39"/>
        <v>23</v>
      </c>
      <c r="C87" s="45"/>
      <c r="D87" s="42"/>
      <c r="E87" s="45">
        <f>F86</f>
        <v>1170</v>
      </c>
      <c r="F87" s="335">
        <v>1170</v>
      </c>
      <c r="G87" s="45"/>
      <c r="H87" s="45"/>
      <c r="I87" s="41">
        <f t="shared" si="40"/>
        <v>23</v>
      </c>
      <c r="J87" s="41">
        <f t="shared" si="41"/>
        <v>8395</v>
      </c>
      <c r="K87" s="43">
        <v>17</v>
      </c>
      <c r="L87" s="46">
        <f>(B87+I87)/2*K87*365</f>
        <v>142715</v>
      </c>
      <c r="M87" s="44"/>
      <c r="N87" s="235"/>
    </row>
    <row r="88" spans="1:14" ht="12.6" customHeight="1" x14ac:dyDescent="0.2">
      <c r="A88" s="44" t="s">
        <v>2224</v>
      </c>
      <c r="B88" s="41">
        <f t="shared" si="39"/>
        <v>3545</v>
      </c>
      <c r="C88" s="45"/>
      <c r="D88" s="42"/>
      <c r="E88" s="45">
        <f>F87</f>
        <v>1170</v>
      </c>
      <c r="F88" s="45"/>
      <c r="G88" s="45">
        <f>INT(B88/3)</f>
        <v>1181</v>
      </c>
      <c r="H88" s="45"/>
      <c r="I88" s="41">
        <f t="shared" si="40"/>
        <v>3534</v>
      </c>
      <c r="J88" s="41">
        <f t="shared" si="41"/>
        <v>1291917.5</v>
      </c>
      <c r="K88" s="43">
        <v>21.3</v>
      </c>
      <c r="L88" s="46">
        <f>(B88+I88)/2*K88*365</f>
        <v>27517842.750000004</v>
      </c>
      <c r="M88" s="44">
        <v>500</v>
      </c>
      <c r="N88" s="237">
        <f t="shared" ref="N88" si="42">G88*M88</f>
        <v>590500</v>
      </c>
    </row>
    <row r="89" spans="1:14" ht="12.6" customHeight="1" x14ac:dyDescent="0.2">
      <c r="A89" s="51" t="s">
        <v>2225</v>
      </c>
      <c r="B89" s="48">
        <f t="shared" si="39"/>
        <v>0</v>
      </c>
      <c r="C89" s="49"/>
      <c r="D89" s="49">
        <f>D85</f>
        <v>1780</v>
      </c>
      <c r="E89" s="49"/>
      <c r="F89" s="49"/>
      <c r="G89" s="49">
        <f>B89+D89-H89</f>
        <v>1691</v>
      </c>
      <c r="H89" s="49">
        <f>INT(D89*5%)</f>
        <v>89</v>
      </c>
      <c r="I89" s="48">
        <f t="shared" si="40"/>
        <v>0</v>
      </c>
      <c r="J89" s="48">
        <f>(B89+I89)/2*365+D89*30</f>
        <v>53400</v>
      </c>
      <c r="K89" s="50"/>
      <c r="L89" s="48"/>
      <c r="M89" s="51">
        <v>60</v>
      </c>
      <c r="N89" s="251">
        <f>G89*M89</f>
        <v>101460</v>
      </c>
    </row>
    <row r="90" spans="1:14" ht="12.6" customHeight="1" x14ac:dyDescent="0.2"/>
  </sheetData>
  <mergeCells count="111">
    <mergeCell ref="B1:N1"/>
    <mergeCell ref="A3:A4"/>
    <mergeCell ref="B3:B4"/>
    <mergeCell ref="C3:E3"/>
    <mergeCell ref="F3:H3"/>
    <mergeCell ref="I3:I4"/>
    <mergeCell ref="J3:J4"/>
    <mergeCell ref="K3:K4"/>
    <mergeCell ref="L3:L4"/>
    <mergeCell ref="M3:M4"/>
    <mergeCell ref="N3:N4"/>
    <mergeCell ref="N11:N12"/>
    <mergeCell ref="A19:A20"/>
    <mergeCell ref="B19:B20"/>
    <mergeCell ref="C19:E19"/>
    <mergeCell ref="F19:H19"/>
    <mergeCell ref="I19:I20"/>
    <mergeCell ref="J19:J20"/>
    <mergeCell ref="K19:K20"/>
    <mergeCell ref="L19:L20"/>
    <mergeCell ref="M19:M20"/>
    <mergeCell ref="N19:N20"/>
    <mergeCell ref="A11:A12"/>
    <mergeCell ref="B11:B12"/>
    <mergeCell ref="C11:E11"/>
    <mergeCell ref="F11:H11"/>
    <mergeCell ref="I11:I12"/>
    <mergeCell ref="J11:J12"/>
    <mergeCell ref="K11:K12"/>
    <mergeCell ref="L11:L12"/>
    <mergeCell ref="M11:M12"/>
    <mergeCell ref="N27:N28"/>
    <mergeCell ref="A35:A36"/>
    <mergeCell ref="B35:B36"/>
    <mergeCell ref="C35:E35"/>
    <mergeCell ref="F35:H35"/>
    <mergeCell ref="I35:I36"/>
    <mergeCell ref="J35:J36"/>
    <mergeCell ref="K35:K36"/>
    <mergeCell ref="L35:L36"/>
    <mergeCell ref="M35:M36"/>
    <mergeCell ref="N35:N36"/>
    <mergeCell ref="A27:A28"/>
    <mergeCell ref="B27:B28"/>
    <mergeCell ref="C27:E27"/>
    <mergeCell ref="F27:H27"/>
    <mergeCell ref="I27:I28"/>
    <mergeCell ref="J27:J28"/>
    <mergeCell ref="K27:K28"/>
    <mergeCell ref="L27:L28"/>
    <mergeCell ref="M27:M28"/>
    <mergeCell ref="N43:N44"/>
    <mergeCell ref="A51:A52"/>
    <mergeCell ref="B51:B52"/>
    <mergeCell ref="C51:E51"/>
    <mergeCell ref="F51:H51"/>
    <mergeCell ref="I51:I52"/>
    <mergeCell ref="J51:J52"/>
    <mergeCell ref="K51:K52"/>
    <mergeCell ref="L51:L52"/>
    <mergeCell ref="M51:M52"/>
    <mergeCell ref="N51:N52"/>
    <mergeCell ref="A43:A44"/>
    <mergeCell ref="B43:B44"/>
    <mergeCell ref="C43:E43"/>
    <mergeCell ref="F43:H43"/>
    <mergeCell ref="I43:I44"/>
    <mergeCell ref="J43:J44"/>
    <mergeCell ref="K43:K44"/>
    <mergeCell ref="L43:L44"/>
    <mergeCell ref="M43:M44"/>
    <mergeCell ref="N59:N60"/>
    <mergeCell ref="A67:A68"/>
    <mergeCell ref="B67:B68"/>
    <mergeCell ref="C67:E67"/>
    <mergeCell ref="F67:H67"/>
    <mergeCell ref="I67:I68"/>
    <mergeCell ref="J67:J68"/>
    <mergeCell ref="K67:K68"/>
    <mergeCell ref="L67:L68"/>
    <mergeCell ref="M67:M68"/>
    <mergeCell ref="N67:N68"/>
    <mergeCell ref="A59:A60"/>
    <mergeCell ref="B59:B60"/>
    <mergeCell ref="C59:E59"/>
    <mergeCell ref="F59:H59"/>
    <mergeCell ref="I59:I60"/>
    <mergeCell ref="J59:J60"/>
    <mergeCell ref="K59:K60"/>
    <mergeCell ref="L59:L60"/>
    <mergeCell ref="M59:M60"/>
    <mergeCell ref="N83:N84"/>
    <mergeCell ref="N75:N76"/>
    <mergeCell ref="A83:A84"/>
    <mergeCell ref="B83:B84"/>
    <mergeCell ref="C83:E83"/>
    <mergeCell ref="F83:H83"/>
    <mergeCell ref="I83:I84"/>
    <mergeCell ref="J83:J84"/>
    <mergeCell ref="K83:K84"/>
    <mergeCell ref="L83:L84"/>
    <mergeCell ref="M83:M84"/>
    <mergeCell ref="A75:A76"/>
    <mergeCell ref="B75:B76"/>
    <mergeCell ref="C75:E75"/>
    <mergeCell ref="F75:H75"/>
    <mergeCell ref="I75:I76"/>
    <mergeCell ref="J75:J76"/>
    <mergeCell ref="K75:K76"/>
    <mergeCell ref="L75:L76"/>
    <mergeCell ref="M75:M7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outlinePr summaryBelow="0" summaryRight="0"/>
  </sheetPr>
  <dimension ref="A1:AX1014"/>
  <sheetViews>
    <sheetView zoomScaleNormal="100" workbookViewId="0">
      <pane xSplit="6" ySplit="2" topLeftCell="G329" activePane="bottomRight" state="frozen"/>
      <selection pane="topRight" activeCell="G1" sqref="G1"/>
      <selection pane="bottomLeft" activeCell="A3" sqref="A3"/>
      <selection pane="bottomRight" activeCell="G364" sqref="G364"/>
    </sheetView>
  </sheetViews>
  <sheetFormatPr defaultColWidth="8.7109375" defaultRowHeight="12.75" outlineLevelRow="1" x14ac:dyDescent="0.2"/>
  <cols>
    <col min="1" max="1" width="50.7109375" style="38" customWidth="1"/>
    <col min="2" max="3" width="12.7109375" style="38" customWidth="1"/>
    <col min="4" max="4" width="6.7109375" style="57" hidden="1" customWidth="1"/>
    <col min="5" max="5" width="10.42578125" style="57" hidden="1" customWidth="1"/>
    <col min="6" max="6" width="12.5703125" style="57" hidden="1" customWidth="1"/>
    <col min="7" max="48" width="12.7109375" style="38" customWidth="1"/>
    <col min="49" max="49" width="1.7109375" style="38" customWidth="1"/>
    <col min="50" max="50" width="12.7109375" style="170" customWidth="1"/>
    <col min="51" max="16384" width="8.7109375" style="38"/>
  </cols>
  <sheetData>
    <row r="1" spans="1:50" s="54" customFormat="1" ht="12.75" customHeight="1" x14ac:dyDescent="0.2">
      <c r="A1" s="384" t="str">
        <f ca="1">Language!A$575 &amp; " :: " &amp; Prj_Name</f>
        <v>Данные :: Агро</v>
      </c>
      <c r="B1" s="385"/>
      <c r="C1" s="385"/>
      <c r="D1" s="52" t="s">
        <v>6</v>
      </c>
      <c r="E1" s="52" t="s">
        <v>4</v>
      </c>
      <c r="F1" s="52" t="s">
        <v>5</v>
      </c>
      <c r="G1" s="52" t="str">
        <f ca="1">Параметры!G$34</f>
        <v>4 кв. 2022</v>
      </c>
      <c r="H1" s="52" t="str">
        <f ca="1">Параметры!H$34</f>
        <v>1 кв. 2023</v>
      </c>
      <c r="I1" s="52" t="str">
        <f ca="1">Параметры!I$34</f>
        <v>2 кв. 2023</v>
      </c>
      <c r="J1" s="52" t="str">
        <f ca="1">Параметры!J$34</f>
        <v>3 кв. 2023</v>
      </c>
      <c r="K1" s="52" t="str">
        <f ca="1">Параметры!K$34</f>
        <v>4 кв. 2023</v>
      </c>
      <c r="L1" s="52" t="str">
        <f ca="1">Параметры!L$34</f>
        <v>1 кв. 2024</v>
      </c>
      <c r="M1" s="52" t="str">
        <f ca="1">Параметры!M$34</f>
        <v>2 кв. 2024</v>
      </c>
      <c r="N1" s="52" t="str">
        <f ca="1">Параметры!N$34</f>
        <v>3 кв. 2024</v>
      </c>
      <c r="O1" s="52" t="str">
        <f ca="1">Параметры!O$34</f>
        <v>4 кв. 2024</v>
      </c>
      <c r="P1" s="52" t="str">
        <f ca="1">Параметры!P$34</f>
        <v>1 кв. 2025</v>
      </c>
      <c r="Q1" s="52" t="str">
        <f ca="1">Параметры!Q$34</f>
        <v>2 кв. 2025</v>
      </c>
      <c r="R1" s="52" t="str">
        <f ca="1">Параметры!R$34</f>
        <v>3 кв. 2025</v>
      </c>
      <c r="S1" s="52" t="str">
        <f ca="1">Параметры!S$34</f>
        <v>4 кв. 2025</v>
      </c>
      <c r="T1" s="52" t="str">
        <f ca="1">Параметры!T$34</f>
        <v>1 кв. 2026</v>
      </c>
      <c r="U1" s="52" t="str">
        <f ca="1">Параметры!U$34</f>
        <v>2 кв. 2026</v>
      </c>
      <c r="V1" s="52" t="str">
        <f ca="1">Параметры!V$34</f>
        <v>3 кв. 2026</v>
      </c>
      <c r="W1" s="52" t="str">
        <f ca="1">Параметры!W$34</f>
        <v>4 кв. 2026</v>
      </c>
      <c r="X1" s="52" t="str">
        <f ca="1">Параметры!X$34</f>
        <v>1 кв. 2027</v>
      </c>
      <c r="Y1" s="52" t="str">
        <f ca="1">Параметры!Y$34</f>
        <v>2 кв. 2027</v>
      </c>
      <c r="Z1" s="52" t="str">
        <f ca="1">Параметры!Z$34</f>
        <v>3 кв. 2027</v>
      </c>
      <c r="AA1" s="52" t="str">
        <f ca="1">Параметры!AA$34</f>
        <v>4 кв. 2027</v>
      </c>
      <c r="AB1" s="52" t="str">
        <f ca="1">Параметры!AB$34</f>
        <v>1 кв. 2028</v>
      </c>
      <c r="AC1" s="52" t="str">
        <f ca="1">Параметры!AC$34</f>
        <v>2 кв. 2028</v>
      </c>
      <c r="AD1" s="52" t="str">
        <f ca="1">Параметры!AD$34</f>
        <v>3 кв. 2028</v>
      </c>
      <c r="AE1" s="52" t="str">
        <f ca="1">Параметры!AE$34</f>
        <v>4 кв. 2028</v>
      </c>
      <c r="AF1" s="52" t="str">
        <f ca="1">Параметры!AF$34</f>
        <v>1 кв. 2029</v>
      </c>
      <c r="AG1" s="52" t="str">
        <f ca="1">Параметры!AG$34</f>
        <v>2 кв. 2029</v>
      </c>
      <c r="AH1" s="52" t="str">
        <f ca="1">Параметры!AH$34</f>
        <v>3 кв. 2029</v>
      </c>
      <c r="AI1" s="52" t="str">
        <f ca="1">Параметры!AI$34</f>
        <v>4 кв. 2029</v>
      </c>
      <c r="AJ1" s="52" t="str">
        <f ca="1">Параметры!AJ$34</f>
        <v>1 кв. 2030</v>
      </c>
      <c r="AK1" s="52" t="str">
        <f ca="1">Параметры!AK$34</f>
        <v>2 кв. 2030</v>
      </c>
      <c r="AL1" s="52" t="str">
        <f ca="1">Параметры!AL$34</f>
        <v>3 кв. 2030</v>
      </c>
      <c r="AM1" s="52" t="str">
        <f ca="1">Параметры!AM$34</f>
        <v>4 кв. 2030</v>
      </c>
      <c r="AN1" s="52" t="str">
        <f ca="1">Параметры!AN$34</f>
        <v>1 кв. 2031</v>
      </c>
      <c r="AO1" s="52" t="str">
        <f ca="1">Параметры!AO$34</f>
        <v>2 кв. 2031</v>
      </c>
      <c r="AP1" s="52" t="str">
        <f ca="1">Параметры!AP$34</f>
        <v>3 кв. 2031</v>
      </c>
      <c r="AQ1" s="52" t="str">
        <f ca="1">Параметры!AQ$34</f>
        <v>4 кв. 2031</v>
      </c>
      <c r="AR1" s="52" t="str">
        <f ca="1">Параметры!AR$34</f>
        <v>1 кв. 2032</v>
      </c>
      <c r="AS1" s="52" t="str">
        <f ca="1">Параметры!AS$34</f>
        <v>2 кв. 2032</v>
      </c>
      <c r="AT1" s="52" t="str">
        <f ca="1">Параметры!AT$34</f>
        <v>3 кв. 2032</v>
      </c>
      <c r="AU1" s="52" t="str">
        <f ca="1">Параметры!AU$34</f>
        <v>4 кв. 2032</v>
      </c>
      <c r="AV1" s="52" t="str">
        <f ca="1">Параметры!AV$34</f>
        <v>1 кв. 2033</v>
      </c>
      <c r="AW1" s="52"/>
      <c r="AX1" s="115" t="str">
        <f ca="1">Language!$A$1445</f>
        <v>ИТОГО</v>
      </c>
    </row>
    <row r="2" spans="1:50" s="54" customFormat="1" ht="12.75" customHeight="1" x14ac:dyDescent="0.2">
      <c r="A2" s="385"/>
      <c r="B2" s="385"/>
      <c r="C2" s="385"/>
      <c r="D2" s="55"/>
      <c r="E2" s="55"/>
      <c r="F2" s="55"/>
      <c r="G2" s="52">
        <f>Параметры!G25</f>
        <v>1</v>
      </c>
      <c r="H2" s="52">
        <f>Параметры!H25</f>
        <v>2</v>
      </c>
      <c r="I2" s="52">
        <f>Параметры!I25</f>
        <v>3</v>
      </c>
      <c r="J2" s="52">
        <f>Параметры!J25</f>
        <v>4</v>
      </c>
      <c r="K2" s="52">
        <f>Параметры!K25</f>
        <v>5</v>
      </c>
      <c r="L2" s="52">
        <f>Параметры!L25</f>
        <v>6</v>
      </c>
      <c r="M2" s="52">
        <f>Параметры!M25</f>
        <v>7</v>
      </c>
      <c r="N2" s="52">
        <f>Параметры!N25</f>
        <v>8</v>
      </c>
      <c r="O2" s="52">
        <f>Параметры!O25</f>
        <v>9</v>
      </c>
      <c r="P2" s="52">
        <f>Параметры!P25</f>
        <v>10</v>
      </c>
      <c r="Q2" s="52">
        <f>Параметры!Q25</f>
        <v>11</v>
      </c>
      <c r="R2" s="52">
        <f>Параметры!R25</f>
        <v>12</v>
      </c>
      <c r="S2" s="52">
        <f>Параметры!S25</f>
        <v>13</v>
      </c>
      <c r="T2" s="52">
        <f>Параметры!T25</f>
        <v>14</v>
      </c>
      <c r="U2" s="52">
        <f>Параметры!U25</f>
        <v>15</v>
      </c>
      <c r="V2" s="52">
        <f>Параметры!V25</f>
        <v>16</v>
      </c>
      <c r="W2" s="52">
        <f>Параметры!W25</f>
        <v>17</v>
      </c>
      <c r="X2" s="52">
        <f>Параметры!X25</f>
        <v>18</v>
      </c>
      <c r="Y2" s="52">
        <f>Параметры!Y25</f>
        <v>19</v>
      </c>
      <c r="Z2" s="52">
        <f>Параметры!Z25</f>
        <v>20</v>
      </c>
      <c r="AA2" s="52">
        <f>Параметры!AA25</f>
        <v>21</v>
      </c>
      <c r="AB2" s="52">
        <f>Параметры!AB25</f>
        <v>22</v>
      </c>
      <c r="AC2" s="52">
        <f>Параметры!AC25</f>
        <v>23</v>
      </c>
      <c r="AD2" s="52">
        <f>Параметры!AD25</f>
        <v>24</v>
      </c>
      <c r="AE2" s="52">
        <f>Параметры!AE25</f>
        <v>25</v>
      </c>
      <c r="AF2" s="52">
        <f>Параметры!AF25</f>
        <v>26</v>
      </c>
      <c r="AG2" s="52">
        <f>Параметры!AG25</f>
        <v>27</v>
      </c>
      <c r="AH2" s="52">
        <f>Параметры!AH25</f>
        <v>28</v>
      </c>
      <c r="AI2" s="52">
        <f>Параметры!AI25</f>
        <v>29</v>
      </c>
      <c r="AJ2" s="52">
        <f>Параметры!AJ25</f>
        <v>30</v>
      </c>
      <c r="AK2" s="52">
        <f>Параметры!AK25</f>
        <v>31</v>
      </c>
      <c r="AL2" s="52">
        <f>Параметры!AL25</f>
        <v>32</v>
      </c>
      <c r="AM2" s="52">
        <f>Параметры!AM25</f>
        <v>33</v>
      </c>
      <c r="AN2" s="52">
        <f>Параметры!AN25</f>
        <v>34</v>
      </c>
      <c r="AO2" s="52">
        <f>Параметры!AO25</f>
        <v>35</v>
      </c>
      <c r="AP2" s="52">
        <f>Параметры!AP25</f>
        <v>36</v>
      </c>
      <c r="AQ2" s="52">
        <f>Параметры!AQ25</f>
        <v>37</v>
      </c>
      <c r="AR2" s="52">
        <f>Параметры!AR25</f>
        <v>38</v>
      </c>
      <c r="AS2" s="52">
        <f>Параметры!AS25</f>
        <v>39</v>
      </c>
      <c r="AT2" s="52">
        <f>Параметры!AT25</f>
        <v>40</v>
      </c>
      <c r="AU2" s="52">
        <f>Параметры!AU25</f>
        <v>41</v>
      </c>
      <c r="AV2" s="52">
        <f>Параметры!AV25</f>
        <v>42</v>
      </c>
      <c r="AW2" s="52"/>
      <c r="AX2" s="116"/>
    </row>
    <row r="4" spans="1:50" s="64" customFormat="1" ht="25.5" customHeight="1" thickBot="1" x14ac:dyDescent="0.25">
      <c r="A4" s="118" t="s">
        <v>2232</v>
      </c>
      <c r="B4" s="119"/>
      <c r="C4" s="120"/>
      <c r="D4" s="121"/>
      <c r="E4" s="121" t="s">
        <v>2230</v>
      </c>
      <c r="F4" s="121"/>
      <c r="G4" s="69" t="str">
        <f ca="1">Параметры!G$34</f>
        <v>4 кв. 2022</v>
      </c>
      <c r="H4" s="140" t="str">
        <f ca="1">Параметры!H$34</f>
        <v>1 кв. 2023</v>
      </c>
      <c r="I4" s="140" t="str">
        <f ca="1">Параметры!I$34</f>
        <v>2 кв. 2023</v>
      </c>
      <c r="J4" s="140" t="str">
        <f ca="1">Параметры!J$34</f>
        <v>3 кв. 2023</v>
      </c>
      <c r="K4" s="140" t="str">
        <f ca="1">Параметры!K$34</f>
        <v>4 кв. 2023</v>
      </c>
      <c r="L4" s="140" t="str">
        <f ca="1">Параметры!L$34</f>
        <v>1 кв. 2024</v>
      </c>
      <c r="M4" s="140" t="str">
        <f ca="1">Параметры!M$34</f>
        <v>2 кв. 2024</v>
      </c>
      <c r="N4" s="140" t="str">
        <f ca="1">Параметры!N$34</f>
        <v>3 кв. 2024</v>
      </c>
      <c r="O4" s="140" t="str">
        <f ca="1">Параметры!O$34</f>
        <v>4 кв. 2024</v>
      </c>
      <c r="P4" s="140" t="str">
        <f ca="1">Параметры!P$34</f>
        <v>1 кв. 2025</v>
      </c>
      <c r="Q4" s="140" t="str">
        <f ca="1">Параметры!Q$34</f>
        <v>2 кв. 2025</v>
      </c>
      <c r="R4" s="140" t="str">
        <f ca="1">Параметры!R$34</f>
        <v>3 кв. 2025</v>
      </c>
      <c r="S4" s="140" t="str">
        <f ca="1">Параметры!S$34</f>
        <v>4 кв. 2025</v>
      </c>
      <c r="T4" s="140" t="str">
        <f ca="1">Параметры!T$34</f>
        <v>1 кв. 2026</v>
      </c>
      <c r="U4" s="140" t="str">
        <f ca="1">Параметры!U$34</f>
        <v>2 кв. 2026</v>
      </c>
      <c r="V4" s="140" t="str">
        <f ca="1">Параметры!V$34</f>
        <v>3 кв. 2026</v>
      </c>
      <c r="W4" s="140" t="str">
        <f ca="1">Параметры!W$34</f>
        <v>4 кв. 2026</v>
      </c>
      <c r="X4" s="140" t="str">
        <f ca="1">Параметры!X$34</f>
        <v>1 кв. 2027</v>
      </c>
      <c r="Y4" s="140" t="str">
        <f ca="1">Параметры!Y$34</f>
        <v>2 кв. 2027</v>
      </c>
      <c r="Z4" s="140" t="str">
        <f ca="1">Параметры!Z$34</f>
        <v>3 кв. 2027</v>
      </c>
      <c r="AA4" s="140" t="str">
        <f ca="1">Параметры!AA$34</f>
        <v>4 кв. 2027</v>
      </c>
      <c r="AB4" s="140" t="str">
        <f ca="1">Параметры!AB$34</f>
        <v>1 кв. 2028</v>
      </c>
      <c r="AC4" s="140" t="str">
        <f ca="1">Параметры!AC$34</f>
        <v>2 кв. 2028</v>
      </c>
      <c r="AD4" s="140" t="str">
        <f ca="1">Параметры!AD$34</f>
        <v>3 кв. 2028</v>
      </c>
      <c r="AE4" s="140" t="str">
        <f ca="1">Параметры!AE$34</f>
        <v>4 кв. 2028</v>
      </c>
      <c r="AF4" s="140" t="str">
        <f ca="1">Параметры!AF$34</f>
        <v>1 кв. 2029</v>
      </c>
      <c r="AG4" s="140" t="str">
        <f ca="1">Параметры!AG$34</f>
        <v>2 кв. 2029</v>
      </c>
      <c r="AH4" s="140" t="str">
        <f ca="1">Параметры!AH$34</f>
        <v>3 кв. 2029</v>
      </c>
      <c r="AI4" s="140" t="str">
        <f ca="1">Параметры!AI$34</f>
        <v>4 кв. 2029</v>
      </c>
      <c r="AJ4" s="140" t="str">
        <f ca="1">Параметры!AJ$34</f>
        <v>1 кв. 2030</v>
      </c>
      <c r="AK4" s="140" t="str">
        <f ca="1">Параметры!AK$34</f>
        <v>2 кв. 2030</v>
      </c>
      <c r="AL4" s="140" t="str">
        <f ca="1">Параметры!AL$34</f>
        <v>3 кв. 2030</v>
      </c>
      <c r="AM4" s="140" t="str">
        <f ca="1">Параметры!AM$34</f>
        <v>4 кв. 2030</v>
      </c>
      <c r="AN4" s="140" t="str">
        <f ca="1">Параметры!AN$34</f>
        <v>1 кв. 2031</v>
      </c>
      <c r="AO4" s="140" t="str">
        <f ca="1">Параметры!AO$34</f>
        <v>2 кв. 2031</v>
      </c>
      <c r="AP4" s="140" t="str">
        <f ca="1">Параметры!AP$34</f>
        <v>3 кв. 2031</v>
      </c>
      <c r="AQ4" s="140" t="str">
        <f ca="1">Параметры!AQ$34</f>
        <v>4 кв. 2031</v>
      </c>
      <c r="AR4" s="140" t="str">
        <f ca="1">Параметры!AR$34</f>
        <v>1 кв. 2032</v>
      </c>
      <c r="AS4" s="140" t="str">
        <f ca="1">Параметры!AS$34</f>
        <v>2 кв. 2032</v>
      </c>
      <c r="AT4" s="140" t="str">
        <f ca="1">Параметры!AT$34</f>
        <v>3 кв. 2032</v>
      </c>
      <c r="AU4" s="140" t="str">
        <f ca="1">Параметры!AU$34</f>
        <v>4 кв. 2032</v>
      </c>
      <c r="AV4" s="140" t="str">
        <f ca="1">Параметры!AV$34</f>
        <v>1 кв. 2033</v>
      </c>
      <c r="AW4" s="140"/>
      <c r="AX4" s="141" t="str">
        <f ca="1">Language!$A$1445</f>
        <v>ИТОГО</v>
      </c>
    </row>
    <row r="5" spans="1:50" ht="13.5" thickTop="1" x14ac:dyDescent="0.2"/>
    <row r="6" spans="1:50" s="98" customFormat="1" x14ac:dyDescent="0.2">
      <c r="A6" s="38" t="s">
        <v>2239</v>
      </c>
      <c r="B6" s="38"/>
      <c r="C6" s="124" t="s">
        <v>2240</v>
      </c>
      <c r="D6" s="57"/>
      <c r="E6" s="57"/>
      <c r="F6" s="57" t="s">
        <v>753</v>
      </c>
      <c r="G6" s="138">
        <f>(Стадо!L7+Стадо!L8)/4/1000</f>
        <v>5119.0839374999996</v>
      </c>
      <c r="H6" s="138">
        <f>(Стадо!L7+Стадо!L8)/4/1000</f>
        <v>5119.0839374999996</v>
      </c>
      <c r="I6" s="138">
        <f>(Стадо!L15+Стадо!L16)/4/1000</f>
        <v>5531.4700624999996</v>
      </c>
      <c r="J6" s="138">
        <f>I6</f>
        <v>5531.4700624999996</v>
      </c>
      <c r="K6" s="138">
        <f t="shared" ref="K6:L6" si="0">J6</f>
        <v>5531.4700624999996</v>
      </c>
      <c r="L6" s="138">
        <f t="shared" si="0"/>
        <v>5531.4700624999996</v>
      </c>
      <c r="M6" s="138">
        <f>(Стадо!L23+Стадо!L24)/4/1000</f>
        <v>5838.6130000000003</v>
      </c>
      <c r="N6" s="138">
        <f>M6</f>
        <v>5838.6130000000003</v>
      </c>
      <c r="O6" s="138">
        <f t="shared" ref="O6:P6" si="1">N6</f>
        <v>5838.6130000000003</v>
      </c>
      <c r="P6" s="138">
        <f t="shared" si="1"/>
        <v>5838.6130000000003</v>
      </c>
      <c r="Q6" s="138">
        <f>(Стадо!L31+Стадо!L32)/4/1000</f>
        <v>6525.5338750000001</v>
      </c>
      <c r="R6" s="138">
        <f>Q6</f>
        <v>6525.5338750000001</v>
      </c>
      <c r="S6" s="138">
        <f t="shared" ref="S6:T6" si="2">R6</f>
        <v>6525.5338750000001</v>
      </c>
      <c r="T6" s="138">
        <f t="shared" si="2"/>
        <v>6525.5338750000001</v>
      </c>
      <c r="U6" s="138">
        <f>(Стадо!L39+Стадо!L40)/4/1000</f>
        <v>6851.9624999999996</v>
      </c>
      <c r="V6" s="138">
        <f>U6</f>
        <v>6851.9624999999996</v>
      </c>
      <c r="W6" s="138">
        <f t="shared" ref="W6:X6" si="3">V6</f>
        <v>6851.9624999999996</v>
      </c>
      <c r="X6" s="138">
        <f t="shared" si="3"/>
        <v>6851.9624999999996</v>
      </c>
      <c r="Y6" s="138">
        <f>(Стадо!L47+Стадо!L48)/4/1000</f>
        <v>6903.2039375000004</v>
      </c>
      <c r="Z6" s="138">
        <f>Y6</f>
        <v>6903.2039375000004</v>
      </c>
      <c r="AA6" s="138">
        <f t="shared" ref="AA6:AB6" si="4">Z6</f>
        <v>6903.2039375000004</v>
      </c>
      <c r="AB6" s="138">
        <f t="shared" si="4"/>
        <v>6903.2039375000004</v>
      </c>
      <c r="AC6" s="138">
        <f>(Стадо!L55+Стадо!L56)/4/1000</f>
        <v>6936.5193125000005</v>
      </c>
      <c r="AD6" s="138">
        <f>AC6</f>
        <v>6936.5193125000005</v>
      </c>
      <c r="AE6" s="138">
        <f t="shared" ref="AE6:AF6" si="5">AD6</f>
        <v>6936.5193125000005</v>
      </c>
      <c r="AF6" s="138">
        <f t="shared" si="5"/>
        <v>6936.5193125000005</v>
      </c>
      <c r="AG6" s="138">
        <f>(Стадо!L63+Стадо!L64)/4/1000</f>
        <v>6931.6602500000008</v>
      </c>
      <c r="AH6" s="138">
        <f>AG6</f>
        <v>6931.6602500000008</v>
      </c>
      <c r="AI6" s="138">
        <f t="shared" ref="AI6:AJ6" si="6">AH6</f>
        <v>6931.6602500000008</v>
      </c>
      <c r="AJ6" s="138">
        <f t="shared" si="6"/>
        <v>6931.6602500000008</v>
      </c>
      <c r="AK6" s="138">
        <f>(Стадо!L71+Стадо!L72)/4/1000</f>
        <v>6921.9421250000005</v>
      </c>
      <c r="AL6" s="138">
        <f>AK6</f>
        <v>6921.9421250000005</v>
      </c>
      <c r="AM6" s="138">
        <f t="shared" ref="AM6:AN6" si="7">AL6</f>
        <v>6921.9421250000005</v>
      </c>
      <c r="AN6" s="138">
        <f t="shared" si="7"/>
        <v>6921.9421250000005</v>
      </c>
      <c r="AO6" s="138">
        <f>(Стадо!L79+Стадо!L80)/4/1000</f>
        <v>6919.9985000000006</v>
      </c>
      <c r="AP6" s="138">
        <f>AO6</f>
        <v>6919.9985000000006</v>
      </c>
      <c r="AQ6" s="138">
        <f t="shared" ref="AQ6:AR6" si="8">AP6</f>
        <v>6919.9985000000006</v>
      </c>
      <c r="AR6" s="138">
        <f t="shared" si="8"/>
        <v>6919.9985000000006</v>
      </c>
      <c r="AS6" s="138">
        <f>(Стадо!L87+Стадо!L88)/4/1000</f>
        <v>6915.1394375000009</v>
      </c>
      <c r="AT6" s="138">
        <f>AS6</f>
        <v>6915.1394375000009</v>
      </c>
      <c r="AU6" s="138">
        <f t="shared" ref="AU6:AV6" si="9">AT6</f>
        <v>6915.1394375000009</v>
      </c>
      <c r="AV6" s="138">
        <f t="shared" si="9"/>
        <v>6915.1394375000009</v>
      </c>
      <c r="AW6" s="94"/>
      <c r="AX6" s="169">
        <f>SUM(G6:AW6)</f>
        <v>275342.33987499989</v>
      </c>
    </row>
    <row r="7" spans="1:50" x14ac:dyDescent="0.2">
      <c r="A7" s="38" t="s">
        <v>2241</v>
      </c>
      <c r="B7" s="306">
        <v>0.02</v>
      </c>
      <c r="C7" s="124" t="s">
        <v>2240</v>
      </c>
      <c r="E7" s="100"/>
      <c r="F7" s="57" t="s">
        <v>753</v>
      </c>
      <c r="G7" s="138">
        <f>$B$7*G6</f>
        <v>102.38167874999999</v>
      </c>
      <c r="H7" s="138">
        <f t="shared" ref="H7:AV7" si="10">$B$7*H6</f>
        <v>102.38167874999999</v>
      </c>
      <c r="I7" s="138">
        <f t="shared" si="10"/>
        <v>110.62940125</v>
      </c>
      <c r="J7" s="138">
        <f t="shared" si="10"/>
        <v>110.62940125</v>
      </c>
      <c r="K7" s="138">
        <f t="shared" si="10"/>
        <v>110.62940125</v>
      </c>
      <c r="L7" s="138">
        <f t="shared" si="10"/>
        <v>110.62940125</v>
      </c>
      <c r="M7" s="138">
        <f t="shared" si="10"/>
        <v>116.77226</v>
      </c>
      <c r="N7" s="138">
        <f t="shared" si="10"/>
        <v>116.77226</v>
      </c>
      <c r="O7" s="138">
        <f t="shared" si="10"/>
        <v>116.77226</v>
      </c>
      <c r="P7" s="138">
        <f t="shared" si="10"/>
        <v>116.77226</v>
      </c>
      <c r="Q7" s="138">
        <f t="shared" si="10"/>
        <v>130.51067750000001</v>
      </c>
      <c r="R7" s="138">
        <f t="shared" si="10"/>
        <v>130.51067750000001</v>
      </c>
      <c r="S7" s="138">
        <f t="shared" si="10"/>
        <v>130.51067750000001</v>
      </c>
      <c r="T7" s="138">
        <f t="shared" si="10"/>
        <v>130.51067750000001</v>
      </c>
      <c r="U7" s="138">
        <f t="shared" si="10"/>
        <v>137.03925000000001</v>
      </c>
      <c r="V7" s="138">
        <f t="shared" si="10"/>
        <v>137.03925000000001</v>
      </c>
      <c r="W7" s="138">
        <f t="shared" si="10"/>
        <v>137.03925000000001</v>
      </c>
      <c r="X7" s="138">
        <f t="shared" si="10"/>
        <v>137.03925000000001</v>
      </c>
      <c r="Y7" s="138">
        <f t="shared" si="10"/>
        <v>138.06407875000002</v>
      </c>
      <c r="Z7" s="138">
        <f t="shared" si="10"/>
        <v>138.06407875000002</v>
      </c>
      <c r="AA7" s="138">
        <f t="shared" si="10"/>
        <v>138.06407875000002</v>
      </c>
      <c r="AB7" s="138">
        <f t="shared" si="10"/>
        <v>138.06407875000002</v>
      </c>
      <c r="AC7" s="138">
        <f t="shared" si="10"/>
        <v>138.73038625000001</v>
      </c>
      <c r="AD7" s="138">
        <f t="shared" si="10"/>
        <v>138.73038625000001</v>
      </c>
      <c r="AE7" s="138">
        <f t="shared" si="10"/>
        <v>138.73038625000001</v>
      </c>
      <c r="AF7" s="138">
        <f t="shared" si="10"/>
        <v>138.73038625000001</v>
      </c>
      <c r="AG7" s="138">
        <f t="shared" si="10"/>
        <v>138.63320500000003</v>
      </c>
      <c r="AH7" s="138">
        <f t="shared" si="10"/>
        <v>138.63320500000003</v>
      </c>
      <c r="AI7" s="138">
        <f t="shared" si="10"/>
        <v>138.63320500000003</v>
      </c>
      <c r="AJ7" s="138">
        <f t="shared" si="10"/>
        <v>138.63320500000003</v>
      </c>
      <c r="AK7" s="138">
        <f t="shared" si="10"/>
        <v>138.43884250000002</v>
      </c>
      <c r="AL7" s="138">
        <f t="shared" si="10"/>
        <v>138.43884250000002</v>
      </c>
      <c r="AM7" s="138">
        <f t="shared" si="10"/>
        <v>138.43884250000002</v>
      </c>
      <c r="AN7" s="138">
        <f t="shared" si="10"/>
        <v>138.43884250000002</v>
      </c>
      <c r="AO7" s="138">
        <f t="shared" si="10"/>
        <v>138.39997000000002</v>
      </c>
      <c r="AP7" s="138">
        <f t="shared" si="10"/>
        <v>138.39997000000002</v>
      </c>
      <c r="AQ7" s="138">
        <f t="shared" si="10"/>
        <v>138.39997000000002</v>
      </c>
      <c r="AR7" s="138">
        <f t="shared" si="10"/>
        <v>138.39997000000002</v>
      </c>
      <c r="AS7" s="138">
        <f t="shared" si="10"/>
        <v>138.30278875000002</v>
      </c>
      <c r="AT7" s="138">
        <f t="shared" si="10"/>
        <v>138.30278875000002</v>
      </c>
      <c r="AU7" s="138">
        <f t="shared" si="10"/>
        <v>138.30278875000002</v>
      </c>
      <c r="AV7" s="138">
        <f t="shared" si="10"/>
        <v>138.30278875000002</v>
      </c>
      <c r="AW7" s="94"/>
      <c r="AX7" s="169">
        <f>SUM(G7:AW7)</f>
        <v>5506.8467975000021</v>
      </c>
    </row>
    <row r="8" spans="1:50" x14ac:dyDescent="0.2">
      <c r="A8" s="38" t="s">
        <v>2242</v>
      </c>
      <c r="B8" s="306">
        <v>0.02</v>
      </c>
      <c r="C8" s="124" t="s">
        <v>2240</v>
      </c>
      <c r="E8" s="100"/>
      <c r="F8" s="57" t="s">
        <v>753</v>
      </c>
      <c r="G8" s="138">
        <f>$B$8*G6</f>
        <v>102.38167874999999</v>
      </c>
      <c r="H8" s="138">
        <f t="shared" ref="H8:AV8" si="11">$B$8*H6</f>
        <v>102.38167874999999</v>
      </c>
      <c r="I8" s="138">
        <f t="shared" si="11"/>
        <v>110.62940125</v>
      </c>
      <c r="J8" s="138">
        <f t="shared" si="11"/>
        <v>110.62940125</v>
      </c>
      <c r="K8" s="138">
        <f t="shared" si="11"/>
        <v>110.62940125</v>
      </c>
      <c r="L8" s="138">
        <f t="shared" si="11"/>
        <v>110.62940125</v>
      </c>
      <c r="M8" s="138">
        <f t="shared" si="11"/>
        <v>116.77226</v>
      </c>
      <c r="N8" s="138">
        <f t="shared" si="11"/>
        <v>116.77226</v>
      </c>
      <c r="O8" s="138">
        <f t="shared" si="11"/>
        <v>116.77226</v>
      </c>
      <c r="P8" s="138">
        <f t="shared" si="11"/>
        <v>116.77226</v>
      </c>
      <c r="Q8" s="138">
        <f t="shared" si="11"/>
        <v>130.51067750000001</v>
      </c>
      <c r="R8" s="138">
        <f t="shared" si="11"/>
        <v>130.51067750000001</v>
      </c>
      <c r="S8" s="138">
        <f t="shared" si="11"/>
        <v>130.51067750000001</v>
      </c>
      <c r="T8" s="138">
        <f t="shared" si="11"/>
        <v>130.51067750000001</v>
      </c>
      <c r="U8" s="138">
        <f t="shared" si="11"/>
        <v>137.03925000000001</v>
      </c>
      <c r="V8" s="138">
        <f t="shared" si="11"/>
        <v>137.03925000000001</v>
      </c>
      <c r="W8" s="138">
        <f t="shared" si="11"/>
        <v>137.03925000000001</v>
      </c>
      <c r="X8" s="138">
        <f t="shared" si="11"/>
        <v>137.03925000000001</v>
      </c>
      <c r="Y8" s="138">
        <f t="shared" si="11"/>
        <v>138.06407875000002</v>
      </c>
      <c r="Z8" s="138">
        <f t="shared" si="11"/>
        <v>138.06407875000002</v>
      </c>
      <c r="AA8" s="138">
        <f t="shared" si="11"/>
        <v>138.06407875000002</v>
      </c>
      <c r="AB8" s="138">
        <f t="shared" si="11"/>
        <v>138.06407875000002</v>
      </c>
      <c r="AC8" s="138">
        <f t="shared" si="11"/>
        <v>138.73038625000001</v>
      </c>
      <c r="AD8" s="138">
        <f t="shared" si="11"/>
        <v>138.73038625000001</v>
      </c>
      <c r="AE8" s="138">
        <f t="shared" si="11"/>
        <v>138.73038625000001</v>
      </c>
      <c r="AF8" s="138">
        <f t="shared" si="11"/>
        <v>138.73038625000001</v>
      </c>
      <c r="AG8" s="138">
        <f t="shared" si="11"/>
        <v>138.63320500000003</v>
      </c>
      <c r="AH8" s="138">
        <f t="shared" si="11"/>
        <v>138.63320500000003</v>
      </c>
      <c r="AI8" s="138">
        <f t="shared" si="11"/>
        <v>138.63320500000003</v>
      </c>
      <c r="AJ8" s="138">
        <f t="shared" si="11"/>
        <v>138.63320500000003</v>
      </c>
      <c r="AK8" s="138">
        <f t="shared" si="11"/>
        <v>138.43884250000002</v>
      </c>
      <c r="AL8" s="138">
        <f t="shared" si="11"/>
        <v>138.43884250000002</v>
      </c>
      <c r="AM8" s="138">
        <f t="shared" si="11"/>
        <v>138.43884250000002</v>
      </c>
      <c r="AN8" s="138">
        <f t="shared" si="11"/>
        <v>138.43884250000002</v>
      </c>
      <c r="AO8" s="138">
        <f t="shared" si="11"/>
        <v>138.39997000000002</v>
      </c>
      <c r="AP8" s="138">
        <f t="shared" si="11"/>
        <v>138.39997000000002</v>
      </c>
      <c r="AQ8" s="138">
        <f t="shared" si="11"/>
        <v>138.39997000000002</v>
      </c>
      <c r="AR8" s="138">
        <f t="shared" si="11"/>
        <v>138.39997000000002</v>
      </c>
      <c r="AS8" s="138">
        <f t="shared" si="11"/>
        <v>138.30278875000002</v>
      </c>
      <c r="AT8" s="138">
        <f t="shared" si="11"/>
        <v>138.30278875000002</v>
      </c>
      <c r="AU8" s="138">
        <f t="shared" si="11"/>
        <v>138.30278875000002</v>
      </c>
      <c r="AV8" s="138">
        <f t="shared" si="11"/>
        <v>138.30278875000002</v>
      </c>
      <c r="AW8" s="94"/>
      <c r="AX8" s="169">
        <f>SUM(G8:AW8)</f>
        <v>5506.8467975000021</v>
      </c>
    </row>
    <row r="9" spans="1:50" x14ac:dyDescent="0.2">
      <c r="A9" s="38" t="s">
        <v>2243</v>
      </c>
      <c r="C9" s="124" t="s">
        <v>2240</v>
      </c>
      <c r="E9" s="100"/>
      <c r="F9" s="57" t="s">
        <v>753</v>
      </c>
      <c r="G9" s="138">
        <f>G44</f>
        <v>200</v>
      </c>
      <c r="H9" s="138">
        <f t="shared" ref="H9:AV9" si="12">H44</f>
        <v>900</v>
      </c>
      <c r="I9" s="138">
        <f t="shared" si="12"/>
        <v>1800</v>
      </c>
      <c r="J9" s="138">
        <f t="shared" si="12"/>
        <v>2500</v>
      </c>
      <c r="K9" s="138">
        <f t="shared" si="12"/>
        <v>3000</v>
      </c>
      <c r="L9" s="138">
        <f t="shared" si="12"/>
        <v>3500</v>
      </c>
      <c r="M9" s="138">
        <f t="shared" si="12"/>
        <v>4000</v>
      </c>
      <c r="N9" s="138">
        <f t="shared" si="12"/>
        <v>4500</v>
      </c>
      <c r="O9" s="138">
        <f t="shared" si="12"/>
        <v>5000</v>
      </c>
      <c r="P9" s="138">
        <f t="shared" si="12"/>
        <v>5500</v>
      </c>
      <c r="Q9" s="138">
        <f t="shared" si="12"/>
        <v>5500</v>
      </c>
      <c r="R9" s="138">
        <f t="shared" si="12"/>
        <v>5500</v>
      </c>
      <c r="S9" s="138">
        <f t="shared" si="12"/>
        <v>5500</v>
      </c>
      <c r="T9" s="138">
        <f t="shared" si="12"/>
        <v>5500</v>
      </c>
      <c r="U9" s="138">
        <f t="shared" si="12"/>
        <v>5500</v>
      </c>
      <c r="V9" s="138">
        <f t="shared" si="12"/>
        <v>5500</v>
      </c>
      <c r="W9" s="138">
        <f t="shared" si="12"/>
        <v>5500</v>
      </c>
      <c r="X9" s="138">
        <f t="shared" si="12"/>
        <v>5500</v>
      </c>
      <c r="Y9" s="138">
        <f t="shared" si="12"/>
        <v>5500</v>
      </c>
      <c r="Z9" s="138">
        <f t="shared" si="12"/>
        <v>5500</v>
      </c>
      <c r="AA9" s="138">
        <f t="shared" si="12"/>
        <v>5500</v>
      </c>
      <c r="AB9" s="138">
        <f t="shared" si="12"/>
        <v>5500</v>
      </c>
      <c r="AC9" s="138">
        <f t="shared" si="12"/>
        <v>5500</v>
      </c>
      <c r="AD9" s="138">
        <f t="shared" si="12"/>
        <v>5500</v>
      </c>
      <c r="AE9" s="138">
        <f t="shared" si="12"/>
        <v>5500</v>
      </c>
      <c r="AF9" s="138">
        <f t="shared" si="12"/>
        <v>5500</v>
      </c>
      <c r="AG9" s="138">
        <f t="shared" si="12"/>
        <v>5500</v>
      </c>
      <c r="AH9" s="138">
        <f t="shared" si="12"/>
        <v>5500</v>
      </c>
      <c r="AI9" s="138">
        <f t="shared" si="12"/>
        <v>5500</v>
      </c>
      <c r="AJ9" s="138">
        <f t="shared" si="12"/>
        <v>5500</v>
      </c>
      <c r="AK9" s="138">
        <f t="shared" si="12"/>
        <v>5500</v>
      </c>
      <c r="AL9" s="138">
        <f t="shared" si="12"/>
        <v>5500</v>
      </c>
      <c r="AM9" s="138">
        <f t="shared" si="12"/>
        <v>5500</v>
      </c>
      <c r="AN9" s="138">
        <f t="shared" si="12"/>
        <v>5500</v>
      </c>
      <c r="AO9" s="138">
        <f t="shared" si="12"/>
        <v>5500</v>
      </c>
      <c r="AP9" s="138">
        <f t="shared" si="12"/>
        <v>5500</v>
      </c>
      <c r="AQ9" s="138">
        <f t="shared" si="12"/>
        <v>5500</v>
      </c>
      <c r="AR9" s="138">
        <f t="shared" si="12"/>
        <v>5500</v>
      </c>
      <c r="AS9" s="138">
        <f t="shared" si="12"/>
        <v>5500</v>
      </c>
      <c r="AT9" s="138">
        <f t="shared" si="12"/>
        <v>5500</v>
      </c>
      <c r="AU9" s="138">
        <f t="shared" si="12"/>
        <v>5500</v>
      </c>
      <c r="AV9" s="138">
        <f t="shared" si="12"/>
        <v>5500</v>
      </c>
      <c r="AW9" s="94"/>
      <c r="AX9" s="169">
        <f>SUM(G9:AW9)</f>
        <v>206900</v>
      </c>
    </row>
    <row r="10" spans="1:50" x14ac:dyDescent="0.2">
      <c r="A10" s="38" t="s">
        <v>2244</v>
      </c>
      <c r="C10" s="124" t="s">
        <v>2240</v>
      </c>
      <c r="E10" s="100"/>
      <c r="F10" s="57" t="s">
        <v>753</v>
      </c>
      <c r="G10" s="138">
        <f>G6-G7-G8-G9</f>
        <v>4714.3205799999996</v>
      </c>
      <c r="H10" s="138">
        <f t="shared" ref="H10:AV10" si="13">H6-H7-H8-H9</f>
        <v>4014.3205799999996</v>
      </c>
      <c r="I10" s="138">
        <f t="shared" si="13"/>
        <v>3510.2112599999991</v>
      </c>
      <c r="J10" s="138">
        <f t="shared" si="13"/>
        <v>2810.2112599999991</v>
      </c>
      <c r="K10" s="138">
        <f t="shared" si="13"/>
        <v>2310.2112599999991</v>
      </c>
      <c r="L10" s="138">
        <f t="shared" si="13"/>
        <v>1810.2112599999991</v>
      </c>
      <c r="M10" s="138">
        <f t="shared" si="13"/>
        <v>1605.0684800000008</v>
      </c>
      <c r="N10" s="138">
        <f t="shared" si="13"/>
        <v>1105.0684800000008</v>
      </c>
      <c r="O10" s="138">
        <f t="shared" si="13"/>
        <v>605.06848000000082</v>
      </c>
      <c r="P10" s="138">
        <f t="shared" si="13"/>
        <v>105.06848000000082</v>
      </c>
      <c r="Q10" s="138">
        <f t="shared" si="13"/>
        <v>764.51251999999931</v>
      </c>
      <c r="R10" s="138">
        <f t="shared" si="13"/>
        <v>764.51251999999931</v>
      </c>
      <c r="S10" s="138">
        <f t="shared" si="13"/>
        <v>764.51251999999931</v>
      </c>
      <c r="T10" s="138">
        <f t="shared" si="13"/>
        <v>764.51251999999931</v>
      </c>
      <c r="U10" s="138">
        <f t="shared" si="13"/>
        <v>1077.884</v>
      </c>
      <c r="V10" s="138">
        <f t="shared" si="13"/>
        <v>1077.884</v>
      </c>
      <c r="W10" s="138">
        <f t="shared" si="13"/>
        <v>1077.884</v>
      </c>
      <c r="X10" s="138">
        <f t="shared" si="13"/>
        <v>1077.884</v>
      </c>
      <c r="Y10" s="138">
        <f t="shared" si="13"/>
        <v>1127.075780000001</v>
      </c>
      <c r="Z10" s="138">
        <f t="shared" si="13"/>
        <v>1127.075780000001</v>
      </c>
      <c r="AA10" s="138">
        <f t="shared" si="13"/>
        <v>1127.075780000001</v>
      </c>
      <c r="AB10" s="138">
        <f t="shared" si="13"/>
        <v>1127.075780000001</v>
      </c>
      <c r="AC10" s="138">
        <f t="shared" si="13"/>
        <v>1159.05854</v>
      </c>
      <c r="AD10" s="138">
        <f t="shared" si="13"/>
        <v>1159.05854</v>
      </c>
      <c r="AE10" s="138">
        <f t="shared" si="13"/>
        <v>1159.05854</v>
      </c>
      <c r="AF10" s="138">
        <f t="shared" si="13"/>
        <v>1159.05854</v>
      </c>
      <c r="AG10" s="138">
        <f t="shared" si="13"/>
        <v>1154.3938400000006</v>
      </c>
      <c r="AH10" s="138">
        <f t="shared" si="13"/>
        <v>1154.3938400000006</v>
      </c>
      <c r="AI10" s="138">
        <f t="shared" si="13"/>
        <v>1154.3938400000006</v>
      </c>
      <c r="AJ10" s="138">
        <f t="shared" si="13"/>
        <v>1154.3938400000006</v>
      </c>
      <c r="AK10" s="138">
        <f t="shared" si="13"/>
        <v>1145.064440000001</v>
      </c>
      <c r="AL10" s="138">
        <f t="shared" si="13"/>
        <v>1145.064440000001</v>
      </c>
      <c r="AM10" s="138">
        <f t="shared" si="13"/>
        <v>1145.064440000001</v>
      </c>
      <c r="AN10" s="138">
        <f t="shared" si="13"/>
        <v>1145.064440000001</v>
      </c>
      <c r="AO10" s="138">
        <f t="shared" si="13"/>
        <v>1143.1985599999998</v>
      </c>
      <c r="AP10" s="138">
        <f t="shared" si="13"/>
        <v>1143.1985599999998</v>
      </c>
      <c r="AQ10" s="138">
        <f t="shared" si="13"/>
        <v>1143.1985599999998</v>
      </c>
      <c r="AR10" s="138">
        <f t="shared" si="13"/>
        <v>1143.1985599999998</v>
      </c>
      <c r="AS10" s="138">
        <f t="shared" si="13"/>
        <v>1138.5338600000005</v>
      </c>
      <c r="AT10" s="138">
        <f t="shared" si="13"/>
        <v>1138.5338600000005</v>
      </c>
      <c r="AU10" s="138">
        <f t="shared" si="13"/>
        <v>1138.5338600000005</v>
      </c>
      <c r="AV10" s="138">
        <f t="shared" si="13"/>
        <v>1138.5338600000005</v>
      </c>
      <c r="AW10" s="94"/>
      <c r="AX10" s="169">
        <f>SUM(G10:AW10)</f>
        <v>57428.646280000015</v>
      </c>
    </row>
    <row r="11" spans="1:50" x14ac:dyDescent="0.2">
      <c r="AW11" s="94"/>
    </row>
    <row r="12" spans="1:50" x14ac:dyDescent="0.2">
      <c r="A12" s="38" t="s">
        <v>2245</v>
      </c>
      <c r="C12" s="124" t="s">
        <v>2240</v>
      </c>
      <c r="F12" s="57" t="s">
        <v>753</v>
      </c>
      <c r="G12" s="332">
        <f>Стадо!N9/4/1000</f>
        <v>17.745000000000001</v>
      </c>
      <c r="H12" s="332">
        <f>Стадо!N9/4/1000</f>
        <v>17.745000000000001</v>
      </c>
      <c r="I12" s="332">
        <f ca="1">OFFSET(Стадо!$N$9, (INT((I2-3)/4)+1)*8, 0)/4/1000</f>
        <v>20.355</v>
      </c>
      <c r="J12" s="332">
        <f ca="1">OFFSET(Стадо!$N$9, (INT((J2-3)/4)+1)*8, 0)/4/1000</f>
        <v>20.355</v>
      </c>
      <c r="K12" s="332">
        <f ca="1">OFFSET(Стадо!$N$9, (INT((K2-3)/4)+1)*8, 0)/4/1000</f>
        <v>20.355</v>
      </c>
      <c r="L12" s="332">
        <f ca="1">OFFSET(Стадо!$N$9, (INT((L2-3)/4)+1)*8, 0)/4/1000</f>
        <v>20.355</v>
      </c>
      <c r="M12" s="332">
        <f ca="1">OFFSET(Стадо!$N$9, (INT((M2-3)/4)+1)*8, 0)/4/1000</f>
        <v>19.95</v>
      </c>
      <c r="N12" s="332">
        <f ca="1">OFFSET(Стадо!$N$9, (INT((N2-3)/4)+1)*8, 0)/4/1000</f>
        <v>19.95</v>
      </c>
      <c r="O12" s="332">
        <f ca="1">OFFSET(Стадо!$N$9, (INT((O2-3)/4)+1)*8, 0)/4/1000</f>
        <v>19.95</v>
      </c>
      <c r="P12" s="332">
        <f ca="1">OFFSET(Стадо!$N$9, (INT((P2-3)/4)+1)*8, 0)/4/1000</f>
        <v>19.95</v>
      </c>
      <c r="Q12" s="332">
        <f ca="1">OFFSET(Стадо!$N$9, (INT((Q2-3)/4)+1)*8, 0)/4/1000</f>
        <v>22.545000000000002</v>
      </c>
      <c r="R12" s="332">
        <f ca="1">OFFSET(Стадо!$N$9, (INT((R2-3)/4)+1)*8, 0)/4/1000</f>
        <v>22.545000000000002</v>
      </c>
      <c r="S12" s="332">
        <f ca="1">OFFSET(Стадо!$N$9, (INT((S2-3)/4)+1)*8, 0)/4/1000</f>
        <v>22.545000000000002</v>
      </c>
      <c r="T12" s="332">
        <f ca="1">OFFSET(Стадо!$N$9, (INT((T2-3)/4)+1)*8, 0)/4/1000</f>
        <v>22.545000000000002</v>
      </c>
      <c r="U12" s="332">
        <f ca="1">OFFSET(Стадо!$N$9, (INT((U2-3)/4)+1)*8, 0)/4/1000</f>
        <v>24.84</v>
      </c>
      <c r="V12" s="332">
        <f ca="1">OFFSET(Стадо!$N$9, (INT((V2-3)/4)+1)*8, 0)/4/1000</f>
        <v>24.84</v>
      </c>
      <c r="W12" s="332">
        <f ca="1">OFFSET(Стадо!$N$9, (INT((W2-3)/4)+1)*8, 0)/4/1000</f>
        <v>24.84</v>
      </c>
      <c r="X12" s="332">
        <f ca="1">OFFSET(Стадо!$N$9, (INT((X2-3)/4)+1)*8, 0)/4/1000</f>
        <v>24.84</v>
      </c>
      <c r="Y12" s="332">
        <f ca="1">OFFSET(Стадо!$N$9, (INT((Y2-3)/4)+1)*8, 0)/4/1000</f>
        <v>25.065000000000001</v>
      </c>
      <c r="Z12" s="332">
        <f ca="1">OFFSET(Стадо!$N$9, (INT((Z2-3)/4)+1)*8, 0)/4/1000</f>
        <v>25.065000000000001</v>
      </c>
      <c r="AA12" s="332">
        <f ca="1">OFFSET(Стадо!$N$9, (INT((AA2-3)/4)+1)*8, 0)/4/1000</f>
        <v>25.065000000000001</v>
      </c>
      <c r="AB12" s="332">
        <f ca="1">OFFSET(Стадо!$N$9, (INT((AB2-3)/4)+1)*8, 0)/4/1000</f>
        <v>25.065000000000001</v>
      </c>
      <c r="AC12" s="332">
        <f ca="1">OFFSET(Стадо!$N$9, (INT((AC2-3)/4)+1)*8, 0)/4/1000</f>
        <v>25.425000000000001</v>
      </c>
      <c r="AD12" s="332">
        <f ca="1">OFFSET(Стадо!$N$9, (INT((AD2-3)/4)+1)*8, 0)/4/1000</f>
        <v>25.425000000000001</v>
      </c>
      <c r="AE12" s="332">
        <f ca="1">OFFSET(Стадо!$N$9, (INT((AE2-3)/4)+1)*8, 0)/4/1000</f>
        <v>25.425000000000001</v>
      </c>
      <c r="AF12" s="332">
        <f ca="1">OFFSET(Стадо!$N$9, (INT((AF2-3)/4)+1)*8, 0)/4/1000</f>
        <v>25.425000000000001</v>
      </c>
      <c r="AG12" s="332">
        <f ca="1">OFFSET(Стадо!$N$9, (INT((AG2-3)/4)+1)*8, 0)/4/1000</f>
        <v>25.395</v>
      </c>
      <c r="AH12" s="332">
        <f ca="1">OFFSET(Стадо!$N$9, (INT((AH2-3)/4)+1)*8, 0)/4/1000</f>
        <v>25.395</v>
      </c>
      <c r="AI12" s="332">
        <f ca="1">OFFSET(Стадо!$N$9, (INT((AI2-3)/4)+1)*8, 0)/4/1000</f>
        <v>25.395</v>
      </c>
      <c r="AJ12" s="332">
        <f ca="1">OFFSET(Стадо!$N$9, (INT((AJ2-3)/4)+1)*8, 0)/4/1000</f>
        <v>25.395</v>
      </c>
      <c r="AK12" s="332">
        <f ca="1">OFFSET(Стадо!$N$9, (INT((AK2-3)/4)+1)*8, 0)/4/1000</f>
        <v>25.38</v>
      </c>
      <c r="AL12" s="332">
        <f ca="1">OFFSET(Стадо!$N$9, (INT((AL2-3)/4)+1)*8, 0)/4/1000</f>
        <v>25.38</v>
      </c>
      <c r="AM12" s="332">
        <f ca="1">OFFSET(Стадо!$N$9, (INT((AM2-3)/4)+1)*8, 0)/4/1000</f>
        <v>25.38</v>
      </c>
      <c r="AN12" s="332">
        <f ca="1">OFFSET(Стадо!$N$9, (INT((AN2-3)/4)+1)*8, 0)/4/1000</f>
        <v>25.38</v>
      </c>
      <c r="AO12" s="332">
        <f ca="1">OFFSET(Стадо!$N$9, (INT((AO2-3)/4)+1)*8, 0)/4/1000</f>
        <v>25.335000000000001</v>
      </c>
      <c r="AP12" s="332">
        <f ca="1">OFFSET(Стадо!$N$9, (INT((AP2-3)/4)+1)*8, 0)/4/1000</f>
        <v>25.335000000000001</v>
      </c>
      <c r="AQ12" s="332">
        <f ca="1">OFFSET(Стадо!$N$9, (INT((AQ2-3)/4)+1)*8, 0)/4/1000</f>
        <v>25.335000000000001</v>
      </c>
      <c r="AR12" s="332">
        <f ca="1">OFFSET(Стадо!$N$9, (INT((AR2-3)/4)+1)*8, 0)/4/1000</f>
        <v>25.335000000000001</v>
      </c>
      <c r="AS12" s="332">
        <f ca="1">OFFSET(Стадо!$N$9, (INT((AS2-3)/4)+1)*8, 0)/4/1000</f>
        <v>25.364999999999998</v>
      </c>
      <c r="AT12" s="332">
        <f ca="1">OFFSET(Стадо!$N$9, (INT((AT2-3)/4)+1)*8, 0)/4/1000</f>
        <v>25.364999999999998</v>
      </c>
      <c r="AU12" s="332">
        <f ca="1">OFFSET(Стадо!$N$9, (INT((AU2-3)/4)+1)*8, 0)/4/1000</f>
        <v>25.364999999999998</v>
      </c>
      <c r="AV12" s="332">
        <f ca="1">OFFSET(Стадо!$N$9, (INT((AV2-3)/4)+1)*8, 0)/4/1000</f>
        <v>25.364999999999998</v>
      </c>
      <c r="AW12" s="94"/>
      <c r="AX12" s="169">
        <f ca="1">SUM(G12:AW12)</f>
        <v>994.1099999999999</v>
      </c>
    </row>
    <row r="13" spans="1:50" x14ac:dyDescent="0.2">
      <c r="A13" s="38" t="s">
        <v>2246</v>
      </c>
      <c r="C13" s="124" t="s">
        <v>2248</v>
      </c>
      <c r="F13" s="57" t="s">
        <v>753</v>
      </c>
      <c r="G13" s="138">
        <f>INT(Стадо!G6/4)</f>
        <v>0</v>
      </c>
      <c r="H13" s="138">
        <f>INT(Стадо!G6/4)</f>
        <v>0</v>
      </c>
      <c r="I13" s="138">
        <f ca="1">INT(OFFSET(Стадо!$G$6, (INT((I2-3)/4)+1)*8, 0)/4)</f>
        <v>67</v>
      </c>
      <c r="J13" s="138">
        <f ca="1">INT(OFFSET(Стадо!$G$6, (INT((J2-3)/4)+1)*8, 0)/4)</f>
        <v>67</v>
      </c>
      <c r="K13" s="138">
        <f ca="1">INT(OFFSET(Стадо!$G$6, (INT((K2-3)/4)+1)*8, 0)/4)</f>
        <v>67</v>
      </c>
      <c r="L13" s="138">
        <f ca="1">INT(OFFSET(Стадо!$G$6, (INT((L2-3)/4)+1)*8, 0)/4)</f>
        <v>67</v>
      </c>
      <c r="M13" s="138">
        <f ca="1">INT(OFFSET(Стадо!$G$6, (INT((M2-3)/4)+1)*8, 0)/4)</f>
        <v>34</v>
      </c>
      <c r="N13" s="138">
        <f ca="1">INT(OFFSET(Стадо!$G$6, (INT((N2-3)/4)+1)*8, 0)/4)</f>
        <v>34</v>
      </c>
      <c r="O13" s="138">
        <f ca="1">INT(OFFSET(Стадо!$G$6, (INT((O2-3)/4)+1)*8, 0)/4)</f>
        <v>34</v>
      </c>
      <c r="P13" s="138">
        <f ca="1">INT(OFFSET(Стадо!$G$6, (INT((P2-3)/4)+1)*8, 0)/4)</f>
        <v>34</v>
      </c>
      <c r="Q13" s="138">
        <f ca="1">INT(OFFSET(Стадо!$G$6, (INT((Q2-3)/4)+1)*8, 0)/4)</f>
        <v>12</v>
      </c>
      <c r="R13" s="138">
        <f ca="1">INT(OFFSET(Стадо!$G$6, (INT((R2-3)/4)+1)*8, 0)/4)</f>
        <v>12</v>
      </c>
      <c r="S13" s="138">
        <f ca="1">INT(OFFSET(Стадо!$G$6, (INT((S2-3)/4)+1)*8, 0)/4)</f>
        <v>12</v>
      </c>
      <c r="T13" s="138">
        <f ca="1">INT(OFFSET(Стадо!$G$6, (INT((T2-3)/4)+1)*8, 0)/4)</f>
        <v>12</v>
      </c>
      <c r="U13" s="138">
        <f ca="1">INT(OFFSET(Стадо!$G$6, (INT((U2-3)/4)+1)*8, 0)/4)</f>
        <v>67</v>
      </c>
      <c r="V13" s="138">
        <f ca="1">INT(OFFSET(Стадо!$G$6, (INT((V2-3)/4)+1)*8, 0)/4)</f>
        <v>67</v>
      </c>
      <c r="W13" s="138">
        <f ca="1">INT(OFFSET(Стадо!$G$6, (INT((W2-3)/4)+1)*8, 0)/4)</f>
        <v>67</v>
      </c>
      <c r="X13" s="138">
        <f ca="1">INT(OFFSET(Стадо!$G$6, (INT((X2-3)/4)+1)*8, 0)/4)</f>
        <v>67</v>
      </c>
      <c r="Y13" s="138">
        <f ca="1">INT(OFFSET(Стадо!$G$6, (INT((Y2-3)/4)+1)*8, 0)/4)</f>
        <v>60</v>
      </c>
      <c r="Z13" s="138">
        <f ca="1">INT(OFFSET(Стадо!$G$6, (INT((Z2-3)/4)+1)*8, 0)/4)</f>
        <v>60</v>
      </c>
      <c r="AA13" s="138">
        <f ca="1">INT(OFFSET(Стадо!$G$6, (INT((AA2-3)/4)+1)*8, 0)/4)</f>
        <v>60</v>
      </c>
      <c r="AB13" s="138">
        <f ca="1">INT(OFFSET(Стадо!$G$6, (INT((AB2-3)/4)+1)*8, 0)/4)</f>
        <v>60</v>
      </c>
      <c r="AC13" s="138">
        <f ca="1">INT(OFFSET(Стадо!$G$6, (INT((AC2-3)/4)+1)*8, 0)/4)</f>
        <v>105</v>
      </c>
      <c r="AD13" s="138">
        <f ca="1">INT(OFFSET(Стадо!$G$6, (INT((AD2-3)/4)+1)*8, 0)/4)</f>
        <v>105</v>
      </c>
      <c r="AE13" s="138">
        <f ca="1">INT(OFFSET(Стадо!$G$6, (INT((AE2-3)/4)+1)*8, 0)/4)</f>
        <v>105</v>
      </c>
      <c r="AF13" s="138">
        <f ca="1">INT(OFFSET(Стадо!$G$6, (INT((AF2-3)/4)+1)*8, 0)/4)</f>
        <v>105</v>
      </c>
      <c r="AG13" s="138">
        <f ca="1">INT(OFFSET(Стадо!$G$6, (INT((AG2-3)/4)+1)*8, 0)/4)</f>
        <v>120</v>
      </c>
      <c r="AH13" s="138">
        <f ca="1">INT(OFFSET(Стадо!$G$6, (INT((AH2-3)/4)+1)*8, 0)/4)</f>
        <v>120</v>
      </c>
      <c r="AI13" s="138">
        <f ca="1">INT(OFFSET(Стадо!$G$6, (INT((AI2-3)/4)+1)*8, 0)/4)</f>
        <v>120</v>
      </c>
      <c r="AJ13" s="138">
        <f ca="1">INT(OFFSET(Стадо!$G$6, (INT((AJ2-3)/4)+1)*8, 0)/4)</f>
        <v>120</v>
      </c>
      <c r="AK13" s="138">
        <f ca="1">INT(OFFSET(Стадо!$G$6, (INT((AK2-3)/4)+1)*8, 0)/4)</f>
        <v>117</v>
      </c>
      <c r="AL13" s="138">
        <f ca="1">INT(OFFSET(Стадо!$G$6, (INT((AL2-3)/4)+1)*8, 0)/4)</f>
        <v>117</v>
      </c>
      <c r="AM13" s="138">
        <f ca="1">INT(OFFSET(Стадо!$G$6, (INT((AM2-3)/4)+1)*8, 0)/4)</f>
        <v>117</v>
      </c>
      <c r="AN13" s="138">
        <f ca="1">INT(OFFSET(Стадо!$G$6, (INT((AN2-3)/4)+1)*8, 0)/4)</f>
        <v>117</v>
      </c>
      <c r="AO13" s="138">
        <f ca="1">INT(OFFSET(Стадо!$G$6, (INT((AO2-3)/4)+1)*8, 0)/4)</f>
        <v>117</v>
      </c>
      <c r="AP13" s="138">
        <f ca="1">INT(OFFSET(Стадо!$G$6, (INT((AP2-3)/4)+1)*8, 0)/4)</f>
        <v>117</v>
      </c>
      <c r="AQ13" s="138">
        <f ca="1">INT(OFFSET(Стадо!$G$6, (INT((AQ2-3)/4)+1)*8, 0)/4)</f>
        <v>117</v>
      </c>
      <c r="AR13" s="138">
        <f ca="1">INT(OFFSET(Стадо!$G$6, (INT((AR2-3)/4)+1)*8, 0)/4)</f>
        <v>117</v>
      </c>
      <c r="AS13" s="138">
        <f ca="1">INT(OFFSET(Стадо!$G$6, (INT((AS2-3)/4)+1)*8, 0)/4)</f>
        <v>0</v>
      </c>
      <c r="AT13" s="138">
        <f ca="1">INT(OFFSET(Стадо!$G$6, (INT((AT2-3)/4)+1)*8, 0)/4)</f>
        <v>0</v>
      </c>
      <c r="AU13" s="138">
        <f ca="1">INT(OFFSET(Стадо!$G$6, (INT((AU2-3)/4)+1)*8, 0)/4)</f>
        <v>0</v>
      </c>
      <c r="AV13" s="138">
        <f ca="1">INT(OFFSET(Стадо!$G$6, (INT((AV2-3)/4)+1)*8, 0)/4)</f>
        <v>0</v>
      </c>
      <c r="AW13" s="94"/>
      <c r="AX13" s="169">
        <f ca="1">SUM(G13:AW13)</f>
        <v>2796</v>
      </c>
    </row>
    <row r="14" spans="1:50" x14ac:dyDescent="0.2">
      <c r="A14" s="38" t="s">
        <v>2247</v>
      </c>
      <c r="C14" s="124" t="s">
        <v>2240</v>
      </c>
      <c r="F14" s="57" t="s">
        <v>753</v>
      </c>
      <c r="G14" s="332">
        <f>Стадо!N8/4/1000</f>
        <v>96.5</v>
      </c>
      <c r="H14" s="332">
        <f>Стадо!N8/4/1000</f>
        <v>96.5</v>
      </c>
      <c r="I14" s="332">
        <f ca="1">OFFSET(Стадо!$N$8, (INT((I2-3)/4)+1)*8, 0)/4/1000</f>
        <v>111.625</v>
      </c>
      <c r="J14" s="332">
        <f ca="1">OFFSET(Стадо!$N$8, (INT((J2-3)/4)+1)*8, 0)/4/1000</f>
        <v>111.625</v>
      </c>
      <c r="K14" s="332">
        <f ca="1">OFFSET(Стадо!$N$8, (INT((K2-3)/4)+1)*8, 0)/4/1000</f>
        <v>111.625</v>
      </c>
      <c r="L14" s="332">
        <f ca="1">OFFSET(Стадо!$N$8, (INT((L2-3)/4)+1)*8, 0)/4/1000</f>
        <v>111.625</v>
      </c>
      <c r="M14" s="332">
        <f ca="1">OFFSET(Стадо!$N$8, (INT((M2-3)/4)+1)*8, 0)/4/1000</f>
        <v>113.25</v>
      </c>
      <c r="N14" s="332">
        <f ca="1">OFFSET(Стадо!$N$8, (INT((N2-3)/4)+1)*8, 0)/4/1000</f>
        <v>113.25</v>
      </c>
      <c r="O14" s="332">
        <f ca="1">OFFSET(Стадо!$N$8, (INT((O2-3)/4)+1)*8, 0)/4/1000</f>
        <v>113.25</v>
      </c>
      <c r="P14" s="332">
        <f ca="1">OFFSET(Стадо!$N$8, (INT((P2-3)/4)+1)*8, 0)/4/1000</f>
        <v>113.25</v>
      </c>
      <c r="Q14" s="332">
        <f ca="1">OFFSET(Стадо!$N$8, (INT((Q2-3)/4)+1)*8, 0)/4/1000</f>
        <v>122.125</v>
      </c>
      <c r="R14" s="332">
        <f ca="1">OFFSET(Стадо!$N$8, (INT((R2-3)/4)+1)*8, 0)/4/1000</f>
        <v>122.125</v>
      </c>
      <c r="S14" s="332">
        <f ca="1">OFFSET(Стадо!$N$8, (INT((S2-3)/4)+1)*8, 0)/4/1000</f>
        <v>122.125</v>
      </c>
      <c r="T14" s="332">
        <f ca="1">OFFSET(Стадо!$N$8, (INT((T2-3)/4)+1)*8, 0)/4/1000</f>
        <v>122.125</v>
      </c>
      <c r="U14" s="332">
        <f ca="1">OFFSET(Стадо!$N$8, (INT((U2-3)/4)+1)*8, 0)/4/1000</f>
        <v>136.375</v>
      </c>
      <c r="V14" s="332">
        <f ca="1">OFFSET(Стадо!$N$8, (INT((V2-3)/4)+1)*8, 0)/4/1000</f>
        <v>136.375</v>
      </c>
      <c r="W14" s="332">
        <f ca="1">OFFSET(Стадо!$N$8, (INT((W2-3)/4)+1)*8, 0)/4/1000</f>
        <v>136.375</v>
      </c>
      <c r="X14" s="332">
        <f ca="1">OFFSET(Стадо!$N$8, (INT((X2-3)/4)+1)*8, 0)/4/1000</f>
        <v>136.375</v>
      </c>
      <c r="Y14" s="332">
        <f ca="1">OFFSET(Стадо!$N$8, (INT((Y2-3)/4)+1)*8, 0)/4/1000</f>
        <v>141.375</v>
      </c>
      <c r="Z14" s="332">
        <f ca="1">OFFSET(Стадо!$N$8, (INT((Z2-3)/4)+1)*8, 0)/4/1000</f>
        <v>141.375</v>
      </c>
      <c r="AA14" s="332">
        <f ca="1">OFFSET(Стадо!$N$8, (INT((AA2-3)/4)+1)*8, 0)/4/1000</f>
        <v>141.375</v>
      </c>
      <c r="AB14" s="332">
        <f ca="1">OFFSET(Стадо!$N$8, (INT((AB2-3)/4)+1)*8, 0)/4/1000</f>
        <v>141.375</v>
      </c>
      <c r="AC14" s="332">
        <f ca="1">OFFSET(Стадо!$N$8, (INT((AC2-3)/4)+1)*8, 0)/4/1000</f>
        <v>148</v>
      </c>
      <c r="AD14" s="332">
        <f ca="1">OFFSET(Стадо!$N$8, (INT((AD2-3)/4)+1)*8, 0)/4/1000</f>
        <v>148</v>
      </c>
      <c r="AE14" s="332">
        <f ca="1">OFFSET(Стадо!$N$8, (INT((AE2-3)/4)+1)*8, 0)/4/1000</f>
        <v>148</v>
      </c>
      <c r="AF14" s="332">
        <f ca="1">OFFSET(Стадо!$N$8, (INT((AF2-3)/4)+1)*8, 0)/4/1000</f>
        <v>148</v>
      </c>
      <c r="AG14" s="332">
        <f ca="1">OFFSET(Стадо!$N$8, (INT((AG2-3)/4)+1)*8, 0)/4/1000</f>
        <v>147.875</v>
      </c>
      <c r="AH14" s="332">
        <f ca="1">OFFSET(Стадо!$N$8, (INT((AH2-3)/4)+1)*8, 0)/4/1000</f>
        <v>147.875</v>
      </c>
      <c r="AI14" s="332">
        <f ca="1">OFFSET(Стадо!$N$8, (INT((AI2-3)/4)+1)*8, 0)/4/1000</f>
        <v>147.875</v>
      </c>
      <c r="AJ14" s="332">
        <f ca="1">OFFSET(Стадо!$N$8, (INT((AJ2-3)/4)+1)*8, 0)/4/1000</f>
        <v>147.875</v>
      </c>
      <c r="AK14" s="332">
        <f ca="1">OFFSET(Стадо!$N$8, (INT((AK2-3)/4)+1)*8, 0)/4/1000</f>
        <v>147.75</v>
      </c>
      <c r="AL14" s="332">
        <f ca="1">OFFSET(Стадо!$N$8, (INT((AL2-3)/4)+1)*8, 0)/4/1000</f>
        <v>147.75</v>
      </c>
      <c r="AM14" s="332">
        <f ca="1">OFFSET(Стадо!$N$8, (INT((AM2-3)/4)+1)*8, 0)/4/1000</f>
        <v>147.75</v>
      </c>
      <c r="AN14" s="332">
        <f ca="1">OFFSET(Стадо!$N$8, (INT((AN2-3)/4)+1)*8, 0)/4/1000</f>
        <v>147.75</v>
      </c>
      <c r="AO14" s="332">
        <f ca="1">OFFSET(Стадо!$N$8, (INT((AO2-3)/4)+1)*8, 0)/4/1000</f>
        <v>147.375</v>
      </c>
      <c r="AP14" s="332">
        <f ca="1">OFFSET(Стадо!$N$8, (INT((AP2-3)/4)+1)*8, 0)/4/1000</f>
        <v>147.375</v>
      </c>
      <c r="AQ14" s="332">
        <f ca="1">OFFSET(Стадо!$N$8, (INT((AQ2-3)/4)+1)*8, 0)/4/1000</f>
        <v>147.375</v>
      </c>
      <c r="AR14" s="332">
        <f ca="1">OFFSET(Стадо!$N$8, (INT((AR2-3)/4)+1)*8, 0)/4/1000</f>
        <v>147.375</v>
      </c>
      <c r="AS14" s="332">
        <f ca="1">OFFSET(Стадо!$N$8, (INT((AS2-3)/4)+1)*8, 0)/4/1000</f>
        <v>147.625</v>
      </c>
      <c r="AT14" s="332">
        <f ca="1">OFFSET(Стадо!$N$8, (INT((AT2-3)/4)+1)*8, 0)/4/1000</f>
        <v>147.625</v>
      </c>
      <c r="AU14" s="332">
        <f ca="1">OFFSET(Стадо!$N$8, (INT((AU2-3)/4)+1)*8, 0)/4/1000</f>
        <v>147.625</v>
      </c>
      <c r="AV14" s="332">
        <f ca="1">OFFSET(Стадо!$N$8, (INT((AV2-3)/4)+1)*8, 0)/4/1000</f>
        <v>147.625</v>
      </c>
      <c r="AW14" s="94"/>
      <c r="AX14" s="169">
        <f ca="1">SUM(G14:AW14)</f>
        <v>5646.5</v>
      </c>
    </row>
    <row r="15" spans="1:50" x14ac:dyDescent="0.2">
      <c r="C15" s="124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94"/>
      <c r="AX15" s="169"/>
    </row>
    <row r="16" spans="1:50" x14ac:dyDescent="0.2">
      <c r="A16" s="38" t="s">
        <v>2322</v>
      </c>
      <c r="C16" s="124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/>
      <c r="AL16" s="332"/>
      <c r="AM16" s="332"/>
      <c r="AN16" s="332"/>
      <c r="AO16" s="332"/>
      <c r="AP16" s="332"/>
      <c r="AQ16" s="332"/>
      <c r="AR16" s="332"/>
      <c r="AS16" s="332"/>
      <c r="AT16" s="332"/>
      <c r="AU16" s="332"/>
      <c r="AV16" s="332"/>
      <c r="AW16" s="94"/>
      <c r="AX16" s="169"/>
    </row>
    <row r="17" spans="1:50" x14ac:dyDescent="0.2">
      <c r="A17" s="333" t="s">
        <v>2221</v>
      </c>
      <c r="C17" s="124" t="s">
        <v>2316</v>
      </c>
      <c r="F17" s="57" t="s">
        <v>753</v>
      </c>
      <c r="G17" s="138">
        <f>Стадо!$J5/4</f>
        <v>170591.875</v>
      </c>
      <c r="H17" s="138">
        <f>Стадо!$J5/4</f>
        <v>170591.875</v>
      </c>
      <c r="I17" s="138">
        <f ca="1">OFFSET(Стадо!$J5, (INT((I$2-3)/4)+1)*8, 0)/4</f>
        <v>215486.875</v>
      </c>
      <c r="J17" s="138">
        <f ca="1">OFFSET(Стадо!$J5, (INT((J$2-3)/4)+1)*8, 0)/4</f>
        <v>215486.875</v>
      </c>
      <c r="K17" s="138">
        <f ca="1">OFFSET(Стадо!$J5, (INT((K$2-3)/4)+1)*8, 0)/4</f>
        <v>215486.875</v>
      </c>
      <c r="L17" s="138">
        <f ca="1">OFFSET(Стадо!$J5, (INT((L$2-3)/4)+1)*8, 0)/4</f>
        <v>215486.875</v>
      </c>
      <c r="M17" s="138">
        <f ca="1">OFFSET(Стадо!$J5, (INT((M$2-3)/4)+1)*8, 0)/4</f>
        <v>240078.75</v>
      </c>
      <c r="N17" s="138">
        <f ca="1">OFFSET(Стадо!$J5, (INT((N$2-3)/4)+1)*8, 0)/4</f>
        <v>240078.75</v>
      </c>
      <c r="O17" s="138">
        <f ca="1">OFFSET(Стадо!$J5, (INT((O$2-3)/4)+1)*8, 0)/4</f>
        <v>240078.75</v>
      </c>
      <c r="P17" s="138">
        <f ca="1">OFFSET(Стадо!$J5, (INT((P$2-3)/4)+1)*8, 0)/4</f>
        <v>240078.75</v>
      </c>
      <c r="Q17" s="138">
        <f ca="1">OFFSET(Стадо!$J5, (INT((Q$2-3)/4)+1)*8, 0)/4</f>
        <v>253036.25</v>
      </c>
      <c r="R17" s="138">
        <f ca="1">OFFSET(Стадо!$J5, (INT((R$2-3)/4)+1)*8, 0)/4</f>
        <v>253036.25</v>
      </c>
      <c r="S17" s="138">
        <f ca="1">OFFSET(Стадо!$J5, (INT((S$2-3)/4)+1)*8, 0)/4</f>
        <v>253036.25</v>
      </c>
      <c r="T17" s="138">
        <f ca="1">OFFSET(Стадо!$J5, (INT((T$2-3)/4)+1)*8, 0)/4</f>
        <v>253036.25</v>
      </c>
      <c r="U17" s="138">
        <f ca="1">OFFSET(Стадо!$J5, (INT((U$2-3)/4)+1)*8, 0)/4</f>
        <v>284335</v>
      </c>
      <c r="V17" s="138">
        <f ca="1">OFFSET(Стадо!$J5, (INT((V$2-3)/4)+1)*8, 0)/4</f>
        <v>284335</v>
      </c>
      <c r="W17" s="138">
        <f ca="1">OFFSET(Стадо!$J5, (INT((W$2-3)/4)+1)*8, 0)/4</f>
        <v>284335</v>
      </c>
      <c r="X17" s="138">
        <f ca="1">OFFSET(Стадо!$J5, (INT((X$2-3)/4)+1)*8, 0)/4</f>
        <v>284335</v>
      </c>
      <c r="Y17" s="138">
        <f ca="1">OFFSET(Стадо!$J5, (INT((Y$2-3)/4)+1)*8, 0)/4</f>
        <v>309109.375</v>
      </c>
      <c r="Z17" s="138">
        <f ca="1">OFFSET(Стадо!$J5, (INT((Z$2-3)/4)+1)*8, 0)/4</f>
        <v>309109.375</v>
      </c>
      <c r="AA17" s="138">
        <f ca="1">OFFSET(Стадо!$J5, (INT((AA$2-3)/4)+1)*8, 0)/4</f>
        <v>309109.375</v>
      </c>
      <c r="AB17" s="138">
        <f ca="1">OFFSET(Стадо!$J5, (INT((AB$2-3)/4)+1)*8, 0)/4</f>
        <v>309109.375</v>
      </c>
      <c r="AC17" s="138">
        <f ca="1">OFFSET(Стадо!$J5, (INT((AC$2-3)/4)+1)*8, 0)/4</f>
        <v>323253.125</v>
      </c>
      <c r="AD17" s="138">
        <f ca="1">OFFSET(Стадо!$J5, (INT((AD$2-3)/4)+1)*8, 0)/4</f>
        <v>323253.125</v>
      </c>
      <c r="AE17" s="138">
        <f ca="1">OFFSET(Стадо!$J5, (INT((AE$2-3)/4)+1)*8, 0)/4</f>
        <v>323253.125</v>
      </c>
      <c r="AF17" s="138">
        <f ca="1">OFFSET(Стадо!$J5, (INT((AF$2-3)/4)+1)*8, 0)/4</f>
        <v>323253.125</v>
      </c>
      <c r="AG17" s="138">
        <f ca="1">OFFSET(Стадо!$J5, (INT((AG$2-3)/4)+1)*8, 0)/4</f>
        <v>331556.875</v>
      </c>
      <c r="AH17" s="138">
        <f ca="1">OFFSET(Стадо!$J5, (INT((AH$2-3)/4)+1)*8, 0)/4</f>
        <v>331556.875</v>
      </c>
      <c r="AI17" s="138">
        <f ca="1">OFFSET(Стадо!$J5, (INT((AI$2-3)/4)+1)*8, 0)/4</f>
        <v>331556.875</v>
      </c>
      <c r="AJ17" s="138">
        <f ca="1">OFFSET(Стадо!$J5, (INT((AJ$2-3)/4)+1)*8, 0)/4</f>
        <v>331556.875</v>
      </c>
      <c r="AK17" s="138">
        <f ca="1">OFFSET(Стадо!$J5, (INT((AK$2-3)/4)+1)*8, 0)/4</f>
        <v>335435</v>
      </c>
      <c r="AL17" s="138">
        <f ca="1">OFFSET(Стадо!$J5, (INT((AL$2-3)/4)+1)*8, 0)/4</f>
        <v>335435</v>
      </c>
      <c r="AM17" s="138">
        <f ca="1">OFFSET(Стадо!$J5, (INT((AM$2-3)/4)+1)*8, 0)/4</f>
        <v>335435</v>
      </c>
      <c r="AN17" s="138">
        <f ca="1">OFFSET(Стадо!$J5, (INT((AN$2-3)/4)+1)*8, 0)/4</f>
        <v>335435</v>
      </c>
      <c r="AO17" s="138">
        <f ca="1">OFFSET(Стадо!$J5, (INT((AO$2-3)/4)+1)*8, 0)/4</f>
        <v>339130.625</v>
      </c>
      <c r="AP17" s="138">
        <f ca="1">OFFSET(Стадо!$J5, (INT((AP$2-3)/4)+1)*8, 0)/4</f>
        <v>339130.625</v>
      </c>
      <c r="AQ17" s="138">
        <f ca="1">OFFSET(Стадо!$J5, (INT((AQ$2-3)/4)+1)*8, 0)/4</f>
        <v>339130.625</v>
      </c>
      <c r="AR17" s="138">
        <f ca="1">OFFSET(Стадо!$J5, (INT((AR$2-3)/4)+1)*8, 0)/4</f>
        <v>339130.625</v>
      </c>
      <c r="AS17" s="138">
        <f ca="1">OFFSET(Стадо!$J5, (INT((AS$2-3)/4)+1)*8, 0)/4</f>
        <v>342780.625</v>
      </c>
      <c r="AT17" s="138">
        <f ca="1">OFFSET(Стадо!$J5, (INT((AT$2-3)/4)+1)*8, 0)/4</f>
        <v>342780.625</v>
      </c>
      <c r="AU17" s="138">
        <f ca="1">OFFSET(Стадо!$J5, (INT((AU$2-3)/4)+1)*8, 0)/4</f>
        <v>342780.625</v>
      </c>
      <c r="AV17" s="138">
        <f ca="1">OFFSET(Стадо!$J5, (INT((AV$2-3)/4)+1)*8, 0)/4</f>
        <v>342780.625</v>
      </c>
      <c r="AW17" s="94"/>
      <c r="AX17" s="169"/>
    </row>
    <row r="18" spans="1:50" x14ac:dyDescent="0.2">
      <c r="A18" s="333" t="s">
        <v>2222</v>
      </c>
      <c r="C18" s="124" t="s">
        <v>2316</v>
      </c>
      <c r="F18" s="57" t="s">
        <v>753</v>
      </c>
      <c r="G18" s="138">
        <f>Стадо!$J6/4</f>
        <v>16881.25</v>
      </c>
      <c r="H18" s="138">
        <f>Стадо!$J6/4</f>
        <v>16881.25</v>
      </c>
      <c r="I18" s="138">
        <f ca="1">OFFSET(Стадо!$J6, (INT((I$2-3)/4)+1)*8, 0)/4</f>
        <v>21352.5</v>
      </c>
      <c r="J18" s="138">
        <f ca="1">OFFSET(Стадо!$J6, (INT((J$2-3)/4)+1)*8, 0)/4</f>
        <v>21352.5</v>
      </c>
      <c r="K18" s="138">
        <f ca="1">OFFSET(Стадо!$J6, (INT((K$2-3)/4)+1)*8, 0)/4</f>
        <v>21352.5</v>
      </c>
      <c r="L18" s="138">
        <f ca="1">OFFSET(Стадо!$J6, (INT((L$2-3)/4)+1)*8, 0)/4</f>
        <v>21352.5</v>
      </c>
      <c r="M18" s="138">
        <f ca="1">OFFSET(Стадо!$J6, (INT((M$2-3)/4)+1)*8, 0)/4</f>
        <v>30979.375</v>
      </c>
      <c r="N18" s="138">
        <f ca="1">OFFSET(Стадо!$J6, (INT((N$2-3)/4)+1)*8, 0)/4</f>
        <v>30979.375</v>
      </c>
      <c r="O18" s="138">
        <f ca="1">OFFSET(Стадо!$J6, (INT((O$2-3)/4)+1)*8, 0)/4</f>
        <v>30979.375</v>
      </c>
      <c r="P18" s="138">
        <f ca="1">OFFSET(Стадо!$J6, (INT((P$2-3)/4)+1)*8, 0)/4</f>
        <v>30979.375</v>
      </c>
      <c r="Q18" s="138">
        <f ca="1">OFFSET(Стадо!$J6, (INT((Q$2-3)/4)+1)*8, 0)/4</f>
        <v>18843.125</v>
      </c>
      <c r="R18" s="138">
        <f ca="1">OFFSET(Стадо!$J6, (INT((R$2-3)/4)+1)*8, 0)/4</f>
        <v>18843.125</v>
      </c>
      <c r="S18" s="138">
        <f ca="1">OFFSET(Стадо!$J6, (INT((S$2-3)/4)+1)*8, 0)/4</f>
        <v>18843.125</v>
      </c>
      <c r="T18" s="138">
        <f ca="1">OFFSET(Стадо!$J6, (INT((T$2-3)/4)+1)*8, 0)/4</f>
        <v>18843.125</v>
      </c>
      <c r="U18" s="138">
        <f ca="1">OFFSET(Стадо!$J6, (INT((U$2-3)/4)+1)*8, 0)/4</f>
        <v>8851.25</v>
      </c>
      <c r="V18" s="138">
        <f ca="1">OFFSET(Стадо!$J6, (INT((V$2-3)/4)+1)*8, 0)/4</f>
        <v>8851.25</v>
      </c>
      <c r="W18" s="138">
        <f ca="1">OFFSET(Стадо!$J6, (INT((W$2-3)/4)+1)*8, 0)/4</f>
        <v>8851.25</v>
      </c>
      <c r="X18" s="138">
        <f ca="1">OFFSET(Стадо!$J6, (INT((X$2-3)/4)+1)*8, 0)/4</f>
        <v>8851.25</v>
      </c>
      <c r="Y18" s="138">
        <f ca="1">OFFSET(Стадо!$J6, (INT((Y$2-3)/4)+1)*8, 0)/4</f>
        <v>11406.25</v>
      </c>
      <c r="Z18" s="138">
        <f ca="1">OFFSET(Стадо!$J6, (INT((Z$2-3)/4)+1)*8, 0)/4</f>
        <v>11406.25</v>
      </c>
      <c r="AA18" s="138">
        <f ca="1">OFFSET(Стадо!$J6, (INT((AA$2-3)/4)+1)*8, 0)/4</f>
        <v>11406.25</v>
      </c>
      <c r="AB18" s="138">
        <f ca="1">OFFSET(Стадо!$J6, (INT((AB$2-3)/4)+1)*8, 0)/4</f>
        <v>11406.25</v>
      </c>
      <c r="AC18" s="138">
        <f ca="1">OFFSET(Стадо!$J6, (INT((AC$2-3)/4)+1)*8, 0)/4</f>
        <v>14919.375</v>
      </c>
      <c r="AD18" s="138">
        <f ca="1">OFFSET(Стадо!$J6, (INT((AD$2-3)/4)+1)*8, 0)/4</f>
        <v>14919.375</v>
      </c>
      <c r="AE18" s="138">
        <f ca="1">OFFSET(Стадо!$J6, (INT((AE$2-3)/4)+1)*8, 0)/4</f>
        <v>14919.375</v>
      </c>
      <c r="AF18" s="138">
        <f ca="1">OFFSET(Стадо!$J6, (INT((AF$2-3)/4)+1)*8, 0)/4</f>
        <v>14919.375</v>
      </c>
      <c r="AG18" s="138">
        <f ca="1">OFFSET(Стадо!$J6, (INT((AG$2-3)/4)+1)*8, 0)/4</f>
        <v>12364.375</v>
      </c>
      <c r="AH18" s="138">
        <f ca="1">OFFSET(Стадо!$J6, (INT((AH$2-3)/4)+1)*8, 0)/4</f>
        <v>12364.375</v>
      </c>
      <c r="AI18" s="138">
        <f ca="1">OFFSET(Стадо!$J6, (INT((AI$2-3)/4)+1)*8, 0)/4</f>
        <v>12364.375</v>
      </c>
      <c r="AJ18" s="138">
        <f ca="1">OFFSET(Стадо!$J6, (INT((AJ$2-3)/4)+1)*8, 0)/4</f>
        <v>12364.375</v>
      </c>
      <c r="AK18" s="138">
        <f ca="1">OFFSET(Стадо!$J6, (INT((AK$2-3)/4)+1)*8, 0)/4</f>
        <v>12136.25</v>
      </c>
      <c r="AL18" s="138">
        <f ca="1">OFFSET(Стадо!$J6, (INT((AL$2-3)/4)+1)*8, 0)/4</f>
        <v>12136.25</v>
      </c>
      <c r="AM18" s="138">
        <f ca="1">OFFSET(Стадо!$J6, (INT((AM$2-3)/4)+1)*8, 0)/4</f>
        <v>12136.25</v>
      </c>
      <c r="AN18" s="138">
        <f ca="1">OFFSET(Стадо!$J6, (INT((AN$2-3)/4)+1)*8, 0)/4</f>
        <v>12136.25</v>
      </c>
      <c r="AO18" s="138">
        <f ca="1">OFFSET(Стадо!$J6, (INT((AO$2-3)/4)+1)*8, 0)/4</f>
        <v>12181.875</v>
      </c>
      <c r="AP18" s="138">
        <f ca="1">OFFSET(Стадо!$J6, (INT((AP$2-3)/4)+1)*8, 0)/4</f>
        <v>12181.875</v>
      </c>
      <c r="AQ18" s="138">
        <f ca="1">OFFSET(Стадо!$J6, (INT((AQ$2-3)/4)+1)*8, 0)/4</f>
        <v>12181.875</v>
      </c>
      <c r="AR18" s="138">
        <f ca="1">OFFSET(Стадо!$J6, (INT((AR$2-3)/4)+1)*8, 0)/4</f>
        <v>12181.875</v>
      </c>
      <c r="AS18" s="138">
        <f ca="1">OFFSET(Стадо!$J6, (INT((AS$2-3)/4)+1)*8, 0)/4</f>
        <v>33853.75</v>
      </c>
      <c r="AT18" s="138">
        <f ca="1">OFFSET(Стадо!$J6, (INT((AT$2-3)/4)+1)*8, 0)/4</f>
        <v>33853.75</v>
      </c>
      <c r="AU18" s="138">
        <f ca="1">OFFSET(Стадо!$J6, (INT((AU$2-3)/4)+1)*8, 0)/4</f>
        <v>33853.75</v>
      </c>
      <c r="AV18" s="138">
        <f ca="1">OFFSET(Стадо!$J6, (INT((AV$2-3)/4)+1)*8, 0)/4</f>
        <v>33853.75</v>
      </c>
      <c r="AW18" s="94"/>
      <c r="AX18" s="169"/>
    </row>
    <row r="19" spans="1:50" x14ac:dyDescent="0.2">
      <c r="A19" s="333" t="s">
        <v>2223</v>
      </c>
      <c r="C19" s="124" t="s">
        <v>2316</v>
      </c>
      <c r="F19" s="57" t="s">
        <v>753</v>
      </c>
      <c r="G19" s="138">
        <f>Стадо!$J7/4</f>
        <v>15466.875</v>
      </c>
      <c r="H19" s="138">
        <f>Стадо!$J7/4</f>
        <v>15466.875</v>
      </c>
      <c r="I19" s="138">
        <f ca="1">OFFSET(Стадо!$J7, (INT((I$2-3)/4)+1)*8, 0)/4</f>
        <v>16744.375</v>
      </c>
      <c r="J19" s="138">
        <f ca="1">OFFSET(Стадо!$J7, (INT((J$2-3)/4)+1)*8, 0)/4</f>
        <v>16744.375</v>
      </c>
      <c r="K19" s="138">
        <f ca="1">OFFSET(Стадо!$J7, (INT((K$2-3)/4)+1)*8, 0)/4</f>
        <v>16744.375</v>
      </c>
      <c r="L19" s="138">
        <f ca="1">OFFSET(Стадо!$J7, (INT((L$2-3)/4)+1)*8, 0)/4</f>
        <v>16744.375</v>
      </c>
      <c r="M19" s="138">
        <f ca="1">OFFSET(Стадо!$J7, (INT((M$2-3)/4)+1)*8, 0)/4</f>
        <v>20348.75</v>
      </c>
      <c r="N19" s="138">
        <f ca="1">OFFSET(Стадо!$J7, (INT((N$2-3)/4)+1)*8, 0)/4</f>
        <v>20348.75</v>
      </c>
      <c r="O19" s="138">
        <f ca="1">OFFSET(Стадо!$J7, (INT((O$2-3)/4)+1)*8, 0)/4</f>
        <v>20348.75</v>
      </c>
      <c r="P19" s="138">
        <f ca="1">OFFSET(Стадо!$J7, (INT((P$2-3)/4)+1)*8, 0)/4</f>
        <v>20348.75</v>
      </c>
      <c r="Q19" s="138">
        <f ca="1">OFFSET(Стадо!$J7, (INT((Q$2-3)/4)+1)*8, 0)/4</f>
        <v>28971.875</v>
      </c>
      <c r="R19" s="138">
        <f ca="1">OFFSET(Стадо!$J7, (INT((R$2-3)/4)+1)*8, 0)/4</f>
        <v>28971.875</v>
      </c>
      <c r="S19" s="138">
        <f ca="1">OFFSET(Стадо!$J7, (INT((S$2-3)/4)+1)*8, 0)/4</f>
        <v>28971.875</v>
      </c>
      <c r="T19" s="138">
        <f ca="1">OFFSET(Стадо!$J7, (INT((T$2-3)/4)+1)*8, 0)/4</f>
        <v>28971.875</v>
      </c>
      <c r="U19" s="138">
        <f ca="1">OFFSET(Стадо!$J7, (INT((U$2-3)/4)+1)*8, 0)/4</f>
        <v>21763.125</v>
      </c>
      <c r="V19" s="138">
        <f ca="1">OFFSET(Стадо!$J7, (INT((V$2-3)/4)+1)*8, 0)/4</f>
        <v>21763.125</v>
      </c>
      <c r="W19" s="138">
        <f ca="1">OFFSET(Стадо!$J7, (INT((W$2-3)/4)+1)*8, 0)/4</f>
        <v>21763.125</v>
      </c>
      <c r="X19" s="138">
        <f ca="1">OFFSET(Стадо!$J7, (INT((X$2-3)/4)+1)*8, 0)/4</f>
        <v>21763.125</v>
      </c>
      <c r="Y19" s="138">
        <f ca="1">OFFSET(Стадо!$J7, (INT((Y$2-3)/4)+1)*8, 0)/4</f>
        <v>8942.5</v>
      </c>
      <c r="Z19" s="138">
        <f ca="1">OFFSET(Стадо!$J7, (INT((Z$2-3)/4)+1)*8, 0)/4</f>
        <v>8942.5</v>
      </c>
      <c r="AA19" s="138">
        <f ca="1">OFFSET(Стадо!$J7, (INT((AA$2-3)/4)+1)*8, 0)/4</f>
        <v>8942.5</v>
      </c>
      <c r="AB19" s="138">
        <f ca="1">OFFSET(Стадо!$J7, (INT((AB$2-3)/4)+1)*8, 0)/4</f>
        <v>8942.5</v>
      </c>
      <c r="AC19" s="138">
        <f ca="1">OFFSET(Стадо!$J7, (INT((AC$2-3)/4)+1)*8, 0)/4</f>
        <v>2098.75</v>
      </c>
      <c r="AD19" s="138">
        <f ca="1">OFFSET(Стадо!$J7, (INT((AD$2-3)/4)+1)*8, 0)/4</f>
        <v>2098.75</v>
      </c>
      <c r="AE19" s="138">
        <f ca="1">OFFSET(Стадо!$J7, (INT((AE$2-3)/4)+1)*8, 0)/4</f>
        <v>2098.75</v>
      </c>
      <c r="AF19" s="138">
        <f ca="1">OFFSET(Стадо!$J7, (INT((AF$2-3)/4)+1)*8, 0)/4</f>
        <v>2098.75</v>
      </c>
      <c r="AG19" s="138">
        <f ca="1">OFFSET(Стадо!$J7, (INT((AG$2-3)/4)+1)*8, 0)/4</f>
        <v>2098.75</v>
      </c>
      <c r="AH19" s="138">
        <f ca="1">OFFSET(Стадо!$J7, (INT((AH$2-3)/4)+1)*8, 0)/4</f>
        <v>2098.75</v>
      </c>
      <c r="AI19" s="138">
        <f ca="1">OFFSET(Стадо!$J7, (INT((AI$2-3)/4)+1)*8, 0)/4</f>
        <v>2098.75</v>
      </c>
      <c r="AJ19" s="138">
        <f ca="1">OFFSET(Стадо!$J7, (INT((AJ$2-3)/4)+1)*8, 0)/4</f>
        <v>2098.75</v>
      </c>
      <c r="AK19" s="138">
        <f ca="1">OFFSET(Стадо!$J7, (INT((AK$2-3)/4)+1)*8, 0)/4</f>
        <v>2098.75</v>
      </c>
      <c r="AL19" s="138">
        <f ca="1">OFFSET(Стадо!$J7, (INT((AL$2-3)/4)+1)*8, 0)/4</f>
        <v>2098.75</v>
      </c>
      <c r="AM19" s="138">
        <f ca="1">OFFSET(Стадо!$J7, (INT((AM$2-3)/4)+1)*8, 0)/4</f>
        <v>2098.75</v>
      </c>
      <c r="AN19" s="138">
        <f ca="1">OFFSET(Стадо!$J7, (INT((AN$2-3)/4)+1)*8, 0)/4</f>
        <v>2098.75</v>
      </c>
      <c r="AO19" s="138">
        <f ca="1">OFFSET(Стадо!$J7, (INT((AO$2-3)/4)+1)*8, 0)/4</f>
        <v>2098.75</v>
      </c>
      <c r="AP19" s="138">
        <f ca="1">OFFSET(Стадо!$J7, (INT((AP$2-3)/4)+1)*8, 0)/4</f>
        <v>2098.75</v>
      </c>
      <c r="AQ19" s="138">
        <f ca="1">OFFSET(Стадо!$J7, (INT((AQ$2-3)/4)+1)*8, 0)/4</f>
        <v>2098.75</v>
      </c>
      <c r="AR19" s="138">
        <f ca="1">OFFSET(Стадо!$J7, (INT((AR$2-3)/4)+1)*8, 0)/4</f>
        <v>2098.75</v>
      </c>
      <c r="AS19" s="138">
        <f ca="1">OFFSET(Стадо!$J7, (INT((AS$2-3)/4)+1)*8, 0)/4</f>
        <v>2098.75</v>
      </c>
      <c r="AT19" s="138">
        <f ca="1">OFFSET(Стадо!$J7, (INT((AT$2-3)/4)+1)*8, 0)/4</f>
        <v>2098.75</v>
      </c>
      <c r="AU19" s="138">
        <f ca="1">OFFSET(Стадо!$J7, (INT((AU$2-3)/4)+1)*8, 0)/4</f>
        <v>2098.75</v>
      </c>
      <c r="AV19" s="138">
        <f ca="1">OFFSET(Стадо!$J7, (INT((AV$2-3)/4)+1)*8, 0)/4</f>
        <v>2098.75</v>
      </c>
      <c r="AW19" s="94"/>
      <c r="AX19" s="169"/>
    </row>
    <row r="20" spans="1:50" x14ac:dyDescent="0.2">
      <c r="A20" s="333" t="s">
        <v>2224</v>
      </c>
      <c r="C20" s="124" t="s">
        <v>2316</v>
      </c>
      <c r="F20" s="57" t="s">
        <v>753</v>
      </c>
      <c r="G20" s="138">
        <f>Стадо!$J8/4</f>
        <v>227988.125</v>
      </c>
      <c r="H20" s="138">
        <f>Стадо!$J8/4</f>
        <v>227988.125</v>
      </c>
      <c r="I20" s="138">
        <f ca="1">OFFSET(Стадо!$J8, (INT((I$2-3)/4)+1)*8, 0)/4</f>
        <v>246329.375</v>
      </c>
      <c r="J20" s="138">
        <f ca="1">OFFSET(Стадо!$J8, (INT((J$2-3)/4)+1)*8, 0)/4</f>
        <v>246329.375</v>
      </c>
      <c r="K20" s="138">
        <f ca="1">OFFSET(Стадо!$J8, (INT((K$2-3)/4)+1)*8, 0)/4</f>
        <v>246329.375</v>
      </c>
      <c r="L20" s="138">
        <f ca="1">OFFSET(Стадо!$J8, (INT((L$2-3)/4)+1)*8, 0)/4</f>
        <v>246329.375</v>
      </c>
      <c r="M20" s="138">
        <f ca="1">OFFSET(Стадо!$J8, (INT((M$2-3)/4)+1)*8, 0)/4</f>
        <v>257872.5</v>
      </c>
      <c r="N20" s="138">
        <f ca="1">OFFSET(Стадо!$J8, (INT((N$2-3)/4)+1)*8, 0)/4</f>
        <v>257872.5</v>
      </c>
      <c r="O20" s="138">
        <f ca="1">OFFSET(Стадо!$J8, (INT((O$2-3)/4)+1)*8, 0)/4</f>
        <v>257872.5</v>
      </c>
      <c r="P20" s="138">
        <f ca="1">OFFSET(Стадо!$J8, (INT((P$2-3)/4)+1)*8, 0)/4</f>
        <v>257872.5</v>
      </c>
      <c r="Q20" s="138">
        <f ca="1">OFFSET(Стадо!$J8, (INT((Q$2-3)/4)+1)*8, 0)/4</f>
        <v>283240</v>
      </c>
      <c r="R20" s="138">
        <f ca="1">OFFSET(Стадо!$J8, (INT((R$2-3)/4)+1)*8, 0)/4</f>
        <v>283240</v>
      </c>
      <c r="S20" s="138">
        <f ca="1">OFFSET(Стадо!$J8, (INT((S$2-3)/4)+1)*8, 0)/4</f>
        <v>283240</v>
      </c>
      <c r="T20" s="138">
        <f ca="1">OFFSET(Стадо!$J8, (INT((T$2-3)/4)+1)*8, 0)/4</f>
        <v>283240</v>
      </c>
      <c r="U20" s="138">
        <f ca="1">OFFSET(Стадо!$J8, (INT((U$2-3)/4)+1)*8, 0)/4</f>
        <v>304318.75</v>
      </c>
      <c r="V20" s="138">
        <f ca="1">OFFSET(Стадо!$J8, (INT((V$2-3)/4)+1)*8, 0)/4</f>
        <v>304318.75</v>
      </c>
      <c r="W20" s="138">
        <f ca="1">OFFSET(Стадо!$J8, (INT((W$2-3)/4)+1)*8, 0)/4</f>
        <v>304318.75</v>
      </c>
      <c r="X20" s="138">
        <f ca="1">OFFSET(Стадо!$J8, (INT((X$2-3)/4)+1)*8, 0)/4</f>
        <v>304318.75</v>
      </c>
      <c r="Y20" s="138">
        <f ca="1">OFFSET(Стадо!$J8, (INT((Y$2-3)/4)+1)*8, 0)/4</f>
        <v>316956.875</v>
      </c>
      <c r="Z20" s="138">
        <f ca="1">OFFSET(Стадо!$J8, (INT((Z$2-3)/4)+1)*8, 0)/4</f>
        <v>316956.875</v>
      </c>
      <c r="AA20" s="138">
        <f ca="1">OFFSET(Стадо!$J8, (INT((AA$2-3)/4)+1)*8, 0)/4</f>
        <v>316956.875</v>
      </c>
      <c r="AB20" s="138">
        <f ca="1">OFFSET(Стадо!$J8, (INT((AB$2-3)/4)+1)*8, 0)/4</f>
        <v>316956.875</v>
      </c>
      <c r="AC20" s="138">
        <f ca="1">OFFSET(Стадо!$J8, (INT((AC$2-3)/4)+1)*8, 0)/4</f>
        <v>323983.125</v>
      </c>
      <c r="AD20" s="138">
        <f ca="1">OFFSET(Стадо!$J8, (INT((AD$2-3)/4)+1)*8, 0)/4</f>
        <v>323983.125</v>
      </c>
      <c r="AE20" s="138">
        <f ca="1">OFFSET(Стадо!$J8, (INT((AE$2-3)/4)+1)*8, 0)/4</f>
        <v>323983.125</v>
      </c>
      <c r="AF20" s="138">
        <f ca="1">OFFSET(Стадо!$J8, (INT((AF$2-3)/4)+1)*8, 0)/4</f>
        <v>323983.125</v>
      </c>
      <c r="AG20" s="138">
        <f ca="1">OFFSET(Стадо!$J8, (INT((AG$2-3)/4)+1)*8, 0)/4</f>
        <v>323755</v>
      </c>
      <c r="AH20" s="138">
        <f ca="1">OFFSET(Стадо!$J8, (INT((AH$2-3)/4)+1)*8, 0)/4</f>
        <v>323755</v>
      </c>
      <c r="AI20" s="138">
        <f ca="1">OFFSET(Стадо!$J8, (INT((AI$2-3)/4)+1)*8, 0)/4</f>
        <v>323755</v>
      </c>
      <c r="AJ20" s="138">
        <f ca="1">OFFSET(Стадо!$J8, (INT((AJ$2-3)/4)+1)*8, 0)/4</f>
        <v>323755</v>
      </c>
      <c r="AK20" s="138">
        <f ca="1">OFFSET(Стадо!$J8, (INT((AK$2-3)/4)+1)*8, 0)/4</f>
        <v>323298.75</v>
      </c>
      <c r="AL20" s="138">
        <f ca="1">OFFSET(Стадо!$J8, (INT((AL$2-3)/4)+1)*8, 0)/4</f>
        <v>323298.75</v>
      </c>
      <c r="AM20" s="138">
        <f ca="1">OFFSET(Стадо!$J8, (INT((AM$2-3)/4)+1)*8, 0)/4</f>
        <v>323298.75</v>
      </c>
      <c r="AN20" s="138">
        <f ca="1">OFFSET(Стадо!$J8, (INT((AN$2-3)/4)+1)*8, 0)/4</f>
        <v>323298.75</v>
      </c>
      <c r="AO20" s="138">
        <f ca="1">OFFSET(Стадо!$J8, (INT((AO$2-3)/4)+1)*8, 0)/4</f>
        <v>323207.5</v>
      </c>
      <c r="AP20" s="138">
        <f ca="1">OFFSET(Стадо!$J8, (INT((AP$2-3)/4)+1)*8, 0)/4</f>
        <v>323207.5</v>
      </c>
      <c r="AQ20" s="138">
        <f ca="1">OFFSET(Стадо!$J8, (INT((AQ$2-3)/4)+1)*8, 0)/4</f>
        <v>323207.5</v>
      </c>
      <c r="AR20" s="138">
        <f ca="1">OFFSET(Стадо!$J8, (INT((AR$2-3)/4)+1)*8, 0)/4</f>
        <v>323207.5</v>
      </c>
      <c r="AS20" s="138">
        <f ca="1">OFFSET(Стадо!$J8, (INT((AS$2-3)/4)+1)*8, 0)/4</f>
        <v>322979.375</v>
      </c>
      <c r="AT20" s="138">
        <f ca="1">OFFSET(Стадо!$J8, (INT((AT$2-3)/4)+1)*8, 0)/4</f>
        <v>322979.375</v>
      </c>
      <c r="AU20" s="138">
        <f ca="1">OFFSET(Стадо!$J8, (INT((AU$2-3)/4)+1)*8, 0)/4</f>
        <v>322979.375</v>
      </c>
      <c r="AV20" s="138">
        <f ca="1">OFFSET(Стадо!$J8, (INT((AV$2-3)/4)+1)*8, 0)/4</f>
        <v>322979.375</v>
      </c>
      <c r="AW20" s="94"/>
      <c r="AX20" s="169"/>
    </row>
    <row r="21" spans="1:50" x14ac:dyDescent="0.2">
      <c r="A21" s="333" t="s">
        <v>2225</v>
      </c>
      <c r="C21" s="124" t="s">
        <v>2316</v>
      </c>
      <c r="F21" s="57" t="s">
        <v>753</v>
      </c>
      <c r="G21" s="138">
        <f>Стадо!$J9/4</f>
        <v>11373.75</v>
      </c>
      <c r="H21" s="138">
        <f>Стадо!$J9/4</f>
        <v>11373.75</v>
      </c>
      <c r="I21" s="138">
        <f ca="1">OFFSET(Стадо!$J9, (INT((I$2-3)/4)+1)*8, 0)/4</f>
        <v>10710</v>
      </c>
      <c r="J21" s="138">
        <f ca="1">OFFSET(Стадо!$J9, (INT((J$2-3)/4)+1)*8, 0)/4</f>
        <v>10710</v>
      </c>
      <c r="K21" s="138">
        <f ca="1">OFFSET(Стадо!$J9, (INT((K$2-3)/4)+1)*8, 0)/4</f>
        <v>10710</v>
      </c>
      <c r="L21" s="138">
        <f ca="1">OFFSET(Стадо!$J9, (INT((L$2-3)/4)+1)*8, 0)/4</f>
        <v>10710</v>
      </c>
      <c r="M21" s="138">
        <f ca="1">OFFSET(Стадо!$J9, (INT((M$2-3)/4)+1)*8, 0)/4</f>
        <v>10492.5</v>
      </c>
      <c r="N21" s="138">
        <f ca="1">OFFSET(Стадо!$J9, (INT((N$2-3)/4)+1)*8, 0)/4</f>
        <v>10492.5</v>
      </c>
      <c r="O21" s="138">
        <f ca="1">OFFSET(Стадо!$J9, (INT((O$2-3)/4)+1)*8, 0)/4</f>
        <v>10492.5</v>
      </c>
      <c r="P21" s="138">
        <f ca="1">OFFSET(Стадо!$J9, (INT((P$2-3)/4)+1)*8, 0)/4</f>
        <v>10492.5</v>
      </c>
      <c r="Q21" s="138">
        <f ca="1">OFFSET(Стадо!$J9, (INT((Q$2-3)/4)+1)*8, 0)/4</f>
        <v>11865</v>
      </c>
      <c r="R21" s="138">
        <f ca="1">OFFSET(Стадо!$J9, (INT((R$2-3)/4)+1)*8, 0)/4</f>
        <v>11865</v>
      </c>
      <c r="S21" s="138">
        <f ca="1">OFFSET(Стадо!$J9, (INT((S$2-3)/4)+1)*8, 0)/4</f>
        <v>11865</v>
      </c>
      <c r="T21" s="138">
        <f ca="1">OFFSET(Стадо!$J9, (INT((T$2-3)/4)+1)*8, 0)/4</f>
        <v>11865</v>
      </c>
      <c r="U21" s="138">
        <f ca="1">OFFSET(Стадо!$J9, (INT((U$2-3)/4)+1)*8, 0)/4</f>
        <v>13072.5</v>
      </c>
      <c r="V21" s="138">
        <f ca="1">OFFSET(Стадо!$J9, (INT((V$2-3)/4)+1)*8, 0)/4</f>
        <v>13072.5</v>
      </c>
      <c r="W21" s="138">
        <f ca="1">OFFSET(Стадо!$J9, (INT((W$2-3)/4)+1)*8, 0)/4</f>
        <v>13072.5</v>
      </c>
      <c r="X21" s="138">
        <f ca="1">OFFSET(Стадо!$J9, (INT((X$2-3)/4)+1)*8, 0)/4</f>
        <v>13072.5</v>
      </c>
      <c r="Y21" s="138">
        <f ca="1">OFFSET(Стадо!$J9, (INT((Y$2-3)/4)+1)*8, 0)/4</f>
        <v>13185</v>
      </c>
      <c r="Z21" s="138">
        <f ca="1">OFFSET(Стадо!$J9, (INT((Z$2-3)/4)+1)*8, 0)/4</f>
        <v>13185</v>
      </c>
      <c r="AA21" s="138">
        <f ca="1">OFFSET(Стадо!$J9, (INT((AA$2-3)/4)+1)*8, 0)/4</f>
        <v>13185</v>
      </c>
      <c r="AB21" s="138">
        <f ca="1">OFFSET(Стадо!$J9, (INT((AB$2-3)/4)+1)*8, 0)/4</f>
        <v>13185</v>
      </c>
      <c r="AC21" s="138">
        <f ca="1">OFFSET(Стадо!$J9, (INT((AC$2-3)/4)+1)*8, 0)/4</f>
        <v>13380</v>
      </c>
      <c r="AD21" s="138">
        <f ca="1">OFFSET(Стадо!$J9, (INT((AD$2-3)/4)+1)*8, 0)/4</f>
        <v>13380</v>
      </c>
      <c r="AE21" s="138">
        <f ca="1">OFFSET(Стадо!$J9, (INT((AE$2-3)/4)+1)*8, 0)/4</f>
        <v>13380</v>
      </c>
      <c r="AF21" s="138">
        <f ca="1">OFFSET(Стадо!$J9, (INT((AF$2-3)/4)+1)*8, 0)/4</f>
        <v>13380</v>
      </c>
      <c r="AG21" s="138">
        <f ca="1">OFFSET(Стадо!$J9, (INT((AG$2-3)/4)+1)*8, 0)/4</f>
        <v>13365</v>
      </c>
      <c r="AH21" s="138">
        <f ca="1">OFFSET(Стадо!$J9, (INT((AH$2-3)/4)+1)*8, 0)/4</f>
        <v>13365</v>
      </c>
      <c r="AI21" s="138">
        <f ca="1">OFFSET(Стадо!$J9, (INT((AI$2-3)/4)+1)*8, 0)/4</f>
        <v>13365</v>
      </c>
      <c r="AJ21" s="138">
        <f ca="1">OFFSET(Стадо!$J9, (INT((AJ$2-3)/4)+1)*8, 0)/4</f>
        <v>13365</v>
      </c>
      <c r="AK21" s="138">
        <f ca="1">OFFSET(Стадо!$J9, (INT((AK$2-3)/4)+1)*8, 0)/4</f>
        <v>13357.5</v>
      </c>
      <c r="AL21" s="138">
        <f ca="1">OFFSET(Стадо!$J9, (INT((AL$2-3)/4)+1)*8, 0)/4</f>
        <v>13357.5</v>
      </c>
      <c r="AM21" s="138">
        <f ca="1">OFFSET(Стадо!$J9, (INT((AM$2-3)/4)+1)*8, 0)/4</f>
        <v>13357.5</v>
      </c>
      <c r="AN21" s="138">
        <f ca="1">OFFSET(Стадо!$J9, (INT((AN$2-3)/4)+1)*8, 0)/4</f>
        <v>13357.5</v>
      </c>
      <c r="AO21" s="138">
        <f ca="1">OFFSET(Стадо!$J9, (INT((AO$2-3)/4)+1)*8, 0)/4</f>
        <v>13327.5</v>
      </c>
      <c r="AP21" s="138">
        <f ca="1">OFFSET(Стадо!$J9, (INT((AP$2-3)/4)+1)*8, 0)/4</f>
        <v>13327.5</v>
      </c>
      <c r="AQ21" s="138">
        <f ca="1">OFFSET(Стадо!$J9, (INT((AQ$2-3)/4)+1)*8, 0)/4</f>
        <v>13327.5</v>
      </c>
      <c r="AR21" s="138">
        <f ca="1">OFFSET(Стадо!$J9, (INT((AR$2-3)/4)+1)*8, 0)/4</f>
        <v>13327.5</v>
      </c>
      <c r="AS21" s="138">
        <f ca="1">OFFSET(Стадо!$J9, (INT((AS$2-3)/4)+1)*8, 0)/4</f>
        <v>13350</v>
      </c>
      <c r="AT21" s="138">
        <f ca="1">OFFSET(Стадо!$J9, (INT((AT$2-3)/4)+1)*8, 0)/4</f>
        <v>13350</v>
      </c>
      <c r="AU21" s="138">
        <f ca="1">OFFSET(Стадо!$J9, (INT((AU$2-3)/4)+1)*8, 0)/4</f>
        <v>13350</v>
      </c>
      <c r="AV21" s="138">
        <f ca="1">OFFSET(Стадо!$J9, (INT((AV$2-3)/4)+1)*8, 0)/4</f>
        <v>13350</v>
      </c>
      <c r="AW21" s="94"/>
      <c r="AX21" s="169"/>
    </row>
    <row r="22" spans="1:50" x14ac:dyDescent="0.2">
      <c r="A22" s="344" t="s">
        <v>2319</v>
      </c>
      <c r="C22" s="124" t="s">
        <v>2316</v>
      </c>
      <c r="F22" s="57" t="s">
        <v>753</v>
      </c>
      <c r="G22" s="143">
        <f>SUM(G17:G21)</f>
        <v>442301.875</v>
      </c>
      <c r="H22" s="143">
        <f t="shared" ref="H22:I22" si="14">SUM(H17:H21)</f>
        <v>442301.875</v>
      </c>
      <c r="I22" s="143">
        <f t="shared" ca="1" si="14"/>
        <v>510623.125</v>
      </c>
      <c r="J22" s="143">
        <f t="shared" ref="J22" ca="1" si="15">SUM(J17:J21)</f>
        <v>510623.125</v>
      </c>
      <c r="K22" s="143">
        <f t="shared" ref="K22" ca="1" si="16">SUM(K17:K21)</f>
        <v>510623.125</v>
      </c>
      <c r="L22" s="143">
        <f t="shared" ref="L22" ca="1" si="17">SUM(L17:L21)</f>
        <v>510623.125</v>
      </c>
      <c r="M22" s="143">
        <f t="shared" ref="M22" ca="1" si="18">SUM(M17:M21)</f>
        <v>559771.875</v>
      </c>
      <c r="N22" s="143">
        <f t="shared" ref="N22" ca="1" si="19">SUM(N17:N21)</f>
        <v>559771.875</v>
      </c>
      <c r="O22" s="143">
        <f t="shared" ref="O22" ca="1" si="20">SUM(O17:O21)</f>
        <v>559771.875</v>
      </c>
      <c r="P22" s="143">
        <f t="shared" ref="P22" ca="1" si="21">SUM(P17:P21)</f>
        <v>559771.875</v>
      </c>
      <c r="Q22" s="143">
        <f t="shared" ref="Q22" ca="1" si="22">SUM(Q17:Q21)</f>
        <v>595956.25</v>
      </c>
      <c r="R22" s="143">
        <f t="shared" ref="R22" ca="1" si="23">SUM(R17:R21)</f>
        <v>595956.25</v>
      </c>
      <c r="S22" s="143">
        <f t="shared" ref="S22" ca="1" si="24">SUM(S17:S21)</f>
        <v>595956.25</v>
      </c>
      <c r="T22" s="143">
        <f t="shared" ref="T22" ca="1" si="25">SUM(T17:T21)</f>
        <v>595956.25</v>
      </c>
      <c r="U22" s="143">
        <f t="shared" ref="U22" ca="1" si="26">SUM(U17:U21)</f>
        <v>632340.625</v>
      </c>
      <c r="V22" s="143">
        <f t="shared" ref="V22" ca="1" si="27">SUM(V17:V21)</f>
        <v>632340.625</v>
      </c>
      <c r="W22" s="143">
        <f t="shared" ref="W22" ca="1" si="28">SUM(W17:W21)</f>
        <v>632340.625</v>
      </c>
      <c r="X22" s="143">
        <f t="shared" ref="X22" ca="1" si="29">SUM(X17:X21)</f>
        <v>632340.625</v>
      </c>
      <c r="Y22" s="143">
        <f t="shared" ref="Y22" ca="1" si="30">SUM(Y17:Y21)</f>
        <v>659600</v>
      </c>
      <c r="Z22" s="143">
        <f t="shared" ref="Z22" ca="1" si="31">SUM(Z17:Z21)</f>
        <v>659600</v>
      </c>
      <c r="AA22" s="143">
        <f t="shared" ref="AA22" ca="1" si="32">SUM(AA17:AA21)</f>
        <v>659600</v>
      </c>
      <c r="AB22" s="143">
        <f t="shared" ref="AB22" ca="1" si="33">SUM(AB17:AB21)</f>
        <v>659600</v>
      </c>
      <c r="AC22" s="143">
        <f t="shared" ref="AC22" ca="1" si="34">SUM(AC17:AC21)</f>
        <v>677634.375</v>
      </c>
      <c r="AD22" s="143">
        <f t="shared" ref="AD22" ca="1" si="35">SUM(AD17:AD21)</f>
        <v>677634.375</v>
      </c>
      <c r="AE22" s="143">
        <f t="shared" ref="AE22" ca="1" si="36">SUM(AE17:AE21)</f>
        <v>677634.375</v>
      </c>
      <c r="AF22" s="143">
        <f t="shared" ref="AF22" ca="1" si="37">SUM(AF17:AF21)</f>
        <v>677634.375</v>
      </c>
      <c r="AG22" s="143">
        <f t="shared" ref="AG22" ca="1" si="38">SUM(AG17:AG21)</f>
        <v>683140</v>
      </c>
      <c r="AH22" s="143">
        <f t="shared" ref="AH22" ca="1" si="39">SUM(AH17:AH21)</f>
        <v>683140</v>
      </c>
      <c r="AI22" s="143">
        <f t="shared" ref="AI22" ca="1" si="40">SUM(AI17:AI21)</f>
        <v>683140</v>
      </c>
      <c r="AJ22" s="143">
        <f t="shared" ref="AJ22" ca="1" si="41">SUM(AJ17:AJ21)</f>
        <v>683140</v>
      </c>
      <c r="AK22" s="143">
        <f t="shared" ref="AK22" ca="1" si="42">SUM(AK17:AK21)</f>
        <v>686326.25</v>
      </c>
      <c r="AL22" s="143">
        <f t="shared" ref="AL22" ca="1" si="43">SUM(AL17:AL21)</f>
        <v>686326.25</v>
      </c>
      <c r="AM22" s="143">
        <f t="shared" ref="AM22" ca="1" si="44">SUM(AM17:AM21)</f>
        <v>686326.25</v>
      </c>
      <c r="AN22" s="143">
        <f t="shared" ref="AN22" ca="1" si="45">SUM(AN17:AN21)</f>
        <v>686326.25</v>
      </c>
      <c r="AO22" s="143">
        <f t="shared" ref="AO22" ca="1" si="46">SUM(AO17:AO21)</f>
        <v>689946.25</v>
      </c>
      <c r="AP22" s="143">
        <f t="shared" ref="AP22" ca="1" si="47">SUM(AP17:AP21)</f>
        <v>689946.25</v>
      </c>
      <c r="AQ22" s="143">
        <f t="shared" ref="AQ22" ca="1" si="48">SUM(AQ17:AQ21)</f>
        <v>689946.25</v>
      </c>
      <c r="AR22" s="143">
        <f t="shared" ref="AR22" ca="1" si="49">SUM(AR17:AR21)</f>
        <v>689946.25</v>
      </c>
      <c r="AS22" s="143">
        <f t="shared" ref="AS22" ca="1" si="50">SUM(AS17:AS21)</f>
        <v>715062.5</v>
      </c>
      <c r="AT22" s="143">
        <f t="shared" ref="AT22" ca="1" si="51">SUM(AT17:AT21)</f>
        <v>715062.5</v>
      </c>
      <c r="AU22" s="143">
        <f t="shared" ref="AU22" ca="1" si="52">SUM(AU17:AU21)</f>
        <v>715062.5</v>
      </c>
      <c r="AV22" s="143">
        <f t="shared" ref="AV22" ca="1" si="53">SUM(AV17:AV21)</f>
        <v>715062.5</v>
      </c>
      <c r="AW22" s="94"/>
      <c r="AX22" s="169"/>
    </row>
    <row r="23" spans="1:50" x14ac:dyDescent="0.2">
      <c r="C23" s="124"/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2"/>
      <c r="AH23" s="332"/>
      <c r="AI23" s="332"/>
      <c r="AJ23" s="332"/>
      <c r="AK23" s="332"/>
      <c r="AL23" s="332"/>
      <c r="AM23" s="332"/>
      <c r="AN23" s="332"/>
      <c r="AO23" s="332"/>
      <c r="AP23" s="332"/>
      <c r="AQ23" s="332"/>
      <c r="AR23" s="332"/>
      <c r="AS23" s="332"/>
      <c r="AT23" s="332"/>
      <c r="AU23" s="332"/>
      <c r="AV23" s="332"/>
      <c r="AW23" s="94"/>
      <c r="AX23" s="169"/>
    </row>
    <row r="24" spans="1:50" x14ac:dyDescent="0.2">
      <c r="A24" s="38" t="s">
        <v>2317</v>
      </c>
      <c r="B24" s="72" t="s">
        <v>2321</v>
      </c>
      <c r="C24" s="124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  <c r="AT24" s="332"/>
      <c r="AU24" s="332"/>
      <c r="AV24" s="332"/>
      <c r="AW24" s="94"/>
      <c r="AX24" s="169"/>
    </row>
    <row r="25" spans="1:50" x14ac:dyDescent="0.2">
      <c r="A25" s="333" t="s">
        <v>2221</v>
      </c>
      <c r="B25" s="322">
        <v>12.9</v>
      </c>
      <c r="C25" s="124" t="s">
        <v>2320</v>
      </c>
      <c r="F25" s="57" t="s">
        <v>753</v>
      </c>
      <c r="G25" s="138">
        <f>G17*$B25</f>
        <v>2200635.1875</v>
      </c>
      <c r="H25" s="138">
        <f t="shared" ref="H25:AV29" si="54">H17*$B25</f>
        <v>2200635.1875</v>
      </c>
      <c r="I25" s="138">
        <f t="shared" ca="1" si="54"/>
        <v>2779780.6875</v>
      </c>
      <c r="J25" s="138">
        <f t="shared" ca="1" si="54"/>
        <v>2779780.6875</v>
      </c>
      <c r="K25" s="138">
        <f t="shared" ca="1" si="54"/>
        <v>2779780.6875</v>
      </c>
      <c r="L25" s="138">
        <f t="shared" ca="1" si="54"/>
        <v>2779780.6875</v>
      </c>
      <c r="M25" s="138">
        <f t="shared" ca="1" si="54"/>
        <v>3097015.875</v>
      </c>
      <c r="N25" s="138">
        <f t="shared" ca="1" si="54"/>
        <v>3097015.875</v>
      </c>
      <c r="O25" s="138">
        <f t="shared" ca="1" si="54"/>
        <v>3097015.875</v>
      </c>
      <c r="P25" s="138">
        <f t="shared" ca="1" si="54"/>
        <v>3097015.875</v>
      </c>
      <c r="Q25" s="138">
        <f t="shared" ca="1" si="54"/>
        <v>3264167.625</v>
      </c>
      <c r="R25" s="138">
        <f t="shared" ca="1" si="54"/>
        <v>3264167.625</v>
      </c>
      <c r="S25" s="138">
        <f t="shared" ca="1" si="54"/>
        <v>3264167.625</v>
      </c>
      <c r="T25" s="138">
        <f t="shared" ca="1" si="54"/>
        <v>3264167.625</v>
      </c>
      <c r="U25" s="138">
        <f t="shared" ca="1" si="54"/>
        <v>3667921.5</v>
      </c>
      <c r="V25" s="138">
        <f t="shared" ca="1" si="54"/>
        <v>3667921.5</v>
      </c>
      <c r="W25" s="138">
        <f t="shared" ca="1" si="54"/>
        <v>3667921.5</v>
      </c>
      <c r="X25" s="138">
        <f t="shared" ca="1" si="54"/>
        <v>3667921.5</v>
      </c>
      <c r="Y25" s="138">
        <f t="shared" ca="1" si="54"/>
        <v>3987510.9375</v>
      </c>
      <c r="Z25" s="138">
        <f t="shared" ca="1" si="54"/>
        <v>3987510.9375</v>
      </c>
      <c r="AA25" s="138">
        <f t="shared" ca="1" si="54"/>
        <v>3987510.9375</v>
      </c>
      <c r="AB25" s="138">
        <f t="shared" ca="1" si="54"/>
        <v>3987510.9375</v>
      </c>
      <c r="AC25" s="138">
        <f t="shared" ca="1" si="54"/>
        <v>4169965.3125</v>
      </c>
      <c r="AD25" s="138">
        <f t="shared" ca="1" si="54"/>
        <v>4169965.3125</v>
      </c>
      <c r="AE25" s="138">
        <f t="shared" ca="1" si="54"/>
        <v>4169965.3125</v>
      </c>
      <c r="AF25" s="138">
        <f t="shared" ca="1" si="54"/>
        <v>4169965.3125</v>
      </c>
      <c r="AG25" s="138">
        <f t="shared" ca="1" si="54"/>
        <v>4277083.6875</v>
      </c>
      <c r="AH25" s="138">
        <f t="shared" ca="1" si="54"/>
        <v>4277083.6875</v>
      </c>
      <c r="AI25" s="138">
        <f t="shared" ca="1" si="54"/>
        <v>4277083.6875</v>
      </c>
      <c r="AJ25" s="138">
        <f t="shared" ca="1" si="54"/>
        <v>4277083.6875</v>
      </c>
      <c r="AK25" s="138">
        <f t="shared" ca="1" si="54"/>
        <v>4327111.5</v>
      </c>
      <c r="AL25" s="138">
        <f t="shared" ca="1" si="54"/>
        <v>4327111.5</v>
      </c>
      <c r="AM25" s="138">
        <f t="shared" ca="1" si="54"/>
        <v>4327111.5</v>
      </c>
      <c r="AN25" s="138">
        <f t="shared" ca="1" si="54"/>
        <v>4327111.5</v>
      </c>
      <c r="AO25" s="138">
        <f t="shared" ca="1" si="54"/>
        <v>4374785.0625</v>
      </c>
      <c r="AP25" s="138">
        <f t="shared" ca="1" si="54"/>
        <v>4374785.0625</v>
      </c>
      <c r="AQ25" s="138">
        <f t="shared" ca="1" si="54"/>
        <v>4374785.0625</v>
      </c>
      <c r="AR25" s="138">
        <f t="shared" ca="1" si="54"/>
        <v>4374785.0625</v>
      </c>
      <c r="AS25" s="138">
        <f t="shared" ca="1" si="54"/>
        <v>4421870.0625</v>
      </c>
      <c r="AT25" s="138">
        <f t="shared" ca="1" si="54"/>
        <v>4421870.0625</v>
      </c>
      <c r="AU25" s="138">
        <f t="shared" ca="1" si="54"/>
        <v>4421870.0625</v>
      </c>
      <c r="AV25" s="138">
        <f t="shared" ca="1" si="54"/>
        <v>4421870.0625</v>
      </c>
      <c r="AW25" s="94"/>
      <c r="AX25" s="169"/>
    </row>
    <row r="26" spans="1:50" x14ac:dyDescent="0.2">
      <c r="A26" s="333" t="s">
        <v>2222</v>
      </c>
      <c r="B26" s="322">
        <v>32.5</v>
      </c>
      <c r="C26" s="124" t="s">
        <v>2320</v>
      </c>
      <c r="F26" s="57" t="s">
        <v>753</v>
      </c>
      <c r="G26" s="138">
        <f t="shared" ref="G26:V29" si="55">G18*$B26</f>
        <v>548640.625</v>
      </c>
      <c r="H26" s="138">
        <f t="shared" si="55"/>
        <v>548640.625</v>
      </c>
      <c r="I26" s="138">
        <f t="shared" ca="1" si="55"/>
        <v>693956.25</v>
      </c>
      <c r="J26" s="138">
        <f t="shared" ca="1" si="55"/>
        <v>693956.25</v>
      </c>
      <c r="K26" s="138">
        <f t="shared" ca="1" si="55"/>
        <v>693956.25</v>
      </c>
      <c r="L26" s="138">
        <f t="shared" ca="1" si="55"/>
        <v>693956.25</v>
      </c>
      <c r="M26" s="138">
        <f t="shared" ca="1" si="55"/>
        <v>1006829.6875</v>
      </c>
      <c r="N26" s="138">
        <f t="shared" ca="1" si="55"/>
        <v>1006829.6875</v>
      </c>
      <c r="O26" s="138">
        <f t="shared" ca="1" si="55"/>
        <v>1006829.6875</v>
      </c>
      <c r="P26" s="138">
        <f t="shared" ca="1" si="55"/>
        <v>1006829.6875</v>
      </c>
      <c r="Q26" s="138">
        <f t="shared" ca="1" si="55"/>
        <v>612401.5625</v>
      </c>
      <c r="R26" s="138">
        <f t="shared" ca="1" si="55"/>
        <v>612401.5625</v>
      </c>
      <c r="S26" s="138">
        <f t="shared" ca="1" si="55"/>
        <v>612401.5625</v>
      </c>
      <c r="T26" s="138">
        <f t="shared" ca="1" si="55"/>
        <v>612401.5625</v>
      </c>
      <c r="U26" s="138">
        <f t="shared" ca="1" si="55"/>
        <v>287665.625</v>
      </c>
      <c r="V26" s="138">
        <f t="shared" ca="1" si="55"/>
        <v>287665.625</v>
      </c>
      <c r="W26" s="138">
        <f t="shared" ca="1" si="54"/>
        <v>287665.625</v>
      </c>
      <c r="X26" s="138">
        <f t="shared" ca="1" si="54"/>
        <v>287665.625</v>
      </c>
      <c r="Y26" s="138">
        <f t="shared" ca="1" si="54"/>
        <v>370703.125</v>
      </c>
      <c r="Z26" s="138">
        <f t="shared" ca="1" si="54"/>
        <v>370703.125</v>
      </c>
      <c r="AA26" s="138">
        <f t="shared" ca="1" si="54"/>
        <v>370703.125</v>
      </c>
      <c r="AB26" s="138">
        <f t="shared" ca="1" si="54"/>
        <v>370703.125</v>
      </c>
      <c r="AC26" s="138">
        <f t="shared" ca="1" si="54"/>
        <v>484879.6875</v>
      </c>
      <c r="AD26" s="138">
        <f t="shared" ca="1" si="54"/>
        <v>484879.6875</v>
      </c>
      <c r="AE26" s="138">
        <f t="shared" ca="1" si="54"/>
        <v>484879.6875</v>
      </c>
      <c r="AF26" s="138">
        <f t="shared" ca="1" si="54"/>
        <v>484879.6875</v>
      </c>
      <c r="AG26" s="138">
        <f t="shared" ca="1" si="54"/>
        <v>401842.1875</v>
      </c>
      <c r="AH26" s="138">
        <f t="shared" ca="1" si="54"/>
        <v>401842.1875</v>
      </c>
      <c r="AI26" s="138">
        <f t="shared" ca="1" si="54"/>
        <v>401842.1875</v>
      </c>
      <c r="AJ26" s="138">
        <f t="shared" ca="1" si="54"/>
        <v>401842.1875</v>
      </c>
      <c r="AK26" s="138">
        <f t="shared" ca="1" si="54"/>
        <v>394428.125</v>
      </c>
      <c r="AL26" s="138">
        <f t="shared" ca="1" si="54"/>
        <v>394428.125</v>
      </c>
      <c r="AM26" s="138">
        <f t="shared" ca="1" si="54"/>
        <v>394428.125</v>
      </c>
      <c r="AN26" s="138">
        <f t="shared" ca="1" si="54"/>
        <v>394428.125</v>
      </c>
      <c r="AO26" s="138">
        <f t="shared" ca="1" si="54"/>
        <v>395910.9375</v>
      </c>
      <c r="AP26" s="138">
        <f t="shared" ca="1" si="54"/>
        <v>395910.9375</v>
      </c>
      <c r="AQ26" s="138">
        <f t="shared" ca="1" si="54"/>
        <v>395910.9375</v>
      </c>
      <c r="AR26" s="138">
        <f t="shared" ca="1" si="54"/>
        <v>395910.9375</v>
      </c>
      <c r="AS26" s="138">
        <f t="shared" ca="1" si="54"/>
        <v>1100246.875</v>
      </c>
      <c r="AT26" s="138">
        <f t="shared" ca="1" si="54"/>
        <v>1100246.875</v>
      </c>
      <c r="AU26" s="138">
        <f t="shared" ca="1" si="54"/>
        <v>1100246.875</v>
      </c>
      <c r="AV26" s="138">
        <f t="shared" ca="1" si="54"/>
        <v>1100246.875</v>
      </c>
      <c r="AW26" s="94"/>
      <c r="AX26" s="169"/>
    </row>
    <row r="27" spans="1:50" x14ac:dyDescent="0.2">
      <c r="A27" s="333" t="s">
        <v>2223</v>
      </c>
      <c r="B27" s="322">
        <v>31.7</v>
      </c>
      <c r="C27" s="124" t="s">
        <v>2320</v>
      </c>
      <c r="F27" s="57" t="s">
        <v>753</v>
      </c>
      <c r="G27" s="138">
        <f t="shared" si="55"/>
        <v>490299.9375</v>
      </c>
      <c r="H27" s="138">
        <f t="shared" si="54"/>
        <v>490299.9375</v>
      </c>
      <c r="I27" s="138">
        <f t="shared" ca="1" si="54"/>
        <v>530796.6875</v>
      </c>
      <c r="J27" s="138">
        <f t="shared" ca="1" si="54"/>
        <v>530796.6875</v>
      </c>
      <c r="K27" s="138">
        <f t="shared" ca="1" si="54"/>
        <v>530796.6875</v>
      </c>
      <c r="L27" s="138">
        <f t="shared" ca="1" si="54"/>
        <v>530796.6875</v>
      </c>
      <c r="M27" s="138">
        <f t="shared" ca="1" si="54"/>
        <v>645055.375</v>
      </c>
      <c r="N27" s="138">
        <f t="shared" ca="1" si="54"/>
        <v>645055.375</v>
      </c>
      <c r="O27" s="138">
        <f t="shared" ca="1" si="54"/>
        <v>645055.375</v>
      </c>
      <c r="P27" s="138">
        <f t="shared" ca="1" si="54"/>
        <v>645055.375</v>
      </c>
      <c r="Q27" s="138">
        <f t="shared" ca="1" si="54"/>
        <v>918408.4375</v>
      </c>
      <c r="R27" s="138">
        <f t="shared" ca="1" si="54"/>
        <v>918408.4375</v>
      </c>
      <c r="S27" s="138">
        <f t="shared" ca="1" si="54"/>
        <v>918408.4375</v>
      </c>
      <c r="T27" s="138">
        <f t="shared" ca="1" si="54"/>
        <v>918408.4375</v>
      </c>
      <c r="U27" s="138">
        <f t="shared" ca="1" si="54"/>
        <v>689891.0625</v>
      </c>
      <c r="V27" s="138">
        <f t="shared" ca="1" si="54"/>
        <v>689891.0625</v>
      </c>
      <c r="W27" s="138">
        <f t="shared" ca="1" si="54"/>
        <v>689891.0625</v>
      </c>
      <c r="X27" s="138">
        <f t="shared" ca="1" si="54"/>
        <v>689891.0625</v>
      </c>
      <c r="Y27" s="138">
        <f t="shared" ca="1" si="54"/>
        <v>283477.25</v>
      </c>
      <c r="Z27" s="138">
        <f t="shared" ca="1" si="54"/>
        <v>283477.25</v>
      </c>
      <c r="AA27" s="138">
        <f t="shared" ca="1" si="54"/>
        <v>283477.25</v>
      </c>
      <c r="AB27" s="138">
        <f t="shared" ca="1" si="54"/>
        <v>283477.25</v>
      </c>
      <c r="AC27" s="138">
        <f t="shared" ca="1" si="54"/>
        <v>66530.375</v>
      </c>
      <c r="AD27" s="138">
        <f t="shared" ca="1" si="54"/>
        <v>66530.375</v>
      </c>
      <c r="AE27" s="138">
        <f t="shared" ca="1" si="54"/>
        <v>66530.375</v>
      </c>
      <c r="AF27" s="138">
        <f t="shared" ca="1" si="54"/>
        <v>66530.375</v>
      </c>
      <c r="AG27" s="138">
        <f t="shared" ca="1" si="54"/>
        <v>66530.375</v>
      </c>
      <c r="AH27" s="138">
        <f t="shared" ca="1" si="54"/>
        <v>66530.375</v>
      </c>
      <c r="AI27" s="138">
        <f t="shared" ca="1" si="54"/>
        <v>66530.375</v>
      </c>
      <c r="AJ27" s="138">
        <f t="shared" ca="1" si="54"/>
        <v>66530.375</v>
      </c>
      <c r="AK27" s="138">
        <f t="shared" ca="1" si="54"/>
        <v>66530.375</v>
      </c>
      <c r="AL27" s="138">
        <f t="shared" ca="1" si="54"/>
        <v>66530.375</v>
      </c>
      <c r="AM27" s="138">
        <f t="shared" ca="1" si="54"/>
        <v>66530.375</v>
      </c>
      <c r="AN27" s="138">
        <f t="shared" ca="1" si="54"/>
        <v>66530.375</v>
      </c>
      <c r="AO27" s="138">
        <f t="shared" ca="1" si="54"/>
        <v>66530.375</v>
      </c>
      <c r="AP27" s="138">
        <f t="shared" ca="1" si="54"/>
        <v>66530.375</v>
      </c>
      <c r="AQ27" s="138">
        <f t="shared" ca="1" si="54"/>
        <v>66530.375</v>
      </c>
      <c r="AR27" s="138">
        <f t="shared" ca="1" si="54"/>
        <v>66530.375</v>
      </c>
      <c r="AS27" s="138">
        <f t="shared" ca="1" si="54"/>
        <v>66530.375</v>
      </c>
      <c r="AT27" s="138">
        <f t="shared" ca="1" si="54"/>
        <v>66530.375</v>
      </c>
      <c r="AU27" s="138">
        <f t="shared" ca="1" si="54"/>
        <v>66530.375</v>
      </c>
      <c r="AV27" s="138">
        <f t="shared" ca="1" si="54"/>
        <v>66530.375</v>
      </c>
      <c r="AW27" s="94"/>
      <c r="AX27" s="169"/>
    </row>
    <row r="28" spans="1:50" x14ac:dyDescent="0.2">
      <c r="A28" s="333" t="s">
        <v>2224</v>
      </c>
      <c r="B28" s="322">
        <v>31.7</v>
      </c>
      <c r="C28" s="124" t="s">
        <v>2320</v>
      </c>
      <c r="F28" s="57" t="s">
        <v>753</v>
      </c>
      <c r="G28" s="138">
        <f t="shared" si="55"/>
        <v>7227223.5625</v>
      </c>
      <c r="H28" s="138">
        <f t="shared" si="54"/>
        <v>7227223.5625</v>
      </c>
      <c r="I28" s="138">
        <f t="shared" ca="1" si="54"/>
        <v>7808641.1875</v>
      </c>
      <c r="J28" s="138">
        <f t="shared" ca="1" si="54"/>
        <v>7808641.1875</v>
      </c>
      <c r="K28" s="138">
        <f t="shared" ca="1" si="54"/>
        <v>7808641.1875</v>
      </c>
      <c r="L28" s="138">
        <f t="shared" ca="1" si="54"/>
        <v>7808641.1875</v>
      </c>
      <c r="M28" s="138">
        <f t="shared" ca="1" si="54"/>
        <v>8174558.25</v>
      </c>
      <c r="N28" s="138">
        <f t="shared" ca="1" si="54"/>
        <v>8174558.25</v>
      </c>
      <c r="O28" s="138">
        <f t="shared" ca="1" si="54"/>
        <v>8174558.25</v>
      </c>
      <c r="P28" s="138">
        <f t="shared" ca="1" si="54"/>
        <v>8174558.25</v>
      </c>
      <c r="Q28" s="138">
        <f t="shared" ca="1" si="54"/>
        <v>8978708</v>
      </c>
      <c r="R28" s="138">
        <f t="shared" ca="1" si="54"/>
        <v>8978708</v>
      </c>
      <c r="S28" s="138">
        <f t="shared" ca="1" si="54"/>
        <v>8978708</v>
      </c>
      <c r="T28" s="138">
        <f t="shared" ca="1" si="54"/>
        <v>8978708</v>
      </c>
      <c r="U28" s="138">
        <f t="shared" ca="1" si="54"/>
        <v>9646904.375</v>
      </c>
      <c r="V28" s="138">
        <f t="shared" ca="1" si="54"/>
        <v>9646904.375</v>
      </c>
      <c r="W28" s="138">
        <f t="shared" ca="1" si="54"/>
        <v>9646904.375</v>
      </c>
      <c r="X28" s="138">
        <f t="shared" ca="1" si="54"/>
        <v>9646904.375</v>
      </c>
      <c r="Y28" s="138">
        <f t="shared" ca="1" si="54"/>
        <v>10047532.9375</v>
      </c>
      <c r="Z28" s="138">
        <f t="shared" ca="1" si="54"/>
        <v>10047532.9375</v>
      </c>
      <c r="AA28" s="138">
        <f t="shared" ca="1" si="54"/>
        <v>10047532.9375</v>
      </c>
      <c r="AB28" s="138">
        <f t="shared" ca="1" si="54"/>
        <v>10047532.9375</v>
      </c>
      <c r="AC28" s="138">
        <f t="shared" ca="1" si="54"/>
        <v>10270265.0625</v>
      </c>
      <c r="AD28" s="138">
        <f t="shared" ca="1" si="54"/>
        <v>10270265.0625</v>
      </c>
      <c r="AE28" s="138">
        <f t="shared" ca="1" si="54"/>
        <v>10270265.0625</v>
      </c>
      <c r="AF28" s="138">
        <f t="shared" ca="1" si="54"/>
        <v>10270265.0625</v>
      </c>
      <c r="AG28" s="138">
        <f t="shared" ca="1" si="54"/>
        <v>10263033.5</v>
      </c>
      <c r="AH28" s="138">
        <f t="shared" ca="1" si="54"/>
        <v>10263033.5</v>
      </c>
      <c r="AI28" s="138">
        <f t="shared" ca="1" si="54"/>
        <v>10263033.5</v>
      </c>
      <c r="AJ28" s="138">
        <f t="shared" ca="1" si="54"/>
        <v>10263033.5</v>
      </c>
      <c r="AK28" s="138">
        <f t="shared" ca="1" si="54"/>
        <v>10248570.375</v>
      </c>
      <c r="AL28" s="138">
        <f t="shared" ca="1" si="54"/>
        <v>10248570.375</v>
      </c>
      <c r="AM28" s="138">
        <f t="shared" ca="1" si="54"/>
        <v>10248570.375</v>
      </c>
      <c r="AN28" s="138">
        <f t="shared" ca="1" si="54"/>
        <v>10248570.375</v>
      </c>
      <c r="AO28" s="138">
        <f t="shared" ca="1" si="54"/>
        <v>10245677.75</v>
      </c>
      <c r="AP28" s="138">
        <f t="shared" ca="1" si="54"/>
        <v>10245677.75</v>
      </c>
      <c r="AQ28" s="138">
        <f t="shared" ca="1" si="54"/>
        <v>10245677.75</v>
      </c>
      <c r="AR28" s="138">
        <f t="shared" ca="1" si="54"/>
        <v>10245677.75</v>
      </c>
      <c r="AS28" s="138">
        <f t="shared" ca="1" si="54"/>
        <v>10238446.1875</v>
      </c>
      <c r="AT28" s="138">
        <f t="shared" ca="1" si="54"/>
        <v>10238446.1875</v>
      </c>
      <c r="AU28" s="138">
        <f t="shared" ca="1" si="54"/>
        <v>10238446.1875</v>
      </c>
      <c r="AV28" s="138">
        <f t="shared" ca="1" si="54"/>
        <v>10238446.1875</v>
      </c>
      <c r="AW28" s="94"/>
      <c r="AX28" s="169"/>
    </row>
    <row r="29" spans="1:50" x14ac:dyDescent="0.2">
      <c r="A29" s="333" t="s">
        <v>2225</v>
      </c>
      <c r="B29" s="322">
        <v>12.9</v>
      </c>
      <c r="C29" s="124" t="s">
        <v>2320</v>
      </c>
      <c r="F29" s="57" t="s">
        <v>753</v>
      </c>
      <c r="G29" s="138">
        <f t="shared" si="55"/>
        <v>146721.375</v>
      </c>
      <c r="H29" s="138">
        <f t="shared" si="54"/>
        <v>146721.375</v>
      </c>
      <c r="I29" s="138">
        <f t="shared" ca="1" si="54"/>
        <v>138159</v>
      </c>
      <c r="J29" s="138">
        <f t="shared" ca="1" si="54"/>
        <v>138159</v>
      </c>
      <c r="K29" s="138">
        <f t="shared" ca="1" si="54"/>
        <v>138159</v>
      </c>
      <c r="L29" s="138">
        <f t="shared" ca="1" si="54"/>
        <v>138159</v>
      </c>
      <c r="M29" s="138">
        <f t="shared" ca="1" si="54"/>
        <v>135353.25</v>
      </c>
      <c r="N29" s="138">
        <f t="shared" ca="1" si="54"/>
        <v>135353.25</v>
      </c>
      <c r="O29" s="138">
        <f t="shared" ca="1" si="54"/>
        <v>135353.25</v>
      </c>
      <c r="P29" s="138">
        <f t="shared" ca="1" si="54"/>
        <v>135353.25</v>
      </c>
      <c r="Q29" s="138">
        <f t="shared" ca="1" si="54"/>
        <v>153058.5</v>
      </c>
      <c r="R29" s="138">
        <f t="shared" ca="1" si="54"/>
        <v>153058.5</v>
      </c>
      <c r="S29" s="138">
        <f t="shared" ca="1" si="54"/>
        <v>153058.5</v>
      </c>
      <c r="T29" s="138">
        <f t="shared" ca="1" si="54"/>
        <v>153058.5</v>
      </c>
      <c r="U29" s="138">
        <f t="shared" ca="1" si="54"/>
        <v>168635.25</v>
      </c>
      <c r="V29" s="138">
        <f t="shared" ca="1" si="54"/>
        <v>168635.25</v>
      </c>
      <c r="W29" s="138">
        <f t="shared" ca="1" si="54"/>
        <v>168635.25</v>
      </c>
      <c r="X29" s="138">
        <f t="shared" ca="1" si="54"/>
        <v>168635.25</v>
      </c>
      <c r="Y29" s="138">
        <f t="shared" ca="1" si="54"/>
        <v>170086.5</v>
      </c>
      <c r="Z29" s="138">
        <f t="shared" ca="1" si="54"/>
        <v>170086.5</v>
      </c>
      <c r="AA29" s="138">
        <f t="shared" ca="1" si="54"/>
        <v>170086.5</v>
      </c>
      <c r="AB29" s="138">
        <f t="shared" ca="1" si="54"/>
        <v>170086.5</v>
      </c>
      <c r="AC29" s="138">
        <f t="shared" ca="1" si="54"/>
        <v>172602</v>
      </c>
      <c r="AD29" s="138">
        <f t="shared" ca="1" si="54"/>
        <v>172602</v>
      </c>
      <c r="AE29" s="138">
        <f t="shared" ca="1" si="54"/>
        <v>172602</v>
      </c>
      <c r="AF29" s="138">
        <f t="shared" ca="1" si="54"/>
        <v>172602</v>
      </c>
      <c r="AG29" s="138">
        <f t="shared" ca="1" si="54"/>
        <v>172408.5</v>
      </c>
      <c r="AH29" s="138">
        <f t="shared" ca="1" si="54"/>
        <v>172408.5</v>
      </c>
      <c r="AI29" s="138">
        <f t="shared" ca="1" si="54"/>
        <v>172408.5</v>
      </c>
      <c r="AJ29" s="138">
        <f t="shared" ca="1" si="54"/>
        <v>172408.5</v>
      </c>
      <c r="AK29" s="138">
        <f t="shared" ca="1" si="54"/>
        <v>172311.75</v>
      </c>
      <c r="AL29" s="138">
        <f t="shared" ca="1" si="54"/>
        <v>172311.75</v>
      </c>
      <c r="AM29" s="138">
        <f t="shared" ca="1" si="54"/>
        <v>172311.75</v>
      </c>
      <c r="AN29" s="138">
        <f t="shared" ca="1" si="54"/>
        <v>172311.75</v>
      </c>
      <c r="AO29" s="138">
        <f t="shared" ca="1" si="54"/>
        <v>171924.75</v>
      </c>
      <c r="AP29" s="138">
        <f t="shared" ca="1" si="54"/>
        <v>171924.75</v>
      </c>
      <c r="AQ29" s="138">
        <f t="shared" ca="1" si="54"/>
        <v>171924.75</v>
      </c>
      <c r="AR29" s="138">
        <f t="shared" ca="1" si="54"/>
        <v>171924.75</v>
      </c>
      <c r="AS29" s="138">
        <f t="shared" ca="1" si="54"/>
        <v>172215</v>
      </c>
      <c r="AT29" s="138">
        <f t="shared" ca="1" si="54"/>
        <v>172215</v>
      </c>
      <c r="AU29" s="138">
        <f t="shared" ca="1" si="54"/>
        <v>172215</v>
      </c>
      <c r="AV29" s="138">
        <f t="shared" ca="1" si="54"/>
        <v>172215</v>
      </c>
      <c r="AW29" s="94"/>
      <c r="AX29" s="169"/>
    </row>
    <row r="30" spans="1:50" x14ac:dyDescent="0.2">
      <c r="A30" s="344" t="s">
        <v>2319</v>
      </c>
      <c r="C30" s="124" t="s">
        <v>2320</v>
      </c>
      <c r="F30" s="57" t="s">
        <v>753</v>
      </c>
      <c r="G30" s="143">
        <f>SUM(G25:G29)</f>
        <v>10613520.6875</v>
      </c>
      <c r="H30" s="143">
        <f t="shared" ref="H30:AV30" si="56">SUM(H25:H29)</f>
        <v>10613520.6875</v>
      </c>
      <c r="I30" s="143">
        <f t="shared" ca="1" si="56"/>
        <v>11951333.8125</v>
      </c>
      <c r="J30" s="143">
        <f t="shared" ca="1" si="56"/>
        <v>11951333.8125</v>
      </c>
      <c r="K30" s="143">
        <f t="shared" ca="1" si="56"/>
        <v>11951333.8125</v>
      </c>
      <c r="L30" s="143">
        <f t="shared" ca="1" si="56"/>
        <v>11951333.8125</v>
      </c>
      <c r="M30" s="143">
        <f t="shared" ca="1" si="56"/>
        <v>13058812.4375</v>
      </c>
      <c r="N30" s="143">
        <f t="shared" ca="1" si="56"/>
        <v>13058812.4375</v>
      </c>
      <c r="O30" s="143">
        <f t="shared" ca="1" si="56"/>
        <v>13058812.4375</v>
      </c>
      <c r="P30" s="143">
        <f t="shared" ca="1" si="56"/>
        <v>13058812.4375</v>
      </c>
      <c r="Q30" s="143">
        <f t="shared" ca="1" si="56"/>
        <v>13926744.125</v>
      </c>
      <c r="R30" s="143">
        <f t="shared" ca="1" si="56"/>
        <v>13926744.125</v>
      </c>
      <c r="S30" s="143">
        <f t="shared" ca="1" si="56"/>
        <v>13926744.125</v>
      </c>
      <c r="T30" s="143">
        <f t="shared" ca="1" si="56"/>
        <v>13926744.125</v>
      </c>
      <c r="U30" s="143">
        <f t="shared" ca="1" si="56"/>
        <v>14461017.8125</v>
      </c>
      <c r="V30" s="143">
        <f t="shared" ca="1" si="56"/>
        <v>14461017.8125</v>
      </c>
      <c r="W30" s="143">
        <f t="shared" ca="1" si="56"/>
        <v>14461017.8125</v>
      </c>
      <c r="X30" s="143">
        <f t="shared" ca="1" si="56"/>
        <v>14461017.8125</v>
      </c>
      <c r="Y30" s="143">
        <f t="shared" ca="1" si="56"/>
        <v>14859310.75</v>
      </c>
      <c r="Z30" s="143">
        <f t="shared" ca="1" si="56"/>
        <v>14859310.75</v>
      </c>
      <c r="AA30" s="143">
        <f t="shared" ca="1" si="56"/>
        <v>14859310.75</v>
      </c>
      <c r="AB30" s="143">
        <f t="shared" ca="1" si="56"/>
        <v>14859310.75</v>
      </c>
      <c r="AC30" s="143">
        <f t="shared" ca="1" si="56"/>
        <v>15164242.4375</v>
      </c>
      <c r="AD30" s="143">
        <f t="shared" ca="1" si="56"/>
        <v>15164242.4375</v>
      </c>
      <c r="AE30" s="143">
        <f t="shared" ca="1" si="56"/>
        <v>15164242.4375</v>
      </c>
      <c r="AF30" s="143">
        <f t="shared" ca="1" si="56"/>
        <v>15164242.4375</v>
      </c>
      <c r="AG30" s="143">
        <f t="shared" ca="1" si="56"/>
        <v>15180898.25</v>
      </c>
      <c r="AH30" s="143">
        <f t="shared" ca="1" si="56"/>
        <v>15180898.25</v>
      </c>
      <c r="AI30" s="143">
        <f t="shared" ca="1" si="56"/>
        <v>15180898.25</v>
      </c>
      <c r="AJ30" s="143">
        <f t="shared" ca="1" si="56"/>
        <v>15180898.25</v>
      </c>
      <c r="AK30" s="143">
        <f t="shared" ca="1" si="56"/>
        <v>15208952.125</v>
      </c>
      <c r="AL30" s="143">
        <f t="shared" ca="1" si="56"/>
        <v>15208952.125</v>
      </c>
      <c r="AM30" s="143">
        <f t="shared" ca="1" si="56"/>
        <v>15208952.125</v>
      </c>
      <c r="AN30" s="143">
        <f t="shared" ca="1" si="56"/>
        <v>15208952.125</v>
      </c>
      <c r="AO30" s="143">
        <f t="shared" ca="1" si="56"/>
        <v>15254828.875</v>
      </c>
      <c r="AP30" s="143">
        <f t="shared" ca="1" si="56"/>
        <v>15254828.875</v>
      </c>
      <c r="AQ30" s="143">
        <f t="shared" ca="1" si="56"/>
        <v>15254828.875</v>
      </c>
      <c r="AR30" s="143">
        <f t="shared" ca="1" si="56"/>
        <v>15254828.875</v>
      </c>
      <c r="AS30" s="143">
        <f t="shared" ca="1" si="56"/>
        <v>15999308.5</v>
      </c>
      <c r="AT30" s="143">
        <f t="shared" ca="1" si="56"/>
        <v>15999308.5</v>
      </c>
      <c r="AU30" s="143">
        <f t="shared" ca="1" si="56"/>
        <v>15999308.5</v>
      </c>
      <c r="AV30" s="143">
        <f t="shared" ca="1" si="56"/>
        <v>15999308.5</v>
      </c>
      <c r="AW30" s="94"/>
      <c r="AX30" s="169"/>
    </row>
    <row r="31" spans="1:50" x14ac:dyDescent="0.2">
      <c r="C31" s="124"/>
      <c r="G31" s="332"/>
      <c r="H31" s="332"/>
      <c r="I31" s="332"/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2"/>
      <c r="X31" s="332"/>
      <c r="Y31" s="332"/>
      <c r="Z31" s="332"/>
      <c r="AA31" s="332"/>
      <c r="AB31" s="332"/>
      <c r="AC31" s="332"/>
      <c r="AD31" s="332"/>
      <c r="AE31" s="332"/>
      <c r="AF31" s="332"/>
      <c r="AG31" s="332"/>
      <c r="AH31" s="332"/>
      <c r="AI31" s="332"/>
      <c r="AJ31" s="332"/>
      <c r="AK31" s="332"/>
      <c r="AL31" s="332"/>
      <c r="AM31" s="332"/>
      <c r="AN31" s="332"/>
      <c r="AO31" s="332"/>
      <c r="AP31" s="332"/>
      <c r="AQ31" s="332"/>
      <c r="AR31" s="332"/>
      <c r="AS31" s="332"/>
      <c r="AT31" s="332"/>
      <c r="AU31" s="332"/>
      <c r="AV31" s="332"/>
      <c r="AW31" s="94"/>
      <c r="AX31" s="169"/>
    </row>
    <row r="32" spans="1:50" x14ac:dyDescent="0.2">
      <c r="A32" s="38" t="s">
        <v>2318</v>
      </c>
      <c r="B32" s="72" t="s">
        <v>2321</v>
      </c>
      <c r="C32" s="124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  <c r="AW32" s="94"/>
      <c r="AX32" s="169"/>
    </row>
    <row r="33" spans="1:50" x14ac:dyDescent="0.2">
      <c r="A33" s="333" t="s">
        <v>2221</v>
      </c>
      <c r="B33" s="322">
        <v>3.9</v>
      </c>
      <c r="C33" s="124" t="s">
        <v>2320</v>
      </c>
      <c r="F33" s="57" t="s">
        <v>753</v>
      </c>
      <c r="G33" s="138">
        <f>$B33*G17</f>
        <v>665308.3125</v>
      </c>
      <c r="H33" s="138">
        <f t="shared" ref="H33:AV37" si="57">$B33*H17</f>
        <v>665308.3125</v>
      </c>
      <c r="I33" s="138">
        <f t="shared" ca="1" si="57"/>
        <v>840398.8125</v>
      </c>
      <c r="J33" s="138">
        <f t="shared" ca="1" si="57"/>
        <v>840398.8125</v>
      </c>
      <c r="K33" s="138">
        <f t="shared" ca="1" si="57"/>
        <v>840398.8125</v>
      </c>
      <c r="L33" s="138">
        <f t="shared" ca="1" si="57"/>
        <v>840398.8125</v>
      </c>
      <c r="M33" s="138">
        <f t="shared" ca="1" si="57"/>
        <v>936307.125</v>
      </c>
      <c r="N33" s="138">
        <f t="shared" ca="1" si="57"/>
        <v>936307.125</v>
      </c>
      <c r="O33" s="138">
        <f t="shared" ca="1" si="57"/>
        <v>936307.125</v>
      </c>
      <c r="P33" s="138">
        <f t="shared" ca="1" si="57"/>
        <v>936307.125</v>
      </c>
      <c r="Q33" s="138">
        <f t="shared" ca="1" si="57"/>
        <v>986841.375</v>
      </c>
      <c r="R33" s="138">
        <f t="shared" ca="1" si="57"/>
        <v>986841.375</v>
      </c>
      <c r="S33" s="138">
        <f t="shared" ca="1" si="57"/>
        <v>986841.375</v>
      </c>
      <c r="T33" s="138">
        <f t="shared" ca="1" si="57"/>
        <v>986841.375</v>
      </c>
      <c r="U33" s="138">
        <f t="shared" ca="1" si="57"/>
        <v>1108906.5</v>
      </c>
      <c r="V33" s="138">
        <f t="shared" ca="1" si="57"/>
        <v>1108906.5</v>
      </c>
      <c r="W33" s="138">
        <f t="shared" ca="1" si="57"/>
        <v>1108906.5</v>
      </c>
      <c r="X33" s="138">
        <f t="shared" ca="1" si="57"/>
        <v>1108906.5</v>
      </c>
      <c r="Y33" s="138">
        <f t="shared" ca="1" si="57"/>
        <v>1205526.5625</v>
      </c>
      <c r="Z33" s="138">
        <f t="shared" ca="1" si="57"/>
        <v>1205526.5625</v>
      </c>
      <c r="AA33" s="138">
        <f t="shared" ca="1" si="57"/>
        <v>1205526.5625</v>
      </c>
      <c r="AB33" s="138">
        <f t="shared" ca="1" si="57"/>
        <v>1205526.5625</v>
      </c>
      <c r="AC33" s="138">
        <f t="shared" ca="1" si="57"/>
        <v>1260687.1875</v>
      </c>
      <c r="AD33" s="138">
        <f t="shared" ca="1" si="57"/>
        <v>1260687.1875</v>
      </c>
      <c r="AE33" s="138">
        <f t="shared" ca="1" si="57"/>
        <v>1260687.1875</v>
      </c>
      <c r="AF33" s="138">
        <f t="shared" ca="1" si="57"/>
        <v>1260687.1875</v>
      </c>
      <c r="AG33" s="138">
        <f t="shared" ca="1" si="57"/>
        <v>1293071.8125</v>
      </c>
      <c r="AH33" s="138">
        <f t="shared" ca="1" si="57"/>
        <v>1293071.8125</v>
      </c>
      <c r="AI33" s="138">
        <f t="shared" ca="1" si="57"/>
        <v>1293071.8125</v>
      </c>
      <c r="AJ33" s="138">
        <f t="shared" ca="1" si="57"/>
        <v>1293071.8125</v>
      </c>
      <c r="AK33" s="138">
        <f t="shared" ca="1" si="57"/>
        <v>1308196.5</v>
      </c>
      <c r="AL33" s="138">
        <f t="shared" ca="1" si="57"/>
        <v>1308196.5</v>
      </c>
      <c r="AM33" s="138">
        <f t="shared" ca="1" si="57"/>
        <v>1308196.5</v>
      </c>
      <c r="AN33" s="138">
        <f t="shared" ca="1" si="57"/>
        <v>1308196.5</v>
      </c>
      <c r="AO33" s="138">
        <f t="shared" ca="1" si="57"/>
        <v>1322609.4375</v>
      </c>
      <c r="AP33" s="138">
        <f t="shared" ca="1" si="57"/>
        <v>1322609.4375</v>
      </c>
      <c r="AQ33" s="138">
        <f t="shared" ca="1" si="57"/>
        <v>1322609.4375</v>
      </c>
      <c r="AR33" s="138">
        <f t="shared" ca="1" si="57"/>
        <v>1322609.4375</v>
      </c>
      <c r="AS33" s="138">
        <f t="shared" ca="1" si="57"/>
        <v>1336844.4375</v>
      </c>
      <c r="AT33" s="138">
        <f t="shared" ca="1" si="57"/>
        <v>1336844.4375</v>
      </c>
      <c r="AU33" s="138">
        <f t="shared" ca="1" si="57"/>
        <v>1336844.4375</v>
      </c>
      <c r="AV33" s="138">
        <f t="shared" ca="1" si="57"/>
        <v>1336844.4375</v>
      </c>
      <c r="AW33" s="94"/>
      <c r="AX33" s="169"/>
    </row>
    <row r="34" spans="1:50" x14ac:dyDescent="0.2">
      <c r="A34" s="333" t="s">
        <v>2222</v>
      </c>
      <c r="B34" s="322">
        <v>6.6</v>
      </c>
      <c r="C34" s="124" t="s">
        <v>2320</v>
      </c>
      <c r="F34" s="57" t="s">
        <v>753</v>
      </c>
      <c r="G34" s="138">
        <f t="shared" ref="G34:V37" si="58">$B34*G18</f>
        <v>111416.25</v>
      </c>
      <c r="H34" s="138">
        <f t="shared" si="58"/>
        <v>111416.25</v>
      </c>
      <c r="I34" s="138">
        <f t="shared" ca="1" si="58"/>
        <v>140926.5</v>
      </c>
      <c r="J34" s="138">
        <f t="shared" ca="1" si="58"/>
        <v>140926.5</v>
      </c>
      <c r="K34" s="138">
        <f t="shared" ca="1" si="58"/>
        <v>140926.5</v>
      </c>
      <c r="L34" s="138">
        <f t="shared" ca="1" si="58"/>
        <v>140926.5</v>
      </c>
      <c r="M34" s="138">
        <f t="shared" ca="1" si="58"/>
        <v>204463.875</v>
      </c>
      <c r="N34" s="138">
        <f t="shared" ca="1" si="58"/>
        <v>204463.875</v>
      </c>
      <c r="O34" s="138">
        <f t="shared" ca="1" si="58"/>
        <v>204463.875</v>
      </c>
      <c r="P34" s="138">
        <f t="shared" ca="1" si="58"/>
        <v>204463.875</v>
      </c>
      <c r="Q34" s="138">
        <f t="shared" ca="1" si="58"/>
        <v>124364.625</v>
      </c>
      <c r="R34" s="138">
        <f t="shared" ca="1" si="58"/>
        <v>124364.625</v>
      </c>
      <c r="S34" s="138">
        <f t="shared" ca="1" si="58"/>
        <v>124364.625</v>
      </c>
      <c r="T34" s="138">
        <f t="shared" ca="1" si="58"/>
        <v>124364.625</v>
      </c>
      <c r="U34" s="138">
        <f t="shared" ca="1" si="58"/>
        <v>58418.25</v>
      </c>
      <c r="V34" s="138">
        <f t="shared" ca="1" si="58"/>
        <v>58418.25</v>
      </c>
      <c r="W34" s="138">
        <f t="shared" ca="1" si="57"/>
        <v>58418.25</v>
      </c>
      <c r="X34" s="138">
        <f t="shared" ca="1" si="57"/>
        <v>58418.25</v>
      </c>
      <c r="Y34" s="138">
        <f t="shared" ca="1" si="57"/>
        <v>75281.25</v>
      </c>
      <c r="Z34" s="138">
        <f t="shared" ca="1" si="57"/>
        <v>75281.25</v>
      </c>
      <c r="AA34" s="138">
        <f t="shared" ca="1" si="57"/>
        <v>75281.25</v>
      </c>
      <c r="AB34" s="138">
        <f t="shared" ca="1" si="57"/>
        <v>75281.25</v>
      </c>
      <c r="AC34" s="138">
        <f t="shared" ca="1" si="57"/>
        <v>98467.875</v>
      </c>
      <c r="AD34" s="138">
        <f t="shared" ca="1" si="57"/>
        <v>98467.875</v>
      </c>
      <c r="AE34" s="138">
        <f t="shared" ca="1" si="57"/>
        <v>98467.875</v>
      </c>
      <c r="AF34" s="138">
        <f t="shared" ca="1" si="57"/>
        <v>98467.875</v>
      </c>
      <c r="AG34" s="138">
        <f t="shared" ca="1" si="57"/>
        <v>81604.875</v>
      </c>
      <c r="AH34" s="138">
        <f t="shared" ca="1" si="57"/>
        <v>81604.875</v>
      </c>
      <c r="AI34" s="138">
        <f t="shared" ca="1" si="57"/>
        <v>81604.875</v>
      </c>
      <c r="AJ34" s="138">
        <f t="shared" ca="1" si="57"/>
        <v>81604.875</v>
      </c>
      <c r="AK34" s="138">
        <f t="shared" ca="1" si="57"/>
        <v>80099.25</v>
      </c>
      <c r="AL34" s="138">
        <f t="shared" ca="1" si="57"/>
        <v>80099.25</v>
      </c>
      <c r="AM34" s="138">
        <f t="shared" ca="1" si="57"/>
        <v>80099.25</v>
      </c>
      <c r="AN34" s="138">
        <f t="shared" ca="1" si="57"/>
        <v>80099.25</v>
      </c>
      <c r="AO34" s="138">
        <f t="shared" ca="1" si="57"/>
        <v>80400.375</v>
      </c>
      <c r="AP34" s="138">
        <f t="shared" ca="1" si="57"/>
        <v>80400.375</v>
      </c>
      <c r="AQ34" s="138">
        <f t="shared" ca="1" si="57"/>
        <v>80400.375</v>
      </c>
      <c r="AR34" s="138">
        <f t="shared" ca="1" si="57"/>
        <v>80400.375</v>
      </c>
      <c r="AS34" s="138">
        <f t="shared" ca="1" si="57"/>
        <v>223434.75</v>
      </c>
      <c r="AT34" s="138">
        <f t="shared" ca="1" si="57"/>
        <v>223434.75</v>
      </c>
      <c r="AU34" s="138">
        <f t="shared" ca="1" si="57"/>
        <v>223434.75</v>
      </c>
      <c r="AV34" s="138">
        <f t="shared" ca="1" si="57"/>
        <v>223434.75</v>
      </c>
      <c r="AW34" s="94"/>
      <c r="AX34" s="169"/>
    </row>
    <row r="35" spans="1:50" x14ac:dyDescent="0.2">
      <c r="A35" s="333" t="s">
        <v>2223</v>
      </c>
      <c r="B35" s="322">
        <v>11</v>
      </c>
      <c r="C35" s="124" t="s">
        <v>2320</v>
      </c>
      <c r="F35" s="57" t="s">
        <v>753</v>
      </c>
      <c r="G35" s="138">
        <f t="shared" si="58"/>
        <v>170135.625</v>
      </c>
      <c r="H35" s="138">
        <f t="shared" si="57"/>
        <v>170135.625</v>
      </c>
      <c r="I35" s="138">
        <f t="shared" ca="1" si="57"/>
        <v>184188.125</v>
      </c>
      <c r="J35" s="138">
        <f t="shared" ca="1" si="57"/>
        <v>184188.125</v>
      </c>
      <c r="K35" s="138">
        <f t="shared" ca="1" si="57"/>
        <v>184188.125</v>
      </c>
      <c r="L35" s="138">
        <f t="shared" ca="1" si="57"/>
        <v>184188.125</v>
      </c>
      <c r="M35" s="138">
        <f t="shared" ca="1" si="57"/>
        <v>223836.25</v>
      </c>
      <c r="N35" s="138">
        <f t="shared" ca="1" si="57"/>
        <v>223836.25</v>
      </c>
      <c r="O35" s="138">
        <f t="shared" ca="1" si="57"/>
        <v>223836.25</v>
      </c>
      <c r="P35" s="138">
        <f t="shared" ca="1" si="57"/>
        <v>223836.25</v>
      </c>
      <c r="Q35" s="138">
        <f t="shared" ca="1" si="57"/>
        <v>318690.625</v>
      </c>
      <c r="R35" s="138">
        <f t="shared" ca="1" si="57"/>
        <v>318690.625</v>
      </c>
      <c r="S35" s="138">
        <f t="shared" ca="1" si="57"/>
        <v>318690.625</v>
      </c>
      <c r="T35" s="138">
        <f t="shared" ca="1" si="57"/>
        <v>318690.625</v>
      </c>
      <c r="U35" s="138">
        <f t="shared" ca="1" si="57"/>
        <v>239394.375</v>
      </c>
      <c r="V35" s="138">
        <f t="shared" ca="1" si="57"/>
        <v>239394.375</v>
      </c>
      <c r="W35" s="138">
        <f t="shared" ca="1" si="57"/>
        <v>239394.375</v>
      </c>
      <c r="X35" s="138">
        <f t="shared" ca="1" si="57"/>
        <v>239394.375</v>
      </c>
      <c r="Y35" s="138">
        <f t="shared" ca="1" si="57"/>
        <v>98367.5</v>
      </c>
      <c r="Z35" s="138">
        <f t="shared" ca="1" si="57"/>
        <v>98367.5</v>
      </c>
      <c r="AA35" s="138">
        <f t="shared" ca="1" si="57"/>
        <v>98367.5</v>
      </c>
      <c r="AB35" s="138">
        <f t="shared" ca="1" si="57"/>
        <v>98367.5</v>
      </c>
      <c r="AC35" s="138">
        <f t="shared" ca="1" si="57"/>
        <v>23086.25</v>
      </c>
      <c r="AD35" s="138">
        <f t="shared" ca="1" si="57"/>
        <v>23086.25</v>
      </c>
      <c r="AE35" s="138">
        <f t="shared" ca="1" si="57"/>
        <v>23086.25</v>
      </c>
      <c r="AF35" s="138">
        <f t="shared" ca="1" si="57"/>
        <v>23086.25</v>
      </c>
      <c r="AG35" s="138">
        <f t="shared" ca="1" si="57"/>
        <v>23086.25</v>
      </c>
      <c r="AH35" s="138">
        <f t="shared" ca="1" si="57"/>
        <v>23086.25</v>
      </c>
      <c r="AI35" s="138">
        <f t="shared" ca="1" si="57"/>
        <v>23086.25</v>
      </c>
      <c r="AJ35" s="138">
        <f t="shared" ca="1" si="57"/>
        <v>23086.25</v>
      </c>
      <c r="AK35" s="138">
        <f t="shared" ca="1" si="57"/>
        <v>23086.25</v>
      </c>
      <c r="AL35" s="138">
        <f t="shared" ca="1" si="57"/>
        <v>23086.25</v>
      </c>
      <c r="AM35" s="138">
        <f t="shared" ca="1" si="57"/>
        <v>23086.25</v>
      </c>
      <c r="AN35" s="138">
        <f t="shared" ca="1" si="57"/>
        <v>23086.25</v>
      </c>
      <c r="AO35" s="138">
        <f t="shared" ca="1" si="57"/>
        <v>23086.25</v>
      </c>
      <c r="AP35" s="138">
        <f t="shared" ca="1" si="57"/>
        <v>23086.25</v>
      </c>
      <c r="AQ35" s="138">
        <f t="shared" ca="1" si="57"/>
        <v>23086.25</v>
      </c>
      <c r="AR35" s="138">
        <f t="shared" ca="1" si="57"/>
        <v>23086.25</v>
      </c>
      <c r="AS35" s="138">
        <f t="shared" ca="1" si="57"/>
        <v>23086.25</v>
      </c>
      <c r="AT35" s="138">
        <f t="shared" ca="1" si="57"/>
        <v>23086.25</v>
      </c>
      <c r="AU35" s="138">
        <f t="shared" ca="1" si="57"/>
        <v>23086.25</v>
      </c>
      <c r="AV35" s="138">
        <f t="shared" ca="1" si="57"/>
        <v>23086.25</v>
      </c>
      <c r="AW35" s="94"/>
      <c r="AX35" s="169"/>
    </row>
    <row r="36" spans="1:50" x14ac:dyDescent="0.2">
      <c r="A36" s="333" t="s">
        <v>2224</v>
      </c>
      <c r="B36" s="322">
        <v>11</v>
      </c>
      <c r="C36" s="124" t="s">
        <v>2320</v>
      </c>
      <c r="F36" s="57" t="s">
        <v>753</v>
      </c>
      <c r="G36" s="138">
        <f t="shared" si="58"/>
        <v>2507869.375</v>
      </c>
      <c r="H36" s="138">
        <f t="shared" si="57"/>
        <v>2507869.375</v>
      </c>
      <c r="I36" s="138">
        <f t="shared" ca="1" si="57"/>
        <v>2709623.125</v>
      </c>
      <c r="J36" s="138">
        <f t="shared" ca="1" si="57"/>
        <v>2709623.125</v>
      </c>
      <c r="K36" s="138">
        <f t="shared" ca="1" si="57"/>
        <v>2709623.125</v>
      </c>
      <c r="L36" s="138">
        <f t="shared" ca="1" si="57"/>
        <v>2709623.125</v>
      </c>
      <c r="M36" s="138">
        <f t="shared" ca="1" si="57"/>
        <v>2836597.5</v>
      </c>
      <c r="N36" s="138">
        <f t="shared" ca="1" si="57"/>
        <v>2836597.5</v>
      </c>
      <c r="O36" s="138">
        <f t="shared" ca="1" si="57"/>
        <v>2836597.5</v>
      </c>
      <c r="P36" s="138">
        <f t="shared" ca="1" si="57"/>
        <v>2836597.5</v>
      </c>
      <c r="Q36" s="138">
        <f t="shared" ca="1" si="57"/>
        <v>3115640</v>
      </c>
      <c r="R36" s="138">
        <f t="shared" ca="1" si="57"/>
        <v>3115640</v>
      </c>
      <c r="S36" s="138">
        <f t="shared" ca="1" si="57"/>
        <v>3115640</v>
      </c>
      <c r="T36" s="138">
        <f t="shared" ca="1" si="57"/>
        <v>3115640</v>
      </c>
      <c r="U36" s="138">
        <f t="shared" ca="1" si="57"/>
        <v>3347506.25</v>
      </c>
      <c r="V36" s="138">
        <f t="shared" ca="1" si="57"/>
        <v>3347506.25</v>
      </c>
      <c r="W36" s="138">
        <f t="shared" ca="1" si="57"/>
        <v>3347506.25</v>
      </c>
      <c r="X36" s="138">
        <f t="shared" ca="1" si="57"/>
        <v>3347506.25</v>
      </c>
      <c r="Y36" s="138">
        <f t="shared" ca="1" si="57"/>
        <v>3486525.625</v>
      </c>
      <c r="Z36" s="138">
        <f t="shared" ca="1" si="57"/>
        <v>3486525.625</v>
      </c>
      <c r="AA36" s="138">
        <f t="shared" ca="1" si="57"/>
        <v>3486525.625</v>
      </c>
      <c r="AB36" s="138">
        <f t="shared" ca="1" si="57"/>
        <v>3486525.625</v>
      </c>
      <c r="AC36" s="138">
        <f t="shared" ca="1" si="57"/>
        <v>3563814.375</v>
      </c>
      <c r="AD36" s="138">
        <f t="shared" ca="1" si="57"/>
        <v>3563814.375</v>
      </c>
      <c r="AE36" s="138">
        <f t="shared" ca="1" si="57"/>
        <v>3563814.375</v>
      </c>
      <c r="AF36" s="138">
        <f t="shared" ca="1" si="57"/>
        <v>3563814.375</v>
      </c>
      <c r="AG36" s="138">
        <f t="shared" ca="1" si="57"/>
        <v>3561305</v>
      </c>
      <c r="AH36" s="138">
        <f t="shared" ca="1" si="57"/>
        <v>3561305</v>
      </c>
      <c r="AI36" s="138">
        <f t="shared" ca="1" si="57"/>
        <v>3561305</v>
      </c>
      <c r="AJ36" s="138">
        <f t="shared" ca="1" si="57"/>
        <v>3561305</v>
      </c>
      <c r="AK36" s="138">
        <f t="shared" ca="1" si="57"/>
        <v>3556286.25</v>
      </c>
      <c r="AL36" s="138">
        <f t="shared" ca="1" si="57"/>
        <v>3556286.25</v>
      </c>
      <c r="AM36" s="138">
        <f t="shared" ca="1" si="57"/>
        <v>3556286.25</v>
      </c>
      <c r="AN36" s="138">
        <f t="shared" ca="1" si="57"/>
        <v>3556286.25</v>
      </c>
      <c r="AO36" s="138">
        <f t="shared" ca="1" si="57"/>
        <v>3555282.5</v>
      </c>
      <c r="AP36" s="138">
        <f t="shared" ca="1" si="57"/>
        <v>3555282.5</v>
      </c>
      <c r="AQ36" s="138">
        <f t="shared" ca="1" si="57"/>
        <v>3555282.5</v>
      </c>
      <c r="AR36" s="138">
        <f t="shared" ca="1" si="57"/>
        <v>3555282.5</v>
      </c>
      <c r="AS36" s="138">
        <f t="shared" ca="1" si="57"/>
        <v>3552773.125</v>
      </c>
      <c r="AT36" s="138">
        <f t="shared" ca="1" si="57"/>
        <v>3552773.125</v>
      </c>
      <c r="AU36" s="138">
        <f t="shared" ca="1" si="57"/>
        <v>3552773.125</v>
      </c>
      <c r="AV36" s="138">
        <f t="shared" ca="1" si="57"/>
        <v>3552773.125</v>
      </c>
      <c r="AW36" s="94"/>
      <c r="AX36" s="169"/>
    </row>
    <row r="37" spans="1:50" x14ac:dyDescent="0.2">
      <c r="A37" s="333" t="s">
        <v>2225</v>
      </c>
      <c r="B37" s="322">
        <v>3.9</v>
      </c>
      <c r="C37" s="124" t="s">
        <v>2320</v>
      </c>
      <c r="F37" s="57" t="s">
        <v>753</v>
      </c>
      <c r="G37" s="138">
        <f t="shared" si="58"/>
        <v>44357.625</v>
      </c>
      <c r="H37" s="138">
        <f t="shared" si="57"/>
        <v>44357.625</v>
      </c>
      <c r="I37" s="138">
        <f t="shared" ca="1" si="57"/>
        <v>41769</v>
      </c>
      <c r="J37" s="138">
        <f t="shared" ca="1" si="57"/>
        <v>41769</v>
      </c>
      <c r="K37" s="138">
        <f t="shared" ca="1" si="57"/>
        <v>41769</v>
      </c>
      <c r="L37" s="138">
        <f t="shared" ca="1" si="57"/>
        <v>41769</v>
      </c>
      <c r="M37" s="138">
        <f t="shared" ca="1" si="57"/>
        <v>40920.75</v>
      </c>
      <c r="N37" s="138">
        <f t="shared" ca="1" si="57"/>
        <v>40920.75</v>
      </c>
      <c r="O37" s="138">
        <f t="shared" ca="1" si="57"/>
        <v>40920.75</v>
      </c>
      <c r="P37" s="138">
        <f t="shared" ca="1" si="57"/>
        <v>40920.75</v>
      </c>
      <c r="Q37" s="138">
        <f t="shared" ca="1" si="57"/>
        <v>46273.5</v>
      </c>
      <c r="R37" s="138">
        <f t="shared" ca="1" si="57"/>
        <v>46273.5</v>
      </c>
      <c r="S37" s="138">
        <f t="shared" ca="1" si="57"/>
        <v>46273.5</v>
      </c>
      <c r="T37" s="138">
        <f t="shared" ca="1" si="57"/>
        <v>46273.5</v>
      </c>
      <c r="U37" s="138">
        <f t="shared" ca="1" si="57"/>
        <v>50982.75</v>
      </c>
      <c r="V37" s="138">
        <f t="shared" ca="1" si="57"/>
        <v>50982.75</v>
      </c>
      <c r="W37" s="138">
        <f t="shared" ca="1" si="57"/>
        <v>50982.75</v>
      </c>
      <c r="X37" s="138">
        <f t="shared" ca="1" si="57"/>
        <v>50982.75</v>
      </c>
      <c r="Y37" s="138">
        <f t="shared" ca="1" si="57"/>
        <v>51421.5</v>
      </c>
      <c r="Z37" s="138">
        <f t="shared" ca="1" si="57"/>
        <v>51421.5</v>
      </c>
      <c r="AA37" s="138">
        <f t="shared" ca="1" si="57"/>
        <v>51421.5</v>
      </c>
      <c r="AB37" s="138">
        <f t="shared" ca="1" si="57"/>
        <v>51421.5</v>
      </c>
      <c r="AC37" s="138">
        <f t="shared" ca="1" si="57"/>
        <v>52182</v>
      </c>
      <c r="AD37" s="138">
        <f t="shared" ca="1" si="57"/>
        <v>52182</v>
      </c>
      <c r="AE37" s="138">
        <f t="shared" ca="1" si="57"/>
        <v>52182</v>
      </c>
      <c r="AF37" s="138">
        <f t="shared" ca="1" si="57"/>
        <v>52182</v>
      </c>
      <c r="AG37" s="138">
        <f t="shared" ca="1" si="57"/>
        <v>52123.5</v>
      </c>
      <c r="AH37" s="138">
        <f t="shared" ca="1" si="57"/>
        <v>52123.5</v>
      </c>
      <c r="AI37" s="138">
        <f t="shared" ca="1" si="57"/>
        <v>52123.5</v>
      </c>
      <c r="AJ37" s="138">
        <f t="shared" ca="1" si="57"/>
        <v>52123.5</v>
      </c>
      <c r="AK37" s="138">
        <f t="shared" ca="1" si="57"/>
        <v>52094.25</v>
      </c>
      <c r="AL37" s="138">
        <f t="shared" ca="1" si="57"/>
        <v>52094.25</v>
      </c>
      <c r="AM37" s="138">
        <f t="shared" ca="1" si="57"/>
        <v>52094.25</v>
      </c>
      <c r="AN37" s="138">
        <f t="shared" ca="1" si="57"/>
        <v>52094.25</v>
      </c>
      <c r="AO37" s="138">
        <f t="shared" ca="1" si="57"/>
        <v>51977.25</v>
      </c>
      <c r="AP37" s="138">
        <f t="shared" ca="1" si="57"/>
        <v>51977.25</v>
      </c>
      <c r="AQ37" s="138">
        <f t="shared" ca="1" si="57"/>
        <v>51977.25</v>
      </c>
      <c r="AR37" s="138">
        <f t="shared" ca="1" si="57"/>
        <v>51977.25</v>
      </c>
      <c r="AS37" s="138">
        <f t="shared" ca="1" si="57"/>
        <v>52065</v>
      </c>
      <c r="AT37" s="138">
        <f t="shared" ca="1" si="57"/>
        <v>52065</v>
      </c>
      <c r="AU37" s="138">
        <f t="shared" ca="1" si="57"/>
        <v>52065</v>
      </c>
      <c r="AV37" s="138">
        <f t="shared" ca="1" si="57"/>
        <v>52065</v>
      </c>
      <c r="AW37" s="94"/>
      <c r="AX37" s="169"/>
    </row>
    <row r="38" spans="1:50" x14ac:dyDescent="0.2">
      <c r="A38" s="344" t="s">
        <v>2319</v>
      </c>
      <c r="C38" s="124" t="s">
        <v>2320</v>
      </c>
      <c r="F38" s="57" t="s">
        <v>753</v>
      </c>
      <c r="G38" s="143">
        <f>SUM(G33:G37)</f>
        <v>3499087.1875</v>
      </c>
      <c r="H38" s="143">
        <f t="shared" ref="H38:AV38" si="59">SUM(H33:H37)</f>
        <v>3499087.1875</v>
      </c>
      <c r="I38" s="143">
        <f t="shared" ca="1" si="59"/>
        <v>3916905.5625</v>
      </c>
      <c r="J38" s="143">
        <f t="shared" ca="1" si="59"/>
        <v>3916905.5625</v>
      </c>
      <c r="K38" s="143">
        <f t="shared" ca="1" si="59"/>
        <v>3916905.5625</v>
      </c>
      <c r="L38" s="143">
        <f t="shared" ca="1" si="59"/>
        <v>3916905.5625</v>
      </c>
      <c r="M38" s="143">
        <f t="shared" ca="1" si="59"/>
        <v>4242125.5</v>
      </c>
      <c r="N38" s="143">
        <f t="shared" ca="1" si="59"/>
        <v>4242125.5</v>
      </c>
      <c r="O38" s="143">
        <f t="shared" ca="1" si="59"/>
        <v>4242125.5</v>
      </c>
      <c r="P38" s="143">
        <f t="shared" ca="1" si="59"/>
        <v>4242125.5</v>
      </c>
      <c r="Q38" s="143">
        <f t="shared" ca="1" si="59"/>
        <v>4591810.125</v>
      </c>
      <c r="R38" s="143">
        <f t="shared" ca="1" si="59"/>
        <v>4591810.125</v>
      </c>
      <c r="S38" s="143">
        <f t="shared" ca="1" si="59"/>
        <v>4591810.125</v>
      </c>
      <c r="T38" s="143">
        <f t="shared" ca="1" si="59"/>
        <v>4591810.125</v>
      </c>
      <c r="U38" s="143">
        <f t="shared" ca="1" si="59"/>
        <v>4805208.125</v>
      </c>
      <c r="V38" s="143">
        <f t="shared" ca="1" si="59"/>
        <v>4805208.125</v>
      </c>
      <c r="W38" s="143">
        <f t="shared" ca="1" si="59"/>
        <v>4805208.125</v>
      </c>
      <c r="X38" s="143">
        <f t="shared" ca="1" si="59"/>
        <v>4805208.125</v>
      </c>
      <c r="Y38" s="143">
        <f t="shared" ca="1" si="59"/>
        <v>4917122.4375</v>
      </c>
      <c r="Z38" s="143">
        <f t="shared" ca="1" si="59"/>
        <v>4917122.4375</v>
      </c>
      <c r="AA38" s="143">
        <f t="shared" ca="1" si="59"/>
        <v>4917122.4375</v>
      </c>
      <c r="AB38" s="143">
        <f t="shared" ca="1" si="59"/>
        <v>4917122.4375</v>
      </c>
      <c r="AC38" s="143">
        <f t="shared" ca="1" si="59"/>
        <v>4998237.6875</v>
      </c>
      <c r="AD38" s="143">
        <f t="shared" ca="1" si="59"/>
        <v>4998237.6875</v>
      </c>
      <c r="AE38" s="143">
        <f t="shared" ca="1" si="59"/>
        <v>4998237.6875</v>
      </c>
      <c r="AF38" s="143">
        <f t="shared" ca="1" si="59"/>
        <v>4998237.6875</v>
      </c>
      <c r="AG38" s="143">
        <f t="shared" ca="1" si="59"/>
        <v>5011191.4375</v>
      </c>
      <c r="AH38" s="143">
        <f t="shared" ca="1" si="59"/>
        <v>5011191.4375</v>
      </c>
      <c r="AI38" s="143">
        <f t="shared" ca="1" si="59"/>
        <v>5011191.4375</v>
      </c>
      <c r="AJ38" s="143">
        <f t="shared" ca="1" si="59"/>
        <v>5011191.4375</v>
      </c>
      <c r="AK38" s="143">
        <f t="shared" ca="1" si="59"/>
        <v>5019762.5</v>
      </c>
      <c r="AL38" s="143">
        <f t="shared" ca="1" si="59"/>
        <v>5019762.5</v>
      </c>
      <c r="AM38" s="143">
        <f t="shared" ca="1" si="59"/>
        <v>5019762.5</v>
      </c>
      <c r="AN38" s="143">
        <f t="shared" ca="1" si="59"/>
        <v>5019762.5</v>
      </c>
      <c r="AO38" s="143">
        <f t="shared" ca="1" si="59"/>
        <v>5033355.8125</v>
      </c>
      <c r="AP38" s="143">
        <f t="shared" ca="1" si="59"/>
        <v>5033355.8125</v>
      </c>
      <c r="AQ38" s="143">
        <f t="shared" ca="1" si="59"/>
        <v>5033355.8125</v>
      </c>
      <c r="AR38" s="143">
        <f t="shared" ca="1" si="59"/>
        <v>5033355.8125</v>
      </c>
      <c r="AS38" s="143">
        <f t="shared" ca="1" si="59"/>
        <v>5188203.5625</v>
      </c>
      <c r="AT38" s="143">
        <f t="shared" ca="1" si="59"/>
        <v>5188203.5625</v>
      </c>
      <c r="AU38" s="143">
        <f t="shared" ca="1" si="59"/>
        <v>5188203.5625</v>
      </c>
      <c r="AV38" s="143">
        <f t="shared" ca="1" si="59"/>
        <v>5188203.5625</v>
      </c>
      <c r="AW38" s="94"/>
      <c r="AX38" s="169"/>
    </row>
    <row r="39" spans="1:50" x14ac:dyDescent="0.2">
      <c r="A39" s="51"/>
      <c r="B39" s="51"/>
      <c r="C39" s="51"/>
      <c r="D39" s="68"/>
      <c r="E39" s="68" t="s">
        <v>2231</v>
      </c>
      <c r="F39" s="68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112"/>
      <c r="AX39" s="149"/>
    </row>
    <row r="42" spans="1:50" s="64" customFormat="1" ht="25.5" customHeight="1" thickBot="1" x14ac:dyDescent="0.25">
      <c r="A42" s="118" t="s">
        <v>2235</v>
      </c>
      <c r="B42" s="119"/>
      <c r="C42" s="120"/>
      <c r="D42" s="121"/>
      <c r="E42" s="121" t="s">
        <v>2233</v>
      </c>
      <c r="F42" s="121"/>
      <c r="G42" s="69" t="str">
        <f ca="1">Параметры!G$34</f>
        <v>4 кв. 2022</v>
      </c>
      <c r="H42" s="140" t="str">
        <f ca="1">Параметры!H$34</f>
        <v>1 кв. 2023</v>
      </c>
      <c r="I42" s="140" t="str">
        <f ca="1">Параметры!I$34</f>
        <v>2 кв. 2023</v>
      </c>
      <c r="J42" s="140" t="str">
        <f ca="1">Параметры!J$34</f>
        <v>3 кв. 2023</v>
      </c>
      <c r="K42" s="140" t="str">
        <f ca="1">Параметры!K$34</f>
        <v>4 кв. 2023</v>
      </c>
      <c r="L42" s="140" t="str">
        <f ca="1">Параметры!L$34</f>
        <v>1 кв. 2024</v>
      </c>
      <c r="M42" s="140" t="str">
        <f ca="1">Параметры!M$34</f>
        <v>2 кв. 2024</v>
      </c>
      <c r="N42" s="140" t="str">
        <f ca="1">Параметры!N$34</f>
        <v>3 кв. 2024</v>
      </c>
      <c r="O42" s="140" t="str">
        <f ca="1">Параметры!O$34</f>
        <v>4 кв. 2024</v>
      </c>
      <c r="P42" s="140" t="str">
        <f ca="1">Параметры!P$34</f>
        <v>1 кв. 2025</v>
      </c>
      <c r="Q42" s="140" t="str">
        <f ca="1">Параметры!Q$34</f>
        <v>2 кв. 2025</v>
      </c>
      <c r="R42" s="140" t="str">
        <f ca="1">Параметры!R$34</f>
        <v>3 кв. 2025</v>
      </c>
      <c r="S42" s="140" t="str">
        <f ca="1">Параметры!S$34</f>
        <v>4 кв. 2025</v>
      </c>
      <c r="T42" s="140" t="str">
        <f ca="1">Параметры!T$34</f>
        <v>1 кв. 2026</v>
      </c>
      <c r="U42" s="140" t="str">
        <f ca="1">Параметры!U$34</f>
        <v>2 кв. 2026</v>
      </c>
      <c r="V42" s="140" t="str">
        <f ca="1">Параметры!V$34</f>
        <v>3 кв. 2026</v>
      </c>
      <c r="W42" s="140" t="str">
        <f ca="1">Параметры!W$34</f>
        <v>4 кв. 2026</v>
      </c>
      <c r="X42" s="140" t="str">
        <f ca="1">Параметры!X$34</f>
        <v>1 кв. 2027</v>
      </c>
      <c r="Y42" s="140" t="str">
        <f ca="1">Параметры!Y$34</f>
        <v>2 кв. 2027</v>
      </c>
      <c r="Z42" s="140" t="str">
        <f ca="1">Параметры!Z$34</f>
        <v>3 кв. 2027</v>
      </c>
      <c r="AA42" s="140" t="str">
        <f ca="1">Параметры!AA$34</f>
        <v>4 кв. 2027</v>
      </c>
      <c r="AB42" s="140" t="str">
        <f ca="1">Параметры!AB$34</f>
        <v>1 кв. 2028</v>
      </c>
      <c r="AC42" s="140" t="str">
        <f ca="1">Параметры!AC$34</f>
        <v>2 кв. 2028</v>
      </c>
      <c r="AD42" s="140" t="str">
        <f ca="1">Параметры!AD$34</f>
        <v>3 кв. 2028</v>
      </c>
      <c r="AE42" s="140" t="str">
        <f ca="1">Параметры!AE$34</f>
        <v>4 кв. 2028</v>
      </c>
      <c r="AF42" s="140" t="str">
        <f ca="1">Параметры!AF$34</f>
        <v>1 кв. 2029</v>
      </c>
      <c r="AG42" s="140" t="str">
        <f ca="1">Параметры!AG$34</f>
        <v>2 кв. 2029</v>
      </c>
      <c r="AH42" s="140" t="str">
        <f ca="1">Параметры!AH$34</f>
        <v>3 кв. 2029</v>
      </c>
      <c r="AI42" s="140" t="str">
        <f ca="1">Параметры!AI$34</f>
        <v>4 кв. 2029</v>
      </c>
      <c r="AJ42" s="140" t="str">
        <f ca="1">Параметры!AJ$34</f>
        <v>1 кв. 2030</v>
      </c>
      <c r="AK42" s="140" t="str">
        <f ca="1">Параметры!AK$34</f>
        <v>2 кв. 2030</v>
      </c>
      <c r="AL42" s="140" t="str">
        <f ca="1">Параметры!AL$34</f>
        <v>3 кв. 2030</v>
      </c>
      <c r="AM42" s="140" t="str">
        <f ca="1">Параметры!AM$34</f>
        <v>4 кв. 2030</v>
      </c>
      <c r="AN42" s="140" t="str">
        <f ca="1">Параметры!AN$34</f>
        <v>1 кв. 2031</v>
      </c>
      <c r="AO42" s="140" t="str">
        <f ca="1">Параметры!AO$34</f>
        <v>2 кв. 2031</v>
      </c>
      <c r="AP42" s="140" t="str">
        <f ca="1">Параметры!AP$34</f>
        <v>3 кв. 2031</v>
      </c>
      <c r="AQ42" s="140" t="str">
        <f ca="1">Параметры!AQ$34</f>
        <v>4 кв. 2031</v>
      </c>
      <c r="AR42" s="140" t="str">
        <f ca="1">Параметры!AR$34</f>
        <v>1 кв. 2032</v>
      </c>
      <c r="AS42" s="140" t="str">
        <f ca="1">Параметры!AS$34</f>
        <v>2 кв. 2032</v>
      </c>
      <c r="AT42" s="140" t="str">
        <f ca="1">Параметры!AT$34</f>
        <v>3 кв. 2032</v>
      </c>
      <c r="AU42" s="140" t="str">
        <f ca="1">Параметры!AU$34</f>
        <v>4 кв. 2032</v>
      </c>
      <c r="AV42" s="140" t="str">
        <f ca="1">Параметры!AV$34</f>
        <v>1 кв. 2033</v>
      </c>
      <c r="AW42" s="140"/>
      <c r="AX42" s="141" t="str">
        <f ca="1">Language!$A$1445</f>
        <v>ИТОГО</v>
      </c>
    </row>
    <row r="43" spans="1:50" ht="13.5" thickTop="1" x14ac:dyDescent="0.2"/>
    <row r="44" spans="1:50" s="98" customFormat="1" x14ac:dyDescent="0.2">
      <c r="A44" s="38" t="s">
        <v>2249</v>
      </c>
      <c r="B44" s="38"/>
      <c r="C44" s="124" t="s">
        <v>2240</v>
      </c>
      <c r="D44" s="57"/>
      <c r="E44" s="57"/>
      <c r="F44" s="57" t="s">
        <v>753</v>
      </c>
      <c r="G44" s="334">
        <v>200</v>
      </c>
      <c r="H44" s="334">
        <v>900</v>
      </c>
      <c r="I44" s="334">
        <v>1800</v>
      </c>
      <c r="J44" s="334">
        <v>2500</v>
      </c>
      <c r="K44" s="334">
        <v>3000</v>
      </c>
      <c r="L44" s="334">
        <v>3500</v>
      </c>
      <c r="M44" s="334">
        <v>4000</v>
      </c>
      <c r="N44" s="334">
        <v>4500</v>
      </c>
      <c r="O44" s="334">
        <v>5000</v>
      </c>
      <c r="P44" s="334">
        <v>5500</v>
      </c>
      <c r="Q44" s="334">
        <f>P44</f>
        <v>5500</v>
      </c>
      <c r="R44" s="334">
        <f t="shared" ref="R44:AV44" si="60">Q44</f>
        <v>5500</v>
      </c>
      <c r="S44" s="334">
        <f t="shared" si="60"/>
        <v>5500</v>
      </c>
      <c r="T44" s="334">
        <f t="shared" si="60"/>
        <v>5500</v>
      </c>
      <c r="U44" s="334">
        <f t="shared" si="60"/>
        <v>5500</v>
      </c>
      <c r="V44" s="334">
        <f t="shared" si="60"/>
        <v>5500</v>
      </c>
      <c r="W44" s="334">
        <f t="shared" si="60"/>
        <v>5500</v>
      </c>
      <c r="X44" s="334">
        <f t="shared" si="60"/>
        <v>5500</v>
      </c>
      <c r="Y44" s="334">
        <f t="shared" si="60"/>
        <v>5500</v>
      </c>
      <c r="Z44" s="334">
        <f t="shared" si="60"/>
        <v>5500</v>
      </c>
      <c r="AA44" s="334">
        <f t="shared" si="60"/>
        <v>5500</v>
      </c>
      <c r="AB44" s="334">
        <f t="shared" si="60"/>
        <v>5500</v>
      </c>
      <c r="AC44" s="334">
        <f t="shared" si="60"/>
        <v>5500</v>
      </c>
      <c r="AD44" s="334">
        <f t="shared" si="60"/>
        <v>5500</v>
      </c>
      <c r="AE44" s="334">
        <f t="shared" si="60"/>
        <v>5500</v>
      </c>
      <c r="AF44" s="334">
        <f t="shared" si="60"/>
        <v>5500</v>
      </c>
      <c r="AG44" s="334">
        <f t="shared" si="60"/>
        <v>5500</v>
      </c>
      <c r="AH44" s="334">
        <f t="shared" si="60"/>
        <v>5500</v>
      </c>
      <c r="AI44" s="334">
        <f t="shared" si="60"/>
        <v>5500</v>
      </c>
      <c r="AJ44" s="334">
        <f t="shared" si="60"/>
        <v>5500</v>
      </c>
      <c r="AK44" s="334">
        <f t="shared" si="60"/>
        <v>5500</v>
      </c>
      <c r="AL44" s="334">
        <f t="shared" si="60"/>
        <v>5500</v>
      </c>
      <c r="AM44" s="334">
        <f t="shared" si="60"/>
        <v>5500</v>
      </c>
      <c r="AN44" s="334">
        <f t="shared" si="60"/>
        <v>5500</v>
      </c>
      <c r="AO44" s="334">
        <f t="shared" si="60"/>
        <v>5500</v>
      </c>
      <c r="AP44" s="334">
        <f t="shared" si="60"/>
        <v>5500</v>
      </c>
      <c r="AQ44" s="334">
        <f t="shared" si="60"/>
        <v>5500</v>
      </c>
      <c r="AR44" s="334">
        <f t="shared" si="60"/>
        <v>5500</v>
      </c>
      <c r="AS44" s="334">
        <f t="shared" si="60"/>
        <v>5500</v>
      </c>
      <c r="AT44" s="334">
        <f t="shared" si="60"/>
        <v>5500</v>
      </c>
      <c r="AU44" s="334">
        <f t="shared" si="60"/>
        <v>5500</v>
      </c>
      <c r="AV44" s="334">
        <f t="shared" si="60"/>
        <v>5500</v>
      </c>
      <c r="AW44" s="94"/>
      <c r="AX44" s="171"/>
    </row>
    <row r="45" spans="1:50" x14ac:dyDescent="0.2">
      <c r="A45" s="38" t="s">
        <v>2250</v>
      </c>
      <c r="B45" s="306">
        <v>0.04</v>
      </c>
      <c r="C45" s="124" t="s">
        <v>2240</v>
      </c>
      <c r="E45" s="100"/>
      <c r="F45" s="57" t="s">
        <v>753</v>
      </c>
      <c r="G45" s="38">
        <f>$B$45*G44</f>
        <v>8</v>
      </c>
      <c r="H45" s="38">
        <f t="shared" ref="H45:AV45" si="61">$B$45*H44</f>
        <v>36</v>
      </c>
      <c r="I45" s="38">
        <f t="shared" si="61"/>
        <v>72</v>
      </c>
      <c r="J45" s="38">
        <f t="shared" si="61"/>
        <v>100</v>
      </c>
      <c r="K45" s="38">
        <f t="shared" si="61"/>
        <v>120</v>
      </c>
      <c r="L45" s="38">
        <f t="shared" si="61"/>
        <v>140</v>
      </c>
      <c r="M45" s="38">
        <f t="shared" si="61"/>
        <v>160</v>
      </c>
      <c r="N45" s="38">
        <f t="shared" si="61"/>
        <v>180</v>
      </c>
      <c r="O45" s="38">
        <f t="shared" si="61"/>
        <v>200</v>
      </c>
      <c r="P45" s="38">
        <f t="shared" si="61"/>
        <v>220</v>
      </c>
      <c r="Q45" s="38">
        <f t="shared" si="61"/>
        <v>220</v>
      </c>
      <c r="R45" s="38">
        <f t="shared" si="61"/>
        <v>220</v>
      </c>
      <c r="S45" s="38">
        <f t="shared" si="61"/>
        <v>220</v>
      </c>
      <c r="T45" s="38">
        <f t="shared" si="61"/>
        <v>220</v>
      </c>
      <c r="U45" s="38">
        <f t="shared" si="61"/>
        <v>220</v>
      </c>
      <c r="V45" s="38">
        <f t="shared" si="61"/>
        <v>220</v>
      </c>
      <c r="W45" s="38">
        <f t="shared" si="61"/>
        <v>220</v>
      </c>
      <c r="X45" s="38">
        <f t="shared" si="61"/>
        <v>220</v>
      </c>
      <c r="Y45" s="38">
        <f t="shared" si="61"/>
        <v>220</v>
      </c>
      <c r="Z45" s="38">
        <f t="shared" si="61"/>
        <v>220</v>
      </c>
      <c r="AA45" s="38">
        <f t="shared" si="61"/>
        <v>220</v>
      </c>
      <c r="AB45" s="38">
        <f t="shared" si="61"/>
        <v>220</v>
      </c>
      <c r="AC45" s="38">
        <f t="shared" si="61"/>
        <v>220</v>
      </c>
      <c r="AD45" s="38">
        <f t="shared" si="61"/>
        <v>220</v>
      </c>
      <c r="AE45" s="38">
        <f t="shared" si="61"/>
        <v>220</v>
      </c>
      <c r="AF45" s="38">
        <f t="shared" si="61"/>
        <v>220</v>
      </c>
      <c r="AG45" s="38">
        <f t="shared" si="61"/>
        <v>220</v>
      </c>
      <c r="AH45" s="38">
        <f t="shared" si="61"/>
        <v>220</v>
      </c>
      <c r="AI45" s="38">
        <f t="shared" si="61"/>
        <v>220</v>
      </c>
      <c r="AJ45" s="38">
        <f t="shared" si="61"/>
        <v>220</v>
      </c>
      <c r="AK45" s="38">
        <f t="shared" si="61"/>
        <v>220</v>
      </c>
      <c r="AL45" s="38">
        <f t="shared" si="61"/>
        <v>220</v>
      </c>
      <c r="AM45" s="38">
        <f t="shared" si="61"/>
        <v>220</v>
      </c>
      <c r="AN45" s="38">
        <f t="shared" si="61"/>
        <v>220</v>
      </c>
      <c r="AO45" s="38">
        <f t="shared" si="61"/>
        <v>220</v>
      </c>
      <c r="AP45" s="38">
        <f t="shared" si="61"/>
        <v>220</v>
      </c>
      <c r="AQ45" s="38">
        <f t="shared" si="61"/>
        <v>220</v>
      </c>
      <c r="AR45" s="38">
        <f t="shared" si="61"/>
        <v>220</v>
      </c>
      <c r="AS45" s="38">
        <f t="shared" si="61"/>
        <v>220</v>
      </c>
      <c r="AT45" s="38">
        <f t="shared" si="61"/>
        <v>220</v>
      </c>
      <c r="AU45" s="38">
        <f t="shared" si="61"/>
        <v>220</v>
      </c>
      <c r="AV45" s="38">
        <f t="shared" si="61"/>
        <v>220</v>
      </c>
      <c r="AW45" s="94"/>
    </row>
    <row r="46" spans="1:50" x14ac:dyDescent="0.2">
      <c r="A46" s="38" t="s">
        <v>2251</v>
      </c>
      <c r="C46" s="124" t="s">
        <v>2240</v>
      </c>
      <c r="E46" s="100"/>
      <c r="F46" s="57" t="s">
        <v>753</v>
      </c>
      <c r="G46" s="38">
        <f>G44-G45</f>
        <v>192</v>
      </c>
      <c r="H46" s="38">
        <f t="shared" ref="H46:AV46" si="62">H44-H45</f>
        <v>864</v>
      </c>
      <c r="I46" s="38">
        <f t="shared" si="62"/>
        <v>1728</v>
      </c>
      <c r="J46" s="38">
        <f t="shared" si="62"/>
        <v>2400</v>
      </c>
      <c r="K46" s="38">
        <f t="shared" si="62"/>
        <v>2880</v>
      </c>
      <c r="L46" s="38">
        <f t="shared" si="62"/>
        <v>3360</v>
      </c>
      <c r="M46" s="38">
        <f t="shared" si="62"/>
        <v>3840</v>
      </c>
      <c r="N46" s="38">
        <f t="shared" si="62"/>
        <v>4320</v>
      </c>
      <c r="O46" s="38">
        <f t="shared" si="62"/>
        <v>4800</v>
      </c>
      <c r="P46" s="38">
        <f t="shared" si="62"/>
        <v>5280</v>
      </c>
      <c r="Q46" s="38">
        <f t="shared" si="62"/>
        <v>5280</v>
      </c>
      <c r="R46" s="38">
        <f t="shared" si="62"/>
        <v>5280</v>
      </c>
      <c r="S46" s="38">
        <f t="shared" si="62"/>
        <v>5280</v>
      </c>
      <c r="T46" s="38">
        <f t="shared" si="62"/>
        <v>5280</v>
      </c>
      <c r="U46" s="38">
        <f t="shared" si="62"/>
        <v>5280</v>
      </c>
      <c r="V46" s="38">
        <f t="shared" si="62"/>
        <v>5280</v>
      </c>
      <c r="W46" s="38">
        <f t="shared" si="62"/>
        <v>5280</v>
      </c>
      <c r="X46" s="38">
        <f t="shared" si="62"/>
        <v>5280</v>
      </c>
      <c r="Y46" s="38">
        <f t="shared" si="62"/>
        <v>5280</v>
      </c>
      <c r="Z46" s="38">
        <f t="shared" si="62"/>
        <v>5280</v>
      </c>
      <c r="AA46" s="38">
        <f t="shared" si="62"/>
        <v>5280</v>
      </c>
      <c r="AB46" s="38">
        <f t="shared" si="62"/>
        <v>5280</v>
      </c>
      <c r="AC46" s="38">
        <f t="shared" si="62"/>
        <v>5280</v>
      </c>
      <c r="AD46" s="38">
        <f t="shared" si="62"/>
        <v>5280</v>
      </c>
      <c r="AE46" s="38">
        <f t="shared" si="62"/>
        <v>5280</v>
      </c>
      <c r="AF46" s="38">
        <f t="shared" si="62"/>
        <v>5280</v>
      </c>
      <c r="AG46" s="38">
        <f t="shared" si="62"/>
        <v>5280</v>
      </c>
      <c r="AH46" s="38">
        <f t="shared" si="62"/>
        <v>5280</v>
      </c>
      <c r="AI46" s="38">
        <f t="shared" si="62"/>
        <v>5280</v>
      </c>
      <c r="AJ46" s="38">
        <f t="shared" si="62"/>
        <v>5280</v>
      </c>
      <c r="AK46" s="38">
        <f t="shared" si="62"/>
        <v>5280</v>
      </c>
      <c r="AL46" s="38">
        <f t="shared" si="62"/>
        <v>5280</v>
      </c>
      <c r="AM46" s="38">
        <f t="shared" si="62"/>
        <v>5280</v>
      </c>
      <c r="AN46" s="38">
        <f t="shared" si="62"/>
        <v>5280</v>
      </c>
      <c r="AO46" s="38">
        <f t="shared" si="62"/>
        <v>5280</v>
      </c>
      <c r="AP46" s="38">
        <f t="shared" si="62"/>
        <v>5280</v>
      </c>
      <c r="AQ46" s="38">
        <f t="shared" si="62"/>
        <v>5280</v>
      </c>
      <c r="AR46" s="38">
        <f t="shared" si="62"/>
        <v>5280</v>
      </c>
      <c r="AS46" s="38">
        <f t="shared" si="62"/>
        <v>5280</v>
      </c>
      <c r="AT46" s="38">
        <f t="shared" si="62"/>
        <v>5280</v>
      </c>
      <c r="AU46" s="38">
        <f t="shared" si="62"/>
        <v>5280</v>
      </c>
      <c r="AV46" s="38">
        <f t="shared" si="62"/>
        <v>5280</v>
      </c>
      <c r="AW46" s="94"/>
    </row>
    <row r="47" spans="1:50" x14ac:dyDescent="0.2">
      <c r="A47" s="333" t="s">
        <v>2252</v>
      </c>
      <c r="B47" s="306">
        <v>0.78</v>
      </c>
      <c r="C47" s="124" t="s">
        <v>2240</v>
      </c>
      <c r="E47" s="100"/>
      <c r="F47" s="57" t="s">
        <v>753</v>
      </c>
      <c r="G47" s="38">
        <f>$B47*G$44</f>
        <v>156</v>
      </c>
      <c r="H47" s="38">
        <f t="shared" ref="H47:AV51" si="63">$B47*H$44</f>
        <v>702</v>
      </c>
      <c r="I47" s="38">
        <f t="shared" si="63"/>
        <v>1404</v>
      </c>
      <c r="J47" s="38">
        <f t="shared" si="63"/>
        <v>1950</v>
      </c>
      <c r="K47" s="38">
        <f t="shared" si="63"/>
        <v>2340</v>
      </c>
      <c r="L47" s="38">
        <f t="shared" si="63"/>
        <v>2730</v>
      </c>
      <c r="M47" s="38">
        <f t="shared" si="63"/>
        <v>3120</v>
      </c>
      <c r="N47" s="38">
        <f t="shared" si="63"/>
        <v>3510</v>
      </c>
      <c r="O47" s="38">
        <f t="shared" si="63"/>
        <v>3900</v>
      </c>
      <c r="P47" s="38">
        <f t="shared" si="63"/>
        <v>4290</v>
      </c>
      <c r="Q47" s="38">
        <f t="shared" si="63"/>
        <v>4290</v>
      </c>
      <c r="R47" s="38">
        <f t="shared" si="63"/>
        <v>4290</v>
      </c>
      <c r="S47" s="38">
        <f t="shared" si="63"/>
        <v>4290</v>
      </c>
      <c r="T47" s="38">
        <f t="shared" si="63"/>
        <v>4290</v>
      </c>
      <c r="U47" s="38">
        <f t="shared" si="63"/>
        <v>4290</v>
      </c>
      <c r="V47" s="38">
        <f t="shared" si="63"/>
        <v>4290</v>
      </c>
      <c r="W47" s="38">
        <f t="shared" si="63"/>
        <v>4290</v>
      </c>
      <c r="X47" s="38">
        <f t="shared" si="63"/>
        <v>4290</v>
      </c>
      <c r="Y47" s="38">
        <f t="shared" si="63"/>
        <v>4290</v>
      </c>
      <c r="Z47" s="38">
        <f t="shared" si="63"/>
        <v>4290</v>
      </c>
      <c r="AA47" s="38">
        <f t="shared" si="63"/>
        <v>4290</v>
      </c>
      <c r="AB47" s="38">
        <f t="shared" si="63"/>
        <v>4290</v>
      </c>
      <c r="AC47" s="38">
        <f t="shared" si="63"/>
        <v>4290</v>
      </c>
      <c r="AD47" s="38">
        <f t="shared" si="63"/>
        <v>4290</v>
      </c>
      <c r="AE47" s="38">
        <f t="shared" si="63"/>
        <v>4290</v>
      </c>
      <c r="AF47" s="38">
        <f t="shared" si="63"/>
        <v>4290</v>
      </c>
      <c r="AG47" s="38">
        <f t="shared" si="63"/>
        <v>4290</v>
      </c>
      <c r="AH47" s="38">
        <f t="shared" si="63"/>
        <v>4290</v>
      </c>
      <c r="AI47" s="38">
        <f t="shared" si="63"/>
        <v>4290</v>
      </c>
      <c r="AJ47" s="38">
        <f t="shared" si="63"/>
        <v>4290</v>
      </c>
      <c r="AK47" s="38">
        <f t="shared" si="63"/>
        <v>4290</v>
      </c>
      <c r="AL47" s="38">
        <f t="shared" si="63"/>
        <v>4290</v>
      </c>
      <c r="AM47" s="38">
        <f t="shared" si="63"/>
        <v>4290</v>
      </c>
      <c r="AN47" s="38">
        <f t="shared" si="63"/>
        <v>4290</v>
      </c>
      <c r="AO47" s="38">
        <f t="shared" si="63"/>
        <v>4290</v>
      </c>
      <c r="AP47" s="38">
        <f t="shared" si="63"/>
        <v>4290</v>
      </c>
      <c r="AQ47" s="38">
        <f t="shared" si="63"/>
        <v>4290</v>
      </c>
      <c r="AR47" s="38">
        <f t="shared" si="63"/>
        <v>4290</v>
      </c>
      <c r="AS47" s="38">
        <f t="shared" si="63"/>
        <v>4290</v>
      </c>
      <c r="AT47" s="38">
        <f t="shared" si="63"/>
        <v>4290</v>
      </c>
      <c r="AU47" s="38">
        <f t="shared" si="63"/>
        <v>4290</v>
      </c>
      <c r="AV47" s="38">
        <f t="shared" si="63"/>
        <v>4290</v>
      </c>
      <c r="AW47" s="94"/>
    </row>
    <row r="48" spans="1:50" x14ac:dyDescent="0.2">
      <c r="A48" s="333" t="s">
        <v>2253</v>
      </c>
      <c r="B48" s="306">
        <v>0.02</v>
      </c>
      <c r="C48" s="124" t="s">
        <v>2240</v>
      </c>
      <c r="E48" s="100"/>
      <c r="F48" s="57" t="s">
        <v>753</v>
      </c>
      <c r="G48" s="38">
        <f t="shared" ref="G48:V51" si="64">$B48*G$44</f>
        <v>4</v>
      </c>
      <c r="H48" s="38">
        <f t="shared" si="64"/>
        <v>18</v>
      </c>
      <c r="I48" s="38">
        <f t="shared" si="64"/>
        <v>36</v>
      </c>
      <c r="J48" s="38">
        <f t="shared" si="64"/>
        <v>50</v>
      </c>
      <c r="K48" s="38">
        <f t="shared" si="64"/>
        <v>60</v>
      </c>
      <c r="L48" s="38">
        <f t="shared" si="64"/>
        <v>70</v>
      </c>
      <c r="M48" s="38">
        <f t="shared" si="64"/>
        <v>80</v>
      </c>
      <c r="N48" s="38">
        <f t="shared" si="64"/>
        <v>90</v>
      </c>
      <c r="O48" s="38">
        <f t="shared" si="64"/>
        <v>100</v>
      </c>
      <c r="P48" s="38">
        <f t="shared" si="64"/>
        <v>110</v>
      </c>
      <c r="Q48" s="38">
        <f t="shared" si="64"/>
        <v>110</v>
      </c>
      <c r="R48" s="38">
        <f t="shared" si="64"/>
        <v>110</v>
      </c>
      <c r="S48" s="38">
        <f t="shared" si="64"/>
        <v>110</v>
      </c>
      <c r="T48" s="38">
        <f t="shared" si="64"/>
        <v>110</v>
      </c>
      <c r="U48" s="38">
        <f t="shared" si="64"/>
        <v>110</v>
      </c>
      <c r="V48" s="38">
        <f t="shared" si="64"/>
        <v>110</v>
      </c>
      <c r="W48" s="38">
        <f t="shared" si="63"/>
        <v>110</v>
      </c>
      <c r="X48" s="38">
        <f t="shared" si="63"/>
        <v>110</v>
      </c>
      <c r="Y48" s="38">
        <f t="shared" si="63"/>
        <v>110</v>
      </c>
      <c r="Z48" s="38">
        <f t="shared" si="63"/>
        <v>110</v>
      </c>
      <c r="AA48" s="38">
        <f t="shared" si="63"/>
        <v>110</v>
      </c>
      <c r="AB48" s="38">
        <f t="shared" si="63"/>
        <v>110</v>
      </c>
      <c r="AC48" s="38">
        <f t="shared" si="63"/>
        <v>110</v>
      </c>
      <c r="AD48" s="38">
        <f t="shared" si="63"/>
        <v>110</v>
      </c>
      <c r="AE48" s="38">
        <f t="shared" si="63"/>
        <v>110</v>
      </c>
      <c r="AF48" s="38">
        <f t="shared" si="63"/>
        <v>110</v>
      </c>
      <c r="AG48" s="38">
        <f t="shared" si="63"/>
        <v>110</v>
      </c>
      <c r="AH48" s="38">
        <f t="shared" si="63"/>
        <v>110</v>
      </c>
      <c r="AI48" s="38">
        <f t="shared" si="63"/>
        <v>110</v>
      </c>
      <c r="AJ48" s="38">
        <f t="shared" si="63"/>
        <v>110</v>
      </c>
      <c r="AK48" s="38">
        <f t="shared" si="63"/>
        <v>110</v>
      </c>
      <c r="AL48" s="38">
        <f t="shared" si="63"/>
        <v>110</v>
      </c>
      <c r="AM48" s="38">
        <f t="shared" si="63"/>
        <v>110</v>
      </c>
      <c r="AN48" s="38">
        <f t="shared" si="63"/>
        <v>110</v>
      </c>
      <c r="AO48" s="38">
        <f t="shared" si="63"/>
        <v>110</v>
      </c>
      <c r="AP48" s="38">
        <f t="shared" si="63"/>
        <v>110</v>
      </c>
      <c r="AQ48" s="38">
        <f t="shared" si="63"/>
        <v>110</v>
      </c>
      <c r="AR48" s="38">
        <f t="shared" si="63"/>
        <v>110</v>
      </c>
      <c r="AS48" s="38">
        <f t="shared" si="63"/>
        <v>110</v>
      </c>
      <c r="AT48" s="38">
        <f t="shared" si="63"/>
        <v>110</v>
      </c>
      <c r="AU48" s="38">
        <f t="shared" si="63"/>
        <v>110</v>
      </c>
      <c r="AV48" s="38">
        <f t="shared" si="63"/>
        <v>110</v>
      </c>
      <c r="AW48" s="94"/>
    </row>
    <row r="49" spans="1:50" x14ac:dyDescent="0.2">
      <c r="A49" s="333" t="s">
        <v>2254</v>
      </c>
      <c r="B49" s="306">
        <v>0.05</v>
      </c>
      <c r="C49" s="124" t="s">
        <v>2240</v>
      </c>
      <c r="E49" s="100"/>
      <c r="F49" s="57" t="s">
        <v>753</v>
      </c>
      <c r="G49" s="38">
        <f t="shared" si="64"/>
        <v>10</v>
      </c>
      <c r="H49" s="38">
        <f t="shared" si="63"/>
        <v>45</v>
      </c>
      <c r="I49" s="38">
        <f t="shared" si="63"/>
        <v>90</v>
      </c>
      <c r="J49" s="38">
        <f t="shared" si="63"/>
        <v>125</v>
      </c>
      <c r="K49" s="38">
        <f t="shared" si="63"/>
        <v>150</v>
      </c>
      <c r="L49" s="38">
        <f t="shared" si="63"/>
        <v>175</v>
      </c>
      <c r="M49" s="38">
        <f t="shared" si="63"/>
        <v>200</v>
      </c>
      <c r="N49" s="38">
        <f t="shared" si="63"/>
        <v>225</v>
      </c>
      <c r="O49" s="38">
        <f t="shared" si="63"/>
        <v>250</v>
      </c>
      <c r="P49" s="38">
        <f t="shared" si="63"/>
        <v>275</v>
      </c>
      <c r="Q49" s="38">
        <f t="shared" si="63"/>
        <v>275</v>
      </c>
      <c r="R49" s="38">
        <f t="shared" si="63"/>
        <v>275</v>
      </c>
      <c r="S49" s="38">
        <f t="shared" si="63"/>
        <v>275</v>
      </c>
      <c r="T49" s="38">
        <f t="shared" si="63"/>
        <v>275</v>
      </c>
      <c r="U49" s="38">
        <f t="shared" si="63"/>
        <v>275</v>
      </c>
      <c r="V49" s="38">
        <f t="shared" si="63"/>
        <v>275</v>
      </c>
      <c r="W49" s="38">
        <f t="shared" si="63"/>
        <v>275</v>
      </c>
      <c r="X49" s="38">
        <f t="shared" si="63"/>
        <v>275</v>
      </c>
      <c r="Y49" s="38">
        <f t="shared" si="63"/>
        <v>275</v>
      </c>
      <c r="Z49" s="38">
        <f t="shared" si="63"/>
        <v>275</v>
      </c>
      <c r="AA49" s="38">
        <f t="shared" si="63"/>
        <v>275</v>
      </c>
      <c r="AB49" s="38">
        <f t="shared" si="63"/>
        <v>275</v>
      </c>
      <c r="AC49" s="38">
        <f t="shared" si="63"/>
        <v>275</v>
      </c>
      <c r="AD49" s="38">
        <f t="shared" si="63"/>
        <v>275</v>
      </c>
      <c r="AE49" s="38">
        <f t="shared" si="63"/>
        <v>275</v>
      </c>
      <c r="AF49" s="38">
        <f t="shared" si="63"/>
        <v>275</v>
      </c>
      <c r="AG49" s="38">
        <f t="shared" si="63"/>
        <v>275</v>
      </c>
      <c r="AH49" s="38">
        <f t="shared" si="63"/>
        <v>275</v>
      </c>
      <c r="AI49" s="38">
        <f t="shared" si="63"/>
        <v>275</v>
      </c>
      <c r="AJ49" s="38">
        <f t="shared" si="63"/>
        <v>275</v>
      </c>
      <c r="AK49" s="38">
        <f t="shared" si="63"/>
        <v>275</v>
      </c>
      <c r="AL49" s="38">
        <f t="shared" si="63"/>
        <v>275</v>
      </c>
      <c r="AM49" s="38">
        <f t="shared" si="63"/>
        <v>275</v>
      </c>
      <c r="AN49" s="38">
        <f t="shared" si="63"/>
        <v>275</v>
      </c>
      <c r="AO49" s="38">
        <f t="shared" si="63"/>
        <v>275</v>
      </c>
      <c r="AP49" s="38">
        <f t="shared" si="63"/>
        <v>275</v>
      </c>
      <c r="AQ49" s="38">
        <f t="shared" si="63"/>
        <v>275</v>
      </c>
      <c r="AR49" s="38">
        <f t="shared" si="63"/>
        <v>275</v>
      </c>
      <c r="AS49" s="38">
        <f t="shared" si="63"/>
        <v>275</v>
      </c>
      <c r="AT49" s="38">
        <f t="shared" si="63"/>
        <v>275</v>
      </c>
      <c r="AU49" s="38">
        <f t="shared" si="63"/>
        <v>275</v>
      </c>
      <c r="AV49" s="38">
        <f t="shared" si="63"/>
        <v>275</v>
      </c>
      <c r="AW49" s="94"/>
    </row>
    <row r="50" spans="1:50" x14ac:dyDescent="0.2">
      <c r="A50" s="333" t="s">
        <v>2255</v>
      </c>
      <c r="B50" s="306">
        <v>0.1</v>
      </c>
      <c r="C50" s="124" t="s">
        <v>2240</v>
      </c>
      <c r="E50" s="100"/>
      <c r="F50" s="57" t="s">
        <v>753</v>
      </c>
      <c r="G50" s="38">
        <f t="shared" si="64"/>
        <v>20</v>
      </c>
      <c r="H50" s="38">
        <f t="shared" si="63"/>
        <v>90</v>
      </c>
      <c r="I50" s="38">
        <f t="shared" si="63"/>
        <v>180</v>
      </c>
      <c r="J50" s="38">
        <f t="shared" si="63"/>
        <v>250</v>
      </c>
      <c r="K50" s="38">
        <f t="shared" si="63"/>
        <v>300</v>
      </c>
      <c r="L50" s="38">
        <f t="shared" si="63"/>
        <v>350</v>
      </c>
      <c r="M50" s="38">
        <f t="shared" si="63"/>
        <v>400</v>
      </c>
      <c r="N50" s="38">
        <f t="shared" si="63"/>
        <v>450</v>
      </c>
      <c r="O50" s="38">
        <f t="shared" si="63"/>
        <v>500</v>
      </c>
      <c r="P50" s="38">
        <f t="shared" si="63"/>
        <v>550</v>
      </c>
      <c r="Q50" s="38">
        <f t="shared" si="63"/>
        <v>550</v>
      </c>
      <c r="R50" s="38">
        <f t="shared" si="63"/>
        <v>550</v>
      </c>
      <c r="S50" s="38">
        <f t="shared" si="63"/>
        <v>550</v>
      </c>
      <c r="T50" s="38">
        <f t="shared" si="63"/>
        <v>550</v>
      </c>
      <c r="U50" s="38">
        <f t="shared" si="63"/>
        <v>550</v>
      </c>
      <c r="V50" s="38">
        <f t="shared" si="63"/>
        <v>550</v>
      </c>
      <c r="W50" s="38">
        <f t="shared" si="63"/>
        <v>550</v>
      </c>
      <c r="X50" s="38">
        <f t="shared" si="63"/>
        <v>550</v>
      </c>
      <c r="Y50" s="38">
        <f t="shared" si="63"/>
        <v>550</v>
      </c>
      <c r="Z50" s="38">
        <f t="shared" si="63"/>
        <v>550</v>
      </c>
      <c r="AA50" s="38">
        <f t="shared" si="63"/>
        <v>550</v>
      </c>
      <c r="AB50" s="38">
        <f t="shared" si="63"/>
        <v>550</v>
      </c>
      <c r="AC50" s="38">
        <f t="shared" si="63"/>
        <v>550</v>
      </c>
      <c r="AD50" s="38">
        <f t="shared" si="63"/>
        <v>550</v>
      </c>
      <c r="AE50" s="38">
        <f t="shared" si="63"/>
        <v>550</v>
      </c>
      <c r="AF50" s="38">
        <f t="shared" si="63"/>
        <v>550</v>
      </c>
      <c r="AG50" s="38">
        <f t="shared" si="63"/>
        <v>550</v>
      </c>
      <c r="AH50" s="38">
        <f t="shared" si="63"/>
        <v>550</v>
      </c>
      <c r="AI50" s="38">
        <f t="shared" si="63"/>
        <v>550</v>
      </c>
      <c r="AJ50" s="38">
        <f t="shared" si="63"/>
        <v>550</v>
      </c>
      <c r="AK50" s="38">
        <f t="shared" si="63"/>
        <v>550</v>
      </c>
      <c r="AL50" s="38">
        <f t="shared" si="63"/>
        <v>550</v>
      </c>
      <c r="AM50" s="38">
        <f t="shared" si="63"/>
        <v>550</v>
      </c>
      <c r="AN50" s="38">
        <f t="shared" si="63"/>
        <v>550</v>
      </c>
      <c r="AO50" s="38">
        <f t="shared" si="63"/>
        <v>550</v>
      </c>
      <c r="AP50" s="38">
        <f t="shared" si="63"/>
        <v>550</v>
      </c>
      <c r="AQ50" s="38">
        <f t="shared" si="63"/>
        <v>550</v>
      </c>
      <c r="AR50" s="38">
        <f t="shared" si="63"/>
        <v>550</v>
      </c>
      <c r="AS50" s="38">
        <f t="shared" si="63"/>
        <v>550</v>
      </c>
      <c r="AT50" s="38">
        <f t="shared" si="63"/>
        <v>550</v>
      </c>
      <c r="AU50" s="38">
        <f t="shared" si="63"/>
        <v>550</v>
      </c>
      <c r="AV50" s="38">
        <f t="shared" si="63"/>
        <v>550</v>
      </c>
      <c r="AW50" s="94"/>
    </row>
    <row r="51" spans="1:50" x14ac:dyDescent="0.2">
      <c r="A51" s="333" t="s">
        <v>2256</v>
      </c>
      <c r="B51" s="306">
        <v>0.05</v>
      </c>
      <c r="C51" s="124" t="s">
        <v>2240</v>
      </c>
      <c r="E51" s="100"/>
      <c r="F51" s="57" t="s">
        <v>753</v>
      </c>
      <c r="G51" s="38">
        <f t="shared" si="64"/>
        <v>10</v>
      </c>
      <c r="H51" s="38">
        <f t="shared" si="63"/>
        <v>45</v>
      </c>
      <c r="I51" s="38">
        <f t="shared" si="63"/>
        <v>90</v>
      </c>
      <c r="J51" s="38">
        <f t="shared" si="63"/>
        <v>125</v>
      </c>
      <c r="K51" s="38">
        <f t="shared" si="63"/>
        <v>150</v>
      </c>
      <c r="L51" s="38">
        <f t="shared" si="63"/>
        <v>175</v>
      </c>
      <c r="M51" s="38">
        <f t="shared" si="63"/>
        <v>200</v>
      </c>
      <c r="N51" s="38">
        <f t="shared" si="63"/>
        <v>225</v>
      </c>
      <c r="O51" s="38">
        <f t="shared" si="63"/>
        <v>250</v>
      </c>
      <c r="P51" s="38">
        <f t="shared" si="63"/>
        <v>275</v>
      </c>
      <c r="Q51" s="38">
        <f t="shared" si="63"/>
        <v>275</v>
      </c>
      <c r="R51" s="38">
        <f t="shared" si="63"/>
        <v>275</v>
      </c>
      <c r="S51" s="38">
        <f t="shared" si="63"/>
        <v>275</v>
      </c>
      <c r="T51" s="38">
        <f t="shared" si="63"/>
        <v>275</v>
      </c>
      <c r="U51" s="38">
        <f t="shared" si="63"/>
        <v>275</v>
      </c>
      <c r="V51" s="38">
        <f t="shared" si="63"/>
        <v>275</v>
      </c>
      <c r="W51" s="38">
        <f t="shared" si="63"/>
        <v>275</v>
      </c>
      <c r="X51" s="38">
        <f t="shared" si="63"/>
        <v>275</v>
      </c>
      <c r="Y51" s="38">
        <f t="shared" si="63"/>
        <v>275</v>
      </c>
      <c r="Z51" s="38">
        <f t="shared" si="63"/>
        <v>275</v>
      </c>
      <c r="AA51" s="38">
        <f t="shared" si="63"/>
        <v>275</v>
      </c>
      <c r="AB51" s="38">
        <f t="shared" si="63"/>
        <v>275</v>
      </c>
      <c r="AC51" s="38">
        <f t="shared" si="63"/>
        <v>275</v>
      </c>
      <c r="AD51" s="38">
        <f t="shared" si="63"/>
        <v>275</v>
      </c>
      <c r="AE51" s="38">
        <f t="shared" si="63"/>
        <v>275</v>
      </c>
      <c r="AF51" s="38">
        <f t="shared" si="63"/>
        <v>275</v>
      </c>
      <c r="AG51" s="38">
        <f t="shared" si="63"/>
        <v>275</v>
      </c>
      <c r="AH51" s="38">
        <f t="shared" si="63"/>
        <v>275</v>
      </c>
      <c r="AI51" s="38">
        <f t="shared" si="63"/>
        <v>275</v>
      </c>
      <c r="AJ51" s="38">
        <f t="shared" si="63"/>
        <v>275</v>
      </c>
      <c r="AK51" s="38">
        <f t="shared" si="63"/>
        <v>275</v>
      </c>
      <c r="AL51" s="38">
        <f t="shared" si="63"/>
        <v>275</v>
      </c>
      <c r="AM51" s="38">
        <f t="shared" si="63"/>
        <v>275</v>
      </c>
      <c r="AN51" s="38">
        <f t="shared" si="63"/>
        <v>275</v>
      </c>
      <c r="AO51" s="38">
        <f t="shared" si="63"/>
        <v>275</v>
      </c>
      <c r="AP51" s="38">
        <f t="shared" si="63"/>
        <v>275</v>
      </c>
      <c r="AQ51" s="38">
        <f t="shared" si="63"/>
        <v>275</v>
      </c>
      <c r="AR51" s="38">
        <f t="shared" si="63"/>
        <v>275</v>
      </c>
      <c r="AS51" s="38">
        <f t="shared" si="63"/>
        <v>275</v>
      </c>
      <c r="AT51" s="38">
        <f t="shared" si="63"/>
        <v>275</v>
      </c>
      <c r="AU51" s="38">
        <f t="shared" si="63"/>
        <v>275</v>
      </c>
      <c r="AV51" s="38">
        <f t="shared" si="63"/>
        <v>275</v>
      </c>
      <c r="AW51" s="94"/>
    </row>
    <row r="52" spans="1:50" x14ac:dyDescent="0.2">
      <c r="A52" s="51"/>
      <c r="B52" s="51"/>
      <c r="C52" s="51"/>
      <c r="D52" s="68"/>
      <c r="E52" s="68" t="s">
        <v>2234</v>
      </c>
      <c r="F52" s="68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112"/>
      <c r="AX52" s="149"/>
    </row>
    <row r="55" spans="1:50" s="64" customFormat="1" ht="25.5" customHeight="1" thickBot="1" x14ac:dyDescent="0.25">
      <c r="A55" s="118" t="s">
        <v>2236</v>
      </c>
      <c r="B55" s="119"/>
      <c r="C55" s="120"/>
      <c r="D55" s="121"/>
      <c r="E55" s="121" t="s">
        <v>2237</v>
      </c>
      <c r="F55" s="121"/>
      <c r="G55" s="69" t="str">
        <f ca="1">Параметры!G$34</f>
        <v>4 кв. 2022</v>
      </c>
      <c r="H55" s="140" t="str">
        <f ca="1">Параметры!H$34</f>
        <v>1 кв. 2023</v>
      </c>
      <c r="I55" s="140" t="str">
        <f ca="1">Параметры!I$34</f>
        <v>2 кв. 2023</v>
      </c>
      <c r="J55" s="140" t="str">
        <f ca="1">Параметры!J$34</f>
        <v>3 кв. 2023</v>
      </c>
      <c r="K55" s="140" t="str">
        <f ca="1">Параметры!K$34</f>
        <v>4 кв. 2023</v>
      </c>
      <c r="L55" s="140" t="str">
        <f ca="1">Параметры!L$34</f>
        <v>1 кв. 2024</v>
      </c>
      <c r="M55" s="140" t="str">
        <f ca="1">Параметры!M$34</f>
        <v>2 кв. 2024</v>
      </c>
      <c r="N55" s="140" t="str">
        <f ca="1">Параметры!N$34</f>
        <v>3 кв. 2024</v>
      </c>
      <c r="O55" s="140" t="str">
        <f ca="1">Параметры!O$34</f>
        <v>4 кв. 2024</v>
      </c>
      <c r="P55" s="140" t="str">
        <f ca="1">Параметры!P$34</f>
        <v>1 кв. 2025</v>
      </c>
      <c r="Q55" s="140" t="str">
        <f ca="1">Параметры!Q$34</f>
        <v>2 кв. 2025</v>
      </c>
      <c r="R55" s="140" t="str">
        <f ca="1">Параметры!R$34</f>
        <v>3 кв. 2025</v>
      </c>
      <c r="S55" s="140" t="str">
        <f ca="1">Параметры!S$34</f>
        <v>4 кв. 2025</v>
      </c>
      <c r="T55" s="140" t="str">
        <f ca="1">Параметры!T$34</f>
        <v>1 кв. 2026</v>
      </c>
      <c r="U55" s="140" t="str">
        <f ca="1">Параметры!U$34</f>
        <v>2 кв. 2026</v>
      </c>
      <c r="V55" s="140" t="str">
        <f ca="1">Параметры!V$34</f>
        <v>3 кв. 2026</v>
      </c>
      <c r="W55" s="140" t="str">
        <f ca="1">Параметры!W$34</f>
        <v>4 кв. 2026</v>
      </c>
      <c r="X55" s="140" t="str">
        <f ca="1">Параметры!X$34</f>
        <v>1 кв. 2027</v>
      </c>
      <c r="Y55" s="140" t="str">
        <f ca="1">Параметры!Y$34</f>
        <v>2 кв. 2027</v>
      </c>
      <c r="Z55" s="140" t="str">
        <f ca="1">Параметры!Z$34</f>
        <v>3 кв. 2027</v>
      </c>
      <c r="AA55" s="140" t="str">
        <f ca="1">Параметры!AA$34</f>
        <v>4 кв. 2027</v>
      </c>
      <c r="AB55" s="140" t="str">
        <f ca="1">Параметры!AB$34</f>
        <v>1 кв. 2028</v>
      </c>
      <c r="AC55" s="140" t="str">
        <f ca="1">Параметры!AC$34</f>
        <v>2 кв. 2028</v>
      </c>
      <c r="AD55" s="140" t="str">
        <f ca="1">Параметры!AD$34</f>
        <v>3 кв. 2028</v>
      </c>
      <c r="AE55" s="140" t="str">
        <f ca="1">Параметры!AE$34</f>
        <v>4 кв. 2028</v>
      </c>
      <c r="AF55" s="140" t="str">
        <f ca="1">Параметры!AF$34</f>
        <v>1 кв. 2029</v>
      </c>
      <c r="AG55" s="140" t="str">
        <f ca="1">Параметры!AG$34</f>
        <v>2 кв. 2029</v>
      </c>
      <c r="AH55" s="140" t="str">
        <f ca="1">Параметры!AH$34</f>
        <v>3 кв. 2029</v>
      </c>
      <c r="AI55" s="140" t="str">
        <f ca="1">Параметры!AI$34</f>
        <v>4 кв. 2029</v>
      </c>
      <c r="AJ55" s="140" t="str">
        <f ca="1">Параметры!AJ$34</f>
        <v>1 кв. 2030</v>
      </c>
      <c r="AK55" s="140" t="str">
        <f ca="1">Параметры!AK$34</f>
        <v>2 кв. 2030</v>
      </c>
      <c r="AL55" s="140" t="str">
        <f ca="1">Параметры!AL$34</f>
        <v>3 кв. 2030</v>
      </c>
      <c r="AM55" s="140" t="str">
        <f ca="1">Параметры!AM$34</f>
        <v>4 кв. 2030</v>
      </c>
      <c r="AN55" s="140" t="str">
        <f ca="1">Параметры!AN$34</f>
        <v>1 кв. 2031</v>
      </c>
      <c r="AO55" s="140" t="str">
        <f ca="1">Параметры!AO$34</f>
        <v>2 кв. 2031</v>
      </c>
      <c r="AP55" s="140" t="str">
        <f ca="1">Параметры!AP$34</f>
        <v>3 кв. 2031</v>
      </c>
      <c r="AQ55" s="140" t="str">
        <f ca="1">Параметры!AQ$34</f>
        <v>4 кв. 2031</v>
      </c>
      <c r="AR55" s="140" t="str">
        <f ca="1">Параметры!AR$34</f>
        <v>1 кв. 2032</v>
      </c>
      <c r="AS55" s="140" t="str">
        <f ca="1">Параметры!AS$34</f>
        <v>2 кв. 2032</v>
      </c>
      <c r="AT55" s="140" t="str">
        <f ca="1">Параметры!AT$34</f>
        <v>3 кв. 2032</v>
      </c>
      <c r="AU55" s="140" t="str">
        <f ca="1">Параметры!AU$34</f>
        <v>4 кв. 2032</v>
      </c>
      <c r="AV55" s="140" t="str">
        <f ca="1">Параметры!AV$34</f>
        <v>1 кв. 2033</v>
      </c>
      <c r="AW55" s="140"/>
      <c r="AX55" s="141" t="str">
        <f ca="1">Language!$A$1445</f>
        <v>ИТОГО</v>
      </c>
    </row>
    <row r="56" spans="1:50" ht="13.5" thickTop="1" x14ac:dyDescent="0.2"/>
    <row r="57" spans="1:50" s="98" customFormat="1" x14ac:dyDescent="0.2">
      <c r="A57" s="98" t="s">
        <v>2268</v>
      </c>
      <c r="B57" s="38"/>
      <c r="C57" s="124"/>
      <c r="D57" s="57"/>
      <c r="E57" s="57"/>
      <c r="F57" s="57" t="s">
        <v>753</v>
      </c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94"/>
      <c r="AX57" s="171"/>
    </row>
    <row r="58" spans="1:50" x14ac:dyDescent="0.2">
      <c r="A58" s="333" t="s">
        <v>2269</v>
      </c>
      <c r="C58" s="124" t="s">
        <v>2273</v>
      </c>
      <c r="E58" s="100"/>
      <c r="F58" s="57" t="s">
        <v>753</v>
      </c>
      <c r="G58" s="338">
        <v>3141</v>
      </c>
      <c r="K58" s="338">
        <v>2800</v>
      </c>
      <c r="O58" s="338">
        <v>3141</v>
      </c>
      <c r="S58" s="338">
        <v>3141</v>
      </c>
      <c r="W58" s="338">
        <v>3141</v>
      </c>
      <c r="AA58" s="338">
        <v>3141</v>
      </c>
      <c r="AE58" s="338">
        <v>3141</v>
      </c>
      <c r="AI58" s="338">
        <v>3141</v>
      </c>
      <c r="AM58" s="338">
        <v>3141</v>
      </c>
      <c r="AQ58" s="338">
        <v>3141</v>
      </c>
      <c r="AU58" s="338">
        <v>3141</v>
      </c>
      <c r="AW58" s="94"/>
    </row>
    <row r="59" spans="1:50" x14ac:dyDescent="0.2">
      <c r="A59" s="333" t="s">
        <v>2270</v>
      </c>
      <c r="C59" s="124" t="s">
        <v>2274</v>
      </c>
      <c r="E59" s="100"/>
      <c r="F59" s="57" t="s">
        <v>753</v>
      </c>
      <c r="G59" s="339">
        <v>35</v>
      </c>
      <c r="K59" s="339">
        <v>35</v>
      </c>
      <c r="O59" s="339">
        <v>35</v>
      </c>
      <c r="S59" s="339">
        <v>35</v>
      </c>
      <c r="W59" s="339">
        <v>35</v>
      </c>
      <c r="AA59" s="339">
        <v>35</v>
      </c>
      <c r="AE59" s="339">
        <v>35</v>
      </c>
      <c r="AI59" s="339">
        <v>35</v>
      </c>
      <c r="AM59" s="339">
        <v>35</v>
      </c>
      <c r="AQ59" s="339">
        <v>35</v>
      </c>
      <c r="AU59" s="339">
        <v>35</v>
      </c>
      <c r="AW59" s="94"/>
    </row>
    <row r="60" spans="1:50" x14ac:dyDescent="0.2">
      <c r="A60" s="333" t="s">
        <v>2271</v>
      </c>
      <c r="C60" s="124" t="s">
        <v>2275</v>
      </c>
      <c r="E60" s="100"/>
      <c r="F60" s="57" t="s">
        <v>753</v>
      </c>
      <c r="G60" s="138">
        <f>G58*G59</f>
        <v>109935</v>
      </c>
      <c r="K60" s="138">
        <f>K58*K59</f>
        <v>98000</v>
      </c>
      <c r="O60" s="138">
        <f>O58*O59</f>
        <v>109935</v>
      </c>
      <c r="S60" s="138">
        <f>S58*S59</f>
        <v>109935</v>
      </c>
      <c r="W60" s="138">
        <f>W58*W59</f>
        <v>109935</v>
      </c>
      <c r="AA60" s="138">
        <f>AA58*AA59</f>
        <v>109935</v>
      </c>
      <c r="AE60" s="138">
        <f>AE58*AE59</f>
        <v>109935</v>
      </c>
      <c r="AI60" s="138">
        <f>AI58*AI59</f>
        <v>109935</v>
      </c>
      <c r="AM60" s="138">
        <f>AM58*AM59</f>
        <v>109935</v>
      </c>
      <c r="AQ60" s="138">
        <f>AQ58*AQ59</f>
        <v>109935</v>
      </c>
      <c r="AU60" s="138">
        <f>AU58*AU59</f>
        <v>109935</v>
      </c>
      <c r="AW60" s="94"/>
    </row>
    <row r="61" spans="1:50" x14ac:dyDescent="0.2">
      <c r="A61" s="333" t="s">
        <v>2272</v>
      </c>
      <c r="B61" s="322">
        <v>2.8</v>
      </c>
      <c r="C61" s="124" t="s">
        <v>2275</v>
      </c>
      <c r="E61" s="100"/>
      <c r="F61" s="57" t="s">
        <v>753</v>
      </c>
      <c r="G61" s="138">
        <f>K58*$B$61</f>
        <v>7839.9999999999991</v>
      </c>
      <c r="K61" s="138">
        <f>O58*$B$61</f>
        <v>8794.7999999999993</v>
      </c>
      <c r="O61" s="138">
        <f>S58*$B$61</f>
        <v>8794.7999999999993</v>
      </c>
      <c r="S61" s="138">
        <f>W58*$B$61</f>
        <v>8794.7999999999993</v>
      </c>
      <c r="W61" s="138">
        <f>AA58*$B$61</f>
        <v>8794.7999999999993</v>
      </c>
      <c r="AA61" s="138">
        <f>AE58*$B$61</f>
        <v>8794.7999999999993</v>
      </c>
      <c r="AE61" s="138">
        <f>AI58*$B$61</f>
        <v>8794.7999999999993</v>
      </c>
      <c r="AI61" s="138">
        <f>AM58*$B$61</f>
        <v>8794.7999999999993</v>
      </c>
      <c r="AM61" s="138">
        <f>AQ58*$B$61</f>
        <v>8794.7999999999993</v>
      </c>
      <c r="AQ61" s="138">
        <f>AU58*$B$61</f>
        <v>8794.7999999999993</v>
      </c>
      <c r="AU61" s="138">
        <f>AQ61</f>
        <v>8794.7999999999993</v>
      </c>
      <c r="AW61" s="94"/>
    </row>
    <row r="62" spans="1:50" x14ac:dyDescent="0.2">
      <c r="A62" s="333" t="s">
        <v>2276</v>
      </c>
      <c r="C62" s="124" t="s">
        <v>2275</v>
      </c>
      <c r="F62" s="57" t="s">
        <v>753</v>
      </c>
      <c r="G62" s="143">
        <f>G60-G61</f>
        <v>102095</v>
      </c>
      <c r="H62" s="143">
        <f t="shared" ref="H62:AV62" si="65">H60-H61</f>
        <v>0</v>
      </c>
      <c r="I62" s="143">
        <f t="shared" si="65"/>
        <v>0</v>
      </c>
      <c r="J62" s="143">
        <f t="shared" si="65"/>
        <v>0</v>
      </c>
      <c r="K62" s="143">
        <f t="shared" si="65"/>
        <v>89205.2</v>
      </c>
      <c r="L62" s="143">
        <f t="shared" si="65"/>
        <v>0</v>
      </c>
      <c r="M62" s="143">
        <f t="shared" si="65"/>
        <v>0</v>
      </c>
      <c r="N62" s="143">
        <f t="shared" si="65"/>
        <v>0</v>
      </c>
      <c r="O62" s="143">
        <f t="shared" si="65"/>
        <v>101140.2</v>
      </c>
      <c r="P62" s="143">
        <f t="shared" si="65"/>
        <v>0</v>
      </c>
      <c r="Q62" s="143">
        <f t="shared" si="65"/>
        <v>0</v>
      </c>
      <c r="R62" s="143">
        <f t="shared" si="65"/>
        <v>0</v>
      </c>
      <c r="S62" s="143">
        <f t="shared" si="65"/>
        <v>101140.2</v>
      </c>
      <c r="T62" s="143">
        <f t="shared" si="65"/>
        <v>0</v>
      </c>
      <c r="U62" s="143">
        <f t="shared" si="65"/>
        <v>0</v>
      </c>
      <c r="V62" s="143">
        <f t="shared" si="65"/>
        <v>0</v>
      </c>
      <c r="W62" s="143">
        <f t="shared" si="65"/>
        <v>101140.2</v>
      </c>
      <c r="X62" s="143">
        <f t="shared" si="65"/>
        <v>0</v>
      </c>
      <c r="Y62" s="143">
        <f t="shared" si="65"/>
        <v>0</v>
      </c>
      <c r="Z62" s="143">
        <f t="shared" si="65"/>
        <v>0</v>
      </c>
      <c r="AA62" s="143">
        <f t="shared" si="65"/>
        <v>101140.2</v>
      </c>
      <c r="AB62" s="143">
        <f t="shared" si="65"/>
        <v>0</v>
      </c>
      <c r="AC62" s="143">
        <f t="shared" si="65"/>
        <v>0</v>
      </c>
      <c r="AD62" s="143">
        <f t="shared" si="65"/>
        <v>0</v>
      </c>
      <c r="AE62" s="143">
        <f t="shared" si="65"/>
        <v>101140.2</v>
      </c>
      <c r="AF62" s="143">
        <f t="shared" si="65"/>
        <v>0</v>
      </c>
      <c r="AG62" s="143">
        <f t="shared" si="65"/>
        <v>0</v>
      </c>
      <c r="AH62" s="143">
        <f t="shared" si="65"/>
        <v>0</v>
      </c>
      <c r="AI62" s="143">
        <f t="shared" si="65"/>
        <v>101140.2</v>
      </c>
      <c r="AJ62" s="143">
        <f t="shared" si="65"/>
        <v>0</v>
      </c>
      <c r="AK62" s="143">
        <f t="shared" si="65"/>
        <v>0</v>
      </c>
      <c r="AL62" s="143">
        <f t="shared" si="65"/>
        <v>0</v>
      </c>
      <c r="AM62" s="143">
        <f t="shared" si="65"/>
        <v>101140.2</v>
      </c>
      <c r="AN62" s="143">
        <f t="shared" si="65"/>
        <v>0</v>
      </c>
      <c r="AO62" s="143">
        <f t="shared" si="65"/>
        <v>0</v>
      </c>
      <c r="AP62" s="143">
        <f t="shared" si="65"/>
        <v>0</v>
      </c>
      <c r="AQ62" s="143">
        <f t="shared" si="65"/>
        <v>101140.2</v>
      </c>
      <c r="AR62" s="143">
        <f t="shared" si="65"/>
        <v>0</v>
      </c>
      <c r="AS62" s="143">
        <f t="shared" si="65"/>
        <v>0</v>
      </c>
      <c r="AT62" s="143">
        <f t="shared" si="65"/>
        <v>0</v>
      </c>
      <c r="AU62" s="143">
        <f t="shared" si="65"/>
        <v>101140.2</v>
      </c>
      <c r="AV62" s="143">
        <f t="shared" si="65"/>
        <v>0</v>
      </c>
      <c r="AW62" s="94"/>
    </row>
    <row r="63" spans="1:50" x14ac:dyDescent="0.2">
      <c r="AW63" s="94"/>
    </row>
    <row r="64" spans="1:50" s="98" customFormat="1" x14ac:dyDescent="0.2">
      <c r="A64" s="98" t="s">
        <v>2277</v>
      </c>
      <c r="B64" s="38"/>
      <c r="C64" s="124"/>
      <c r="D64" s="57"/>
      <c r="E64" s="57"/>
      <c r="F64" s="57" t="s">
        <v>753</v>
      </c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94"/>
      <c r="AX64" s="171"/>
    </row>
    <row r="65" spans="1:50" x14ac:dyDescent="0.2">
      <c r="A65" s="333" t="s">
        <v>2269</v>
      </c>
      <c r="C65" s="124" t="s">
        <v>2273</v>
      </c>
      <c r="E65" s="100"/>
      <c r="F65" s="57" t="s">
        <v>753</v>
      </c>
      <c r="G65" s="338">
        <v>1025</v>
      </c>
      <c r="K65" s="338">
        <v>2800</v>
      </c>
      <c r="O65" s="338">
        <f>K65</f>
        <v>2800</v>
      </c>
      <c r="S65" s="338">
        <f>O65</f>
        <v>2800</v>
      </c>
      <c r="W65" s="338">
        <f>S65</f>
        <v>2800</v>
      </c>
      <c r="AA65" s="338">
        <f>W65</f>
        <v>2800</v>
      </c>
      <c r="AE65" s="338">
        <f>AA65</f>
        <v>2800</v>
      </c>
      <c r="AI65" s="338">
        <f>AE65</f>
        <v>2800</v>
      </c>
      <c r="AM65" s="338">
        <f>AI65</f>
        <v>2800</v>
      </c>
      <c r="AQ65" s="338">
        <f>AM65</f>
        <v>2800</v>
      </c>
      <c r="AU65" s="338">
        <f>AQ65</f>
        <v>2800</v>
      </c>
      <c r="AW65" s="94"/>
    </row>
    <row r="66" spans="1:50" x14ac:dyDescent="0.2">
      <c r="A66" s="333" t="s">
        <v>2270</v>
      </c>
      <c r="C66" s="124" t="s">
        <v>2274</v>
      </c>
      <c r="E66" s="100"/>
      <c r="F66" s="57" t="s">
        <v>753</v>
      </c>
      <c r="G66" s="339">
        <v>25</v>
      </c>
      <c r="K66" s="339">
        <f>G66</f>
        <v>25</v>
      </c>
      <c r="O66" s="339">
        <f>K66</f>
        <v>25</v>
      </c>
      <c r="S66" s="339">
        <f>O66</f>
        <v>25</v>
      </c>
      <c r="W66" s="339">
        <f>S66</f>
        <v>25</v>
      </c>
      <c r="AA66" s="339">
        <f>W66</f>
        <v>25</v>
      </c>
      <c r="AE66" s="339">
        <f>AA66</f>
        <v>25</v>
      </c>
      <c r="AI66" s="339">
        <f>AE66</f>
        <v>25</v>
      </c>
      <c r="AM66" s="339">
        <f>AI66</f>
        <v>25</v>
      </c>
      <c r="AQ66" s="339">
        <f>AM66</f>
        <v>25</v>
      </c>
      <c r="AU66" s="339">
        <f>AQ66</f>
        <v>25</v>
      </c>
      <c r="AW66" s="94"/>
    </row>
    <row r="67" spans="1:50" x14ac:dyDescent="0.2">
      <c r="A67" s="333" t="s">
        <v>2271</v>
      </c>
      <c r="C67" s="124" t="s">
        <v>2275</v>
      </c>
      <c r="E67" s="100"/>
      <c r="F67" s="57" t="s">
        <v>753</v>
      </c>
      <c r="G67" s="138">
        <f>G65*G66</f>
        <v>25625</v>
      </c>
      <c r="K67" s="138">
        <f>K65*K66</f>
        <v>70000</v>
      </c>
      <c r="O67" s="138">
        <f>O65*O66</f>
        <v>70000</v>
      </c>
      <c r="S67" s="138">
        <f>S65*S66</f>
        <v>70000</v>
      </c>
      <c r="W67" s="138">
        <f>W65*W66</f>
        <v>70000</v>
      </c>
      <c r="AA67" s="138">
        <f>AA65*AA66</f>
        <v>70000</v>
      </c>
      <c r="AE67" s="138">
        <f>AE65*AE66</f>
        <v>70000</v>
      </c>
      <c r="AI67" s="138">
        <f>AI65*AI66</f>
        <v>70000</v>
      </c>
      <c r="AM67" s="138">
        <f>AM65*AM66</f>
        <v>70000</v>
      </c>
      <c r="AQ67" s="138">
        <f>AQ65*AQ66</f>
        <v>70000</v>
      </c>
      <c r="AU67" s="138">
        <f>AU65*AU66</f>
        <v>70000</v>
      </c>
      <c r="AW67" s="94"/>
    </row>
    <row r="68" spans="1:50" x14ac:dyDescent="0.2">
      <c r="A68" s="333" t="s">
        <v>2272</v>
      </c>
      <c r="B68" s="322">
        <v>3</v>
      </c>
      <c r="C68" s="124" t="s">
        <v>2275</v>
      </c>
      <c r="E68" s="100"/>
      <c r="F68" s="57" t="s">
        <v>753</v>
      </c>
      <c r="G68" s="138">
        <f>K65*$B$61</f>
        <v>7839.9999999999991</v>
      </c>
      <c r="K68" s="138">
        <f>O65*$B$61</f>
        <v>7839.9999999999991</v>
      </c>
      <c r="O68" s="138">
        <f>S65*$B$61</f>
        <v>7839.9999999999991</v>
      </c>
      <c r="S68" s="138">
        <f>W65*$B$61</f>
        <v>7839.9999999999991</v>
      </c>
      <c r="W68" s="138">
        <f>AA65*$B$61</f>
        <v>7839.9999999999991</v>
      </c>
      <c r="AA68" s="138">
        <f>AE65*$B$61</f>
        <v>7839.9999999999991</v>
      </c>
      <c r="AE68" s="138">
        <f>AI65*$B$61</f>
        <v>7839.9999999999991</v>
      </c>
      <c r="AI68" s="138">
        <f>AM65*$B$61</f>
        <v>7839.9999999999991</v>
      </c>
      <c r="AM68" s="138">
        <f>AQ65*$B$61</f>
        <v>7839.9999999999991</v>
      </c>
      <c r="AQ68" s="138">
        <f>AU65*$B$61</f>
        <v>7839.9999999999991</v>
      </c>
      <c r="AU68" s="138">
        <f>AQ68</f>
        <v>7839.9999999999991</v>
      </c>
      <c r="AW68" s="94"/>
    </row>
    <row r="69" spans="1:50" x14ac:dyDescent="0.2">
      <c r="A69" s="333" t="s">
        <v>2276</v>
      </c>
      <c r="C69" s="124" t="s">
        <v>2275</v>
      </c>
      <c r="F69" s="57" t="s">
        <v>753</v>
      </c>
      <c r="G69" s="143">
        <f>G67-G68</f>
        <v>17785</v>
      </c>
      <c r="H69" s="143">
        <f t="shared" ref="H69" si="66">H67-H68</f>
        <v>0</v>
      </c>
      <c r="I69" s="143">
        <f t="shared" ref="I69" si="67">I67-I68</f>
        <v>0</v>
      </c>
      <c r="J69" s="143">
        <f t="shared" ref="J69" si="68">J67-J68</f>
        <v>0</v>
      </c>
      <c r="K69" s="143">
        <f t="shared" ref="K69" si="69">K67-K68</f>
        <v>62160</v>
      </c>
      <c r="L69" s="143">
        <f t="shared" ref="L69" si="70">L67-L68</f>
        <v>0</v>
      </c>
      <c r="M69" s="143">
        <f t="shared" ref="M69" si="71">M67-M68</f>
        <v>0</v>
      </c>
      <c r="N69" s="143">
        <f t="shared" ref="N69" si="72">N67-N68</f>
        <v>0</v>
      </c>
      <c r="O69" s="143">
        <f t="shared" ref="O69" si="73">O67-O68</f>
        <v>62160</v>
      </c>
      <c r="P69" s="143">
        <f t="shared" ref="P69" si="74">P67-P68</f>
        <v>0</v>
      </c>
      <c r="Q69" s="143">
        <f t="shared" ref="Q69" si="75">Q67-Q68</f>
        <v>0</v>
      </c>
      <c r="R69" s="143">
        <f t="shared" ref="R69" si="76">R67-R68</f>
        <v>0</v>
      </c>
      <c r="S69" s="143">
        <f t="shared" ref="S69" si="77">S67-S68</f>
        <v>62160</v>
      </c>
      <c r="T69" s="143">
        <f t="shared" ref="T69" si="78">T67-T68</f>
        <v>0</v>
      </c>
      <c r="U69" s="143">
        <f t="shared" ref="U69" si="79">U67-U68</f>
        <v>0</v>
      </c>
      <c r="V69" s="143">
        <f t="shared" ref="V69" si="80">V67-V68</f>
        <v>0</v>
      </c>
      <c r="W69" s="143">
        <f t="shared" ref="W69" si="81">W67-W68</f>
        <v>62160</v>
      </c>
      <c r="X69" s="143">
        <f t="shared" ref="X69" si="82">X67-X68</f>
        <v>0</v>
      </c>
      <c r="Y69" s="143">
        <f t="shared" ref="Y69" si="83">Y67-Y68</f>
        <v>0</v>
      </c>
      <c r="Z69" s="143">
        <f t="shared" ref="Z69" si="84">Z67-Z68</f>
        <v>0</v>
      </c>
      <c r="AA69" s="143">
        <f t="shared" ref="AA69" si="85">AA67-AA68</f>
        <v>62160</v>
      </c>
      <c r="AB69" s="143">
        <f t="shared" ref="AB69" si="86">AB67-AB68</f>
        <v>0</v>
      </c>
      <c r="AC69" s="143">
        <f t="shared" ref="AC69" si="87">AC67-AC68</f>
        <v>0</v>
      </c>
      <c r="AD69" s="143">
        <f t="shared" ref="AD69" si="88">AD67-AD68</f>
        <v>0</v>
      </c>
      <c r="AE69" s="143">
        <f t="shared" ref="AE69" si="89">AE67-AE68</f>
        <v>62160</v>
      </c>
      <c r="AF69" s="143">
        <f t="shared" ref="AF69" si="90">AF67-AF68</f>
        <v>0</v>
      </c>
      <c r="AG69" s="143">
        <f t="shared" ref="AG69" si="91">AG67-AG68</f>
        <v>0</v>
      </c>
      <c r="AH69" s="143">
        <f t="shared" ref="AH69" si="92">AH67-AH68</f>
        <v>0</v>
      </c>
      <c r="AI69" s="143">
        <f t="shared" ref="AI69" si="93">AI67-AI68</f>
        <v>62160</v>
      </c>
      <c r="AJ69" s="143">
        <f t="shared" ref="AJ69" si="94">AJ67-AJ68</f>
        <v>0</v>
      </c>
      <c r="AK69" s="143">
        <f t="shared" ref="AK69" si="95">AK67-AK68</f>
        <v>0</v>
      </c>
      <c r="AL69" s="143">
        <f t="shared" ref="AL69" si="96">AL67-AL68</f>
        <v>0</v>
      </c>
      <c r="AM69" s="143">
        <f t="shared" ref="AM69" si="97">AM67-AM68</f>
        <v>62160</v>
      </c>
      <c r="AN69" s="143">
        <f t="shared" ref="AN69" si="98">AN67-AN68</f>
        <v>0</v>
      </c>
      <c r="AO69" s="143">
        <f t="shared" ref="AO69" si="99">AO67-AO68</f>
        <v>0</v>
      </c>
      <c r="AP69" s="143">
        <f t="shared" ref="AP69" si="100">AP67-AP68</f>
        <v>0</v>
      </c>
      <c r="AQ69" s="143">
        <f t="shared" ref="AQ69" si="101">AQ67-AQ68</f>
        <v>62160</v>
      </c>
      <c r="AR69" s="143">
        <f t="shared" ref="AR69" si="102">AR67-AR68</f>
        <v>0</v>
      </c>
      <c r="AS69" s="143">
        <f t="shared" ref="AS69" si="103">AS67-AS68</f>
        <v>0</v>
      </c>
      <c r="AT69" s="143">
        <f t="shared" ref="AT69" si="104">AT67-AT68</f>
        <v>0</v>
      </c>
      <c r="AU69" s="143">
        <f t="shared" ref="AU69" si="105">AU67-AU68</f>
        <v>62160</v>
      </c>
      <c r="AV69" s="143">
        <f t="shared" ref="AV69" si="106">AV67-AV68</f>
        <v>0</v>
      </c>
      <c r="AW69" s="94"/>
    </row>
    <row r="70" spans="1:50" x14ac:dyDescent="0.2">
      <c r="AW70" s="94"/>
    </row>
    <row r="71" spans="1:50" s="98" customFormat="1" x14ac:dyDescent="0.2">
      <c r="A71" s="98" t="s">
        <v>2278</v>
      </c>
      <c r="B71" s="38"/>
      <c r="C71" s="124"/>
      <c r="D71" s="57"/>
      <c r="E71" s="57"/>
      <c r="F71" s="57" t="s">
        <v>753</v>
      </c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94"/>
      <c r="AX71" s="171"/>
    </row>
    <row r="72" spans="1:50" x14ac:dyDescent="0.2">
      <c r="A72" s="333" t="s">
        <v>2269</v>
      </c>
      <c r="C72" s="124" t="s">
        <v>2273</v>
      </c>
      <c r="E72" s="100"/>
      <c r="F72" s="57" t="s">
        <v>753</v>
      </c>
      <c r="G72" s="338">
        <v>1370</v>
      </c>
      <c r="K72" s="338">
        <v>1711</v>
      </c>
      <c r="O72" s="338">
        <f>K72</f>
        <v>1711</v>
      </c>
      <c r="S72" s="338">
        <f>O72</f>
        <v>1711</v>
      </c>
      <c r="W72" s="338">
        <f>S72</f>
        <v>1711</v>
      </c>
      <c r="AA72" s="338">
        <f>W72</f>
        <v>1711</v>
      </c>
      <c r="AE72" s="338">
        <f>AA72</f>
        <v>1711</v>
      </c>
      <c r="AI72" s="338">
        <f>AE72</f>
        <v>1711</v>
      </c>
      <c r="AM72" s="338">
        <f>AI72</f>
        <v>1711</v>
      </c>
      <c r="AQ72" s="338">
        <f>AM72</f>
        <v>1711</v>
      </c>
      <c r="AU72" s="338">
        <f>AQ72</f>
        <v>1711</v>
      </c>
      <c r="AW72" s="94"/>
    </row>
    <row r="73" spans="1:50" x14ac:dyDescent="0.2">
      <c r="A73" s="333" t="s">
        <v>2270</v>
      </c>
      <c r="C73" s="124" t="s">
        <v>2274</v>
      </c>
      <c r="E73" s="100"/>
      <c r="F73" s="57" t="s">
        <v>753</v>
      </c>
      <c r="G73" s="339">
        <v>32</v>
      </c>
      <c r="K73" s="339">
        <f>G73</f>
        <v>32</v>
      </c>
      <c r="O73" s="339">
        <f>K73</f>
        <v>32</v>
      </c>
      <c r="S73" s="339">
        <f>O73</f>
        <v>32</v>
      </c>
      <c r="W73" s="339">
        <f>S73</f>
        <v>32</v>
      </c>
      <c r="AA73" s="339">
        <f>W73</f>
        <v>32</v>
      </c>
      <c r="AE73" s="339">
        <f>AA73</f>
        <v>32</v>
      </c>
      <c r="AI73" s="339">
        <f>AE73</f>
        <v>32</v>
      </c>
      <c r="AM73" s="339">
        <f>AI73</f>
        <v>32</v>
      </c>
      <c r="AQ73" s="339">
        <f>AM73</f>
        <v>32</v>
      </c>
      <c r="AU73" s="339">
        <f>AQ73</f>
        <v>32</v>
      </c>
      <c r="AW73" s="94"/>
    </row>
    <row r="74" spans="1:50" x14ac:dyDescent="0.2">
      <c r="A74" s="333" t="s">
        <v>2271</v>
      </c>
      <c r="C74" s="124" t="s">
        <v>2275</v>
      </c>
      <c r="E74" s="100"/>
      <c r="F74" s="57" t="s">
        <v>753</v>
      </c>
      <c r="G74" s="138">
        <f>G72*G73</f>
        <v>43840</v>
      </c>
      <c r="K74" s="138">
        <f>K72*K73</f>
        <v>54752</v>
      </c>
      <c r="O74" s="138">
        <f>O72*O73</f>
        <v>54752</v>
      </c>
      <c r="S74" s="138">
        <f>S72*S73</f>
        <v>54752</v>
      </c>
      <c r="W74" s="138">
        <f>W72*W73</f>
        <v>54752</v>
      </c>
      <c r="AA74" s="138">
        <f>AA72*AA73</f>
        <v>54752</v>
      </c>
      <c r="AE74" s="138">
        <f>AE72*AE73</f>
        <v>54752</v>
      </c>
      <c r="AI74" s="138">
        <f>AI72*AI73</f>
        <v>54752</v>
      </c>
      <c r="AM74" s="138">
        <f>AM72*AM73</f>
        <v>54752</v>
      </c>
      <c r="AQ74" s="138">
        <f>AQ72*AQ73</f>
        <v>54752</v>
      </c>
      <c r="AU74" s="138">
        <f>AU72*AU73</f>
        <v>54752</v>
      </c>
      <c r="AW74" s="94"/>
    </row>
    <row r="75" spans="1:50" x14ac:dyDescent="0.2">
      <c r="A75" s="333" t="s">
        <v>2272</v>
      </c>
      <c r="B75" s="322">
        <v>3</v>
      </c>
      <c r="C75" s="124" t="s">
        <v>2275</v>
      </c>
      <c r="E75" s="100"/>
      <c r="F75" s="57" t="s">
        <v>753</v>
      </c>
      <c r="G75" s="138">
        <f>K72*$B$61</f>
        <v>4790.7999999999993</v>
      </c>
      <c r="K75" s="138">
        <f>O72*$B$61</f>
        <v>4790.7999999999993</v>
      </c>
      <c r="O75" s="138">
        <f>S72*$B$61</f>
        <v>4790.7999999999993</v>
      </c>
      <c r="S75" s="138">
        <f>W72*$B$61</f>
        <v>4790.7999999999993</v>
      </c>
      <c r="W75" s="138">
        <f>AA72*$B$61</f>
        <v>4790.7999999999993</v>
      </c>
      <c r="AA75" s="138">
        <f>AE72*$B$61</f>
        <v>4790.7999999999993</v>
      </c>
      <c r="AE75" s="138">
        <f>AI72*$B$61</f>
        <v>4790.7999999999993</v>
      </c>
      <c r="AI75" s="138">
        <f>AM72*$B$61</f>
        <v>4790.7999999999993</v>
      </c>
      <c r="AM75" s="138">
        <f>AQ72*$B$61</f>
        <v>4790.7999999999993</v>
      </c>
      <c r="AQ75" s="138">
        <f>AU72*$B$61</f>
        <v>4790.7999999999993</v>
      </c>
      <c r="AU75" s="138">
        <f>AQ75</f>
        <v>4790.7999999999993</v>
      </c>
      <c r="AW75" s="94"/>
    </row>
    <row r="76" spans="1:50" x14ac:dyDescent="0.2">
      <c r="A76" s="333" t="s">
        <v>2276</v>
      </c>
      <c r="C76" s="124" t="s">
        <v>2275</v>
      </c>
      <c r="F76" s="57" t="s">
        <v>753</v>
      </c>
      <c r="G76" s="143">
        <f>G74-G75</f>
        <v>39049.199999999997</v>
      </c>
      <c r="H76" s="143">
        <f t="shared" ref="H76" si="107">H74-H75</f>
        <v>0</v>
      </c>
      <c r="I76" s="143">
        <f t="shared" ref="I76" si="108">I74-I75</f>
        <v>0</v>
      </c>
      <c r="J76" s="143">
        <f t="shared" ref="J76" si="109">J74-J75</f>
        <v>0</v>
      </c>
      <c r="K76" s="143">
        <f t="shared" ref="K76" si="110">K74-K75</f>
        <v>49961.2</v>
      </c>
      <c r="L76" s="143">
        <f t="shared" ref="L76" si="111">L74-L75</f>
        <v>0</v>
      </c>
      <c r="M76" s="143">
        <f t="shared" ref="M76" si="112">M74-M75</f>
        <v>0</v>
      </c>
      <c r="N76" s="143">
        <f t="shared" ref="N76" si="113">N74-N75</f>
        <v>0</v>
      </c>
      <c r="O76" s="143">
        <f t="shared" ref="O76" si="114">O74-O75</f>
        <v>49961.2</v>
      </c>
      <c r="P76" s="143">
        <f t="shared" ref="P76" si="115">P74-P75</f>
        <v>0</v>
      </c>
      <c r="Q76" s="143">
        <f t="shared" ref="Q76" si="116">Q74-Q75</f>
        <v>0</v>
      </c>
      <c r="R76" s="143">
        <f t="shared" ref="R76" si="117">R74-R75</f>
        <v>0</v>
      </c>
      <c r="S76" s="143">
        <f t="shared" ref="S76" si="118">S74-S75</f>
        <v>49961.2</v>
      </c>
      <c r="T76" s="143">
        <f t="shared" ref="T76" si="119">T74-T75</f>
        <v>0</v>
      </c>
      <c r="U76" s="143">
        <f t="shared" ref="U76" si="120">U74-U75</f>
        <v>0</v>
      </c>
      <c r="V76" s="143">
        <f t="shared" ref="V76" si="121">V74-V75</f>
        <v>0</v>
      </c>
      <c r="W76" s="143">
        <f t="shared" ref="W76" si="122">W74-W75</f>
        <v>49961.2</v>
      </c>
      <c r="X76" s="143">
        <f t="shared" ref="X76" si="123">X74-X75</f>
        <v>0</v>
      </c>
      <c r="Y76" s="143">
        <f t="shared" ref="Y76" si="124">Y74-Y75</f>
        <v>0</v>
      </c>
      <c r="Z76" s="143">
        <f t="shared" ref="Z76" si="125">Z74-Z75</f>
        <v>0</v>
      </c>
      <c r="AA76" s="143">
        <f t="shared" ref="AA76" si="126">AA74-AA75</f>
        <v>49961.2</v>
      </c>
      <c r="AB76" s="143">
        <f t="shared" ref="AB76" si="127">AB74-AB75</f>
        <v>0</v>
      </c>
      <c r="AC76" s="143">
        <f t="shared" ref="AC76" si="128">AC74-AC75</f>
        <v>0</v>
      </c>
      <c r="AD76" s="143">
        <f t="shared" ref="AD76" si="129">AD74-AD75</f>
        <v>0</v>
      </c>
      <c r="AE76" s="143">
        <f t="shared" ref="AE76" si="130">AE74-AE75</f>
        <v>49961.2</v>
      </c>
      <c r="AF76" s="143">
        <f t="shared" ref="AF76" si="131">AF74-AF75</f>
        <v>0</v>
      </c>
      <c r="AG76" s="143">
        <f t="shared" ref="AG76" si="132">AG74-AG75</f>
        <v>0</v>
      </c>
      <c r="AH76" s="143">
        <f t="shared" ref="AH76" si="133">AH74-AH75</f>
        <v>0</v>
      </c>
      <c r="AI76" s="143">
        <f t="shared" ref="AI76" si="134">AI74-AI75</f>
        <v>49961.2</v>
      </c>
      <c r="AJ76" s="143">
        <f t="shared" ref="AJ76" si="135">AJ74-AJ75</f>
        <v>0</v>
      </c>
      <c r="AK76" s="143">
        <f t="shared" ref="AK76" si="136">AK74-AK75</f>
        <v>0</v>
      </c>
      <c r="AL76" s="143">
        <f t="shared" ref="AL76" si="137">AL74-AL75</f>
        <v>0</v>
      </c>
      <c r="AM76" s="143">
        <f t="shared" ref="AM76" si="138">AM74-AM75</f>
        <v>49961.2</v>
      </c>
      <c r="AN76" s="143">
        <f t="shared" ref="AN76" si="139">AN74-AN75</f>
        <v>0</v>
      </c>
      <c r="AO76" s="143">
        <f t="shared" ref="AO76" si="140">AO74-AO75</f>
        <v>0</v>
      </c>
      <c r="AP76" s="143">
        <f t="shared" ref="AP76" si="141">AP74-AP75</f>
        <v>0</v>
      </c>
      <c r="AQ76" s="143">
        <f t="shared" ref="AQ76" si="142">AQ74-AQ75</f>
        <v>49961.2</v>
      </c>
      <c r="AR76" s="143">
        <f t="shared" ref="AR76" si="143">AR74-AR75</f>
        <v>0</v>
      </c>
      <c r="AS76" s="143">
        <f t="shared" ref="AS76" si="144">AS74-AS75</f>
        <v>0</v>
      </c>
      <c r="AT76" s="143">
        <f t="shared" ref="AT76" si="145">AT74-AT75</f>
        <v>0</v>
      </c>
      <c r="AU76" s="143">
        <f t="shared" ref="AU76" si="146">AU74-AU75</f>
        <v>49961.2</v>
      </c>
      <c r="AV76" s="143">
        <f t="shared" ref="AV76" si="147">AV74-AV75</f>
        <v>0</v>
      </c>
      <c r="AW76" s="94"/>
    </row>
    <row r="77" spans="1:50" x14ac:dyDescent="0.2">
      <c r="A77" s="51"/>
      <c r="B77" s="51"/>
      <c r="C77" s="51"/>
      <c r="D77" s="68"/>
      <c r="E77" s="68" t="s">
        <v>2238</v>
      </c>
      <c r="F77" s="68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112"/>
      <c r="AX77" s="149"/>
    </row>
    <row r="80" spans="1:50" s="64" customFormat="1" ht="25.5" customHeight="1" thickBot="1" x14ac:dyDescent="0.25">
      <c r="A80" s="118" t="str">
        <f ca="1">Language!A$576</f>
        <v>ПРОДАЖИ</v>
      </c>
      <c r="B80" s="119"/>
      <c r="C80" s="120"/>
      <c r="D80" s="121"/>
      <c r="E80" s="121" t="s">
        <v>892</v>
      </c>
      <c r="F80" s="121"/>
      <c r="G80" s="69" t="str">
        <f ca="1">Параметры!G$34</f>
        <v>4 кв. 2022</v>
      </c>
      <c r="H80" s="140" t="str">
        <f ca="1">Параметры!H$34</f>
        <v>1 кв. 2023</v>
      </c>
      <c r="I80" s="140" t="str">
        <f ca="1">Параметры!I$34</f>
        <v>2 кв. 2023</v>
      </c>
      <c r="J80" s="140" t="str">
        <f ca="1">Параметры!J$34</f>
        <v>3 кв. 2023</v>
      </c>
      <c r="K80" s="140" t="str">
        <f ca="1">Параметры!K$34</f>
        <v>4 кв. 2023</v>
      </c>
      <c r="L80" s="140" t="str">
        <f ca="1">Параметры!L$34</f>
        <v>1 кв. 2024</v>
      </c>
      <c r="M80" s="140" t="str">
        <f ca="1">Параметры!M$34</f>
        <v>2 кв. 2024</v>
      </c>
      <c r="N80" s="140" t="str">
        <f ca="1">Параметры!N$34</f>
        <v>3 кв. 2024</v>
      </c>
      <c r="O80" s="140" t="str">
        <f ca="1">Параметры!O$34</f>
        <v>4 кв. 2024</v>
      </c>
      <c r="P80" s="140" t="str">
        <f ca="1">Параметры!P$34</f>
        <v>1 кв. 2025</v>
      </c>
      <c r="Q80" s="140" t="str">
        <f ca="1">Параметры!Q$34</f>
        <v>2 кв. 2025</v>
      </c>
      <c r="R80" s="140" t="str">
        <f ca="1">Параметры!R$34</f>
        <v>3 кв. 2025</v>
      </c>
      <c r="S80" s="140" t="str">
        <f ca="1">Параметры!S$34</f>
        <v>4 кв. 2025</v>
      </c>
      <c r="T80" s="140" t="str">
        <f ca="1">Параметры!T$34</f>
        <v>1 кв. 2026</v>
      </c>
      <c r="U80" s="140" t="str">
        <f ca="1">Параметры!U$34</f>
        <v>2 кв. 2026</v>
      </c>
      <c r="V80" s="140" t="str">
        <f ca="1">Параметры!V$34</f>
        <v>3 кв. 2026</v>
      </c>
      <c r="W80" s="140" t="str">
        <f ca="1">Параметры!W$34</f>
        <v>4 кв. 2026</v>
      </c>
      <c r="X80" s="140" t="str">
        <f ca="1">Параметры!X$34</f>
        <v>1 кв. 2027</v>
      </c>
      <c r="Y80" s="140" t="str">
        <f ca="1">Параметры!Y$34</f>
        <v>2 кв. 2027</v>
      </c>
      <c r="Z80" s="140" t="str">
        <f ca="1">Параметры!Z$34</f>
        <v>3 кв. 2027</v>
      </c>
      <c r="AA80" s="140" t="str">
        <f ca="1">Параметры!AA$34</f>
        <v>4 кв. 2027</v>
      </c>
      <c r="AB80" s="140" t="str">
        <f ca="1">Параметры!AB$34</f>
        <v>1 кв. 2028</v>
      </c>
      <c r="AC80" s="140" t="str">
        <f ca="1">Параметры!AC$34</f>
        <v>2 кв. 2028</v>
      </c>
      <c r="AD80" s="140" t="str">
        <f ca="1">Параметры!AD$34</f>
        <v>3 кв. 2028</v>
      </c>
      <c r="AE80" s="140" t="str">
        <f ca="1">Параметры!AE$34</f>
        <v>4 кв. 2028</v>
      </c>
      <c r="AF80" s="140" t="str">
        <f ca="1">Параметры!AF$34</f>
        <v>1 кв. 2029</v>
      </c>
      <c r="AG80" s="140" t="str">
        <f ca="1">Параметры!AG$34</f>
        <v>2 кв. 2029</v>
      </c>
      <c r="AH80" s="140" t="str">
        <f ca="1">Параметры!AH$34</f>
        <v>3 кв. 2029</v>
      </c>
      <c r="AI80" s="140" t="str">
        <f ca="1">Параметры!AI$34</f>
        <v>4 кв. 2029</v>
      </c>
      <c r="AJ80" s="140" t="str">
        <f ca="1">Параметры!AJ$34</f>
        <v>1 кв. 2030</v>
      </c>
      <c r="AK80" s="140" t="str">
        <f ca="1">Параметры!AK$34</f>
        <v>2 кв. 2030</v>
      </c>
      <c r="AL80" s="140" t="str">
        <f ca="1">Параметры!AL$34</f>
        <v>3 кв. 2030</v>
      </c>
      <c r="AM80" s="140" t="str">
        <f ca="1">Параметры!AM$34</f>
        <v>4 кв. 2030</v>
      </c>
      <c r="AN80" s="140" t="str">
        <f ca="1">Параметры!AN$34</f>
        <v>1 кв. 2031</v>
      </c>
      <c r="AO80" s="140" t="str">
        <f ca="1">Параметры!AO$34</f>
        <v>2 кв. 2031</v>
      </c>
      <c r="AP80" s="140" t="str">
        <f ca="1">Параметры!AP$34</f>
        <v>3 кв. 2031</v>
      </c>
      <c r="AQ80" s="140" t="str">
        <f ca="1">Параметры!AQ$34</f>
        <v>4 кв. 2031</v>
      </c>
      <c r="AR80" s="140" t="str">
        <f ca="1">Параметры!AR$34</f>
        <v>1 кв. 2032</v>
      </c>
      <c r="AS80" s="140" t="str">
        <f ca="1">Параметры!AS$34</f>
        <v>2 кв. 2032</v>
      </c>
      <c r="AT80" s="140" t="str">
        <f ca="1">Параметры!AT$34</f>
        <v>3 кв. 2032</v>
      </c>
      <c r="AU80" s="140" t="str">
        <f ca="1">Параметры!AU$34</f>
        <v>4 кв. 2032</v>
      </c>
      <c r="AV80" s="140" t="str">
        <f ca="1">Параметры!AV$34</f>
        <v>1 кв. 2033</v>
      </c>
      <c r="AW80" s="140"/>
      <c r="AX80" s="141" t="str">
        <f ca="1">Language!$A$1445</f>
        <v>ИТОГО</v>
      </c>
    </row>
    <row r="81" spans="1:50" s="98" customFormat="1" ht="13.5" thickTop="1" x14ac:dyDescent="0.2">
      <c r="A81" s="38"/>
      <c r="B81" s="38"/>
      <c r="C81" s="124"/>
      <c r="D81" s="57"/>
      <c r="E81" s="57"/>
      <c r="F81" s="57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94"/>
      <c r="AX81" s="171"/>
    </row>
    <row r="82" spans="1:50" hidden="1" x14ac:dyDescent="0.2">
      <c r="E82" s="100" t="s">
        <v>729</v>
      </c>
      <c r="F82" s="57" t="s">
        <v>2290</v>
      </c>
      <c r="AW82" s="94"/>
    </row>
    <row r="83" spans="1:50" x14ac:dyDescent="0.2">
      <c r="A83" s="317" t="s">
        <v>2257</v>
      </c>
      <c r="B83" s="102"/>
      <c r="C83" s="166"/>
      <c r="D83" s="158">
        <v>1</v>
      </c>
      <c r="F83" s="57" t="s">
        <v>2258</v>
      </c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150"/>
    </row>
    <row r="84" spans="1:50" hidden="1" x14ac:dyDescent="0.2">
      <c r="A84" s="172" t="str">
        <f ca="1">Language!A$594</f>
        <v>коэффициент загрузки</v>
      </c>
      <c r="B84" s="173"/>
      <c r="C84" s="173"/>
      <c r="D84" s="174"/>
      <c r="F84" s="57" t="s">
        <v>756</v>
      </c>
      <c r="G84" s="318">
        <f t="shared" ref="G84:AV84" si="148">IF(G$2&gt;Prj_Invest,1,0)</f>
        <v>1</v>
      </c>
      <c r="H84" s="318">
        <f t="shared" si="148"/>
        <v>1</v>
      </c>
      <c r="I84" s="318">
        <f t="shared" si="148"/>
        <v>1</v>
      </c>
      <c r="J84" s="318">
        <f t="shared" si="148"/>
        <v>1</v>
      </c>
      <c r="K84" s="318">
        <f t="shared" si="148"/>
        <v>1</v>
      </c>
      <c r="L84" s="318">
        <f t="shared" si="148"/>
        <v>1</v>
      </c>
      <c r="M84" s="318">
        <f t="shared" si="148"/>
        <v>1</v>
      </c>
      <c r="N84" s="318">
        <f t="shared" si="148"/>
        <v>1</v>
      </c>
      <c r="O84" s="318">
        <f t="shared" si="148"/>
        <v>1</v>
      </c>
      <c r="P84" s="318">
        <f t="shared" si="148"/>
        <v>1</v>
      </c>
      <c r="Q84" s="318">
        <f t="shared" si="148"/>
        <v>1</v>
      </c>
      <c r="R84" s="318">
        <f t="shared" si="148"/>
        <v>1</v>
      </c>
      <c r="S84" s="318">
        <f t="shared" si="148"/>
        <v>1</v>
      </c>
      <c r="T84" s="318">
        <f t="shared" si="148"/>
        <v>1</v>
      </c>
      <c r="U84" s="318">
        <f t="shared" si="148"/>
        <v>1</v>
      </c>
      <c r="V84" s="318">
        <f t="shared" si="148"/>
        <v>1</v>
      </c>
      <c r="W84" s="318">
        <f t="shared" si="148"/>
        <v>1</v>
      </c>
      <c r="X84" s="318">
        <f t="shared" si="148"/>
        <v>1</v>
      </c>
      <c r="Y84" s="318">
        <f t="shared" si="148"/>
        <v>1</v>
      </c>
      <c r="Z84" s="318">
        <f t="shared" si="148"/>
        <v>1</v>
      </c>
      <c r="AA84" s="318">
        <f t="shared" si="148"/>
        <v>1</v>
      </c>
      <c r="AB84" s="318">
        <f t="shared" si="148"/>
        <v>1</v>
      </c>
      <c r="AC84" s="318">
        <f t="shared" si="148"/>
        <v>1</v>
      </c>
      <c r="AD84" s="318">
        <f t="shared" si="148"/>
        <v>1</v>
      </c>
      <c r="AE84" s="318">
        <f t="shared" si="148"/>
        <v>1</v>
      </c>
      <c r="AF84" s="318">
        <f t="shared" si="148"/>
        <v>1</v>
      </c>
      <c r="AG84" s="318">
        <f t="shared" si="148"/>
        <v>1</v>
      </c>
      <c r="AH84" s="318">
        <f t="shared" si="148"/>
        <v>1</v>
      </c>
      <c r="AI84" s="318">
        <f t="shared" si="148"/>
        <v>1</v>
      </c>
      <c r="AJ84" s="318">
        <f t="shared" si="148"/>
        <v>1</v>
      </c>
      <c r="AK84" s="318">
        <f t="shared" si="148"/>
        <v>1</v>
      </c>
      <c r="AL84" s="318">
        <f t="shared" si="148"/>
        <v>1</v>
      </c>
      <c r="AM84" s="318">
        <f t="shared" si="148"/>
        <v>1</v>
      </c>
      <c r="AN84" s="318">
        <f t="shared" si="148"/>
        <v>1</v>
      </c>
      <c r="AO84" s="318">
        <f t="shared" si="148"/>
        <v>1</v>
      </c>
      <c r="AP84" s="318">
        <f t="shared" si="148"/>
        <v>1</v>
      </c>
      <c r="AQ84" s="318">
        <f t="shared" si="148"/>
        <v>1</v>
      </c>
      <c r="AR84" s="318">
        <f t="shared" si="148"/>
        <v>1</v>
      </c>
      <c r="AS84" s="318">
        <f t="shared" si="148"/>
        <v>1</v>
      </c>
      <c r="AT84" s="318">
        <f t="shared" si="148"/>
        <v>1</v>
      </c>
      <c r="AU84" s="318">
        <f t="shared" si="148"/>
        <v>1</v>
      </c>
      <c r="AV84" s="318">
        <f t="shared" si="148"/>
        <v>1</v>
      </c>
      <c r="AW84" s="175"/>
      <c r="AX84" s="117"/>
    </row>
    <row r="85" spans="1:50" x14ac:dyDescent="0.2">
      <c r="A85" s="172" t="str">
        <f ca="1">Language!A$595</f>
        <v>объем продаж за период</v>
      </c>
      <c r="B85" s="337"/>
      <c r="C85" s="313" t="s">
        <v>2259</v>
      </c>
      <c r="D85" s="174"/>
      <c r="E85" s="57" t="s">
        <v>950</v>
      </c>
      <c r="F85" s="57" t="s">
        <v>753</v>
      </c>
      <c r="G85" s="311">
        <f t="shared" ref="G85:AV85" si="149">G10</f>
        <v>4714.3205799999996</v>
      </c>
      <c r="H85" s="311">
        <f t="shared" si="149"/>
        <v>4014.3205799999996</v>
      </c>
      <c r="I85" s="311">
        <f t="shared" si="149"/>
        <v>3510.2112599999991</v>
      </c>
      <c r="J85" s="311">
        <f t="shared" si="149"/>
        <v>2810.2112599999991</v>
      </c>
      <c r="K85" s="311">
        <f t="shared" si="149"/>
        <v>2310.2112599999991</v>
      </c>
      <c r="L85" s="311">
        <f t="shared" si="149"/>
        <v>1810.2112599999991</v>
      </c>
      <c r="M85" s="311">
        <f t="shared" si="149"/>
        <v>1605.0684800000008</v>
      </c>
      <c r="N85" s="311">
        <f t="shared" si="149"/>
        <v>1105.0684800000008</v>
      </c>
      <c r="O85" s="311">
        <f t="shared" si="149"/>
        <v>605.06848000000082</v>
      </c>
      <c r="P85" s="311">
        <f t="shared" si="149"/>
        <v>105.06848000000082</v>
      </c>
      <c r="Q85" s="311">
        <f t="shared" si="149"/>
        <v>764.51251999999931</v>
      </c>
      <c r="R85" s="311">
        <f t="shared" si="149"/>
        <v>764.51251999999931</v>
      </c>
      <c r="S85" s="311">
        <f t="shared" si="149"/>
        <v>764.51251999999931</v>
      </c>
      <c r="T85" s="311">
        <f t="shared" si="149"/>
        <v>764.51251999999931</v>
      </c>
      <c r="U85" s="311">
        <f t="shared" si="149"/>
        <v>1077.884</v>
      </c>
      <c r="V85" s="311">
        <f t="shared" si="149"/>
        <v>1077.884</v>
      </c>
      <c r="W85" s="311">
        <f t="shared" si="149"/>
        <v>1077.884</v>
      </c>
      <c r="X85" s="311">
        <f t="shared" si="149"/>
        <v>1077.884</v>
      </c>
      <c r="Y85" s="311">
        <f t="shared" si="149"/>
        <v>1127.075780000001</v>
      </c>
      <c r="Z85" s="311">
        <f t="shared" si="149"/>
        <v>1127.075780000001</v>
      </c>
      <c r="AA85" s="311">
        <f t="shared" si="149"/>
        <v>1127.075780000001</v>
      </c>
      <c r="AB85" s="311">
        <f t="shared" si="149"/>
        <v>1127.075780000001</v>
      </c>
      <c r="AC85" s="311">
        <f t="shared" si="149"/>
        <v>1159.05854</v>
      </c>
      <c r="AD85" s="311">
        <f t="shared" si="149"/>
        <v>1159.05854</v>
      </c>
      <c r="AE85" s="311">
        <f t="shared" si="149"/>
        <v>1159.05854</v>
      </c>
      <c r="AF85" s="311">
        <f t="shared" si="149"/>
        <v>1159.05854</v>
      </c>
      <c r="AG85" s="311">
        <f t="shared" si="149"/>
        <v>1154.3938400000006</v>
      </c>
      <c r="AH85" s="311">
        <f t="shared" si="149"/>
        <v>1154.3938400000006</v>
      </c>
      <c r="AI85" s="311">
        <f t="shared" si="149"/>
        <v>1154.3938400000006</v>
      </c>
      <c r="AJ85" s="311">
        <f t="shared" si="149"/>
        <v>1154.3938400000006</v>
      </c>
      <c r="AK85" s="311">
        <f t="shared" si="149"/>
        <v>1145.064440000001</v>
      </c>
      <c r="AL85" s="311">
        <f t="shared" si="149"/>
        <v>1145.064440000001</v>
      </c>
      <c r="AM85" s="311">
        <f t="shared" si="149"/>
        <v>1145.064440000001</v>
      </c>
      <c r="AN85" s="311">
        <f t="shared" si="149"/>
        <v>1145.064440000001</v>
      </c>
      <c r="AO85" s="311">
        <f t="shared" si="149"/>
        <v>1143.1985599999998</v>
      </c>
      <c r="AP85" s="311">
        <f t="shared" si="149"/>
        <v>1143.1985599999998</v>
      </c>
      <c r="AQ85" s="311">
        <f t="shared" si="149"/>
        <v>1143.1985599999998</v>
      </c>
      <c r="AR85" s="311">
        <f t="shared" si="149"/>
        <v>1143.1985599999998</v>
      </c>
      <c r="AS85" s="311">
        <f t="shared" si="149"/>
        <v>1138.5338600000005</v>
      </c>
      <c r="AT85" s="311">
        <f t="shared" si="149"/>
        <v>1138.5338600000005</v>
      </c>
      <c r="AU85" s="311">
        <f t="shared" si="149"/>
        <v>1138.5338600000005</v>
      </c>
      <c r="AV85" s="311">
        <f t="shared" si="149"/>
        <v>1138.5338600000005</v>
      </c>
      <c r="AW85" s="148"/>
      <c r="AX85" s="171">
        <f>SUM(G85:AW85)</f>
        <v>57428.646280000015</v>
      </c>
    </row>
    <row r="86" spans="1:50" x14ac:dyDescent="0.2">
      <c r="A86" s="83" t="str">
        <f ca="1">Language!A$596 &amp; C85 &amp; Language!A$1457</f>
        <v>цена за единицу (тн), без НДС</v>
      </c>
      <c r="B86" s="322">
        <v>21.82</v>
      </c>
      <c r="C86" s="146" t="str">
        <f ca="1">CHOOSE(D83,CurName1,CurName2,CurName3)</f>
        <v>тыс. руб.</v>
      </c>
      <c r="E86" s="57" t="s">
        <v>848</v>
      </c>
      <c r="F86" s="57" t="s">
        <v>756</v>
      </c>
      <c r="G86" s="323">
        <f t="shared" ref="G86" ca="1" si="150">IF(G$2=1,$B86,F86)*G97</f>
        <v>21.82</v>
      </c>
      <c r="H86" s="323">
        <f t="shared" ref="H86" ca="1" si="151">IF(H$2=1,$B86,G86)*H97</f>
        <v>22.140183323400148</v>
      </c>
      <c r="I86" s="323">
        <f t="shared" ref="I86" ca="1" si="152">IF(I$2=1,$B86,H86)*I97</f>
        <v>22.465064967633637</v>
      </c>
      <c r="J86" s="323">
        <f t="shared" ref="J86" ca="1" si="153">IF(J$2=1,$B86,I86)*J97</f>
        <v>22.794713875137631</v>
      </c>
      <c r="K86" s="323">
        <f t="shared" ref="K86" ca="1" si="154">IF(K$2=1,$B86,J86)*K97</f>
        <v>23.129200000000004</v>
      </c>
      <c r="L86" s="323">
        <f t="shared" ref="L86" ca="1" si="155">IF(L$2=1,$B86,K86)*L97</f>
        <v>23.468594322804158</v>
      </c>
      <c r="M86" s="323">
        <f t="shared" ref="M86" ca="1" si="156">IF(M$2=1,$B86,L86)*M97</f>
        <v>23.812968865691658</v>
      </c>
      <c r="N86" s="323">
        <f t="shared" ref="N86" ca="1" si="157">IF(N$2=1,$B86,M86)*N97</f>
        <v>24.16239670764589</v>
      </c>
      <c r="O86" s="323">
        <f t="shared" ref="O86" ca="1" si="158">IF(O$2=1,$B86,N86)*O97</f>
        <v>24.516952000000007</v>
      </c>
      <c r="P86" s="323">
        <f t="shared" ref="P86" ca="1" si="159">IF(P$2=1,$B86,O86)*P97</f>
        <v>24.876709982172411</v>
      </c>
      <c r="Q86" s="323">
        <f t="shared" ref="Q86" ca="1" si="160">IF(Q$2=1,$B86,P86)*Q97</f>
        <v>25.241746997633161</v>
      </c>
      <c r="R86" s="323">
        <f t="shared" ref="R86" ca="1" si="161">IF(R$2=1,$B86,Q86)*R97</f>
        <v>25.612140510104648</v>
      </c>
      <c r="S86" s="323">
        <f t="shared" ref="S86" ca="1" si="162">IF(S$2=1,$B86,R86)*S97</f>
        <v>25.98796912000001</v>
      </c>
      <c r="T86" s="323">
        <f t="shared" ref="T86" ca="1" si="163">IF(T$2=1,$B86,S86)*T97</f>
        <v>26.369312581102758</v>
      </c>
      <c r="U86" s="323">
        <f t="shared" ref="U86" ca="1" si="164">IF(U$2=1,$B86,T86)*U97</f>
        <v>26.756251817491151</v>
      </c>
      <c r="V86" s="323">
        <f t="shared" ref="V86" ca="1" si="165">IF(V$2=1,$B86,U86)*V97</f>
        <v>27.148868940710926</v>
      </c>
      <c r="W86" s="323">
        <f t="shared" ref="W86" ca="1" si="166">IF(W$2=1,$B86,V86)*W97</f>
        <v>27.54724726720001</v>
      </c>
      <c r="X86" s="323">
        <f t="shared" ref="X86" ca="1" si="167">IF(X$2=1,$B86,W86)*X97</f>
        <v>27.951471335968922</v>
      </c>
      <c r="Y86" s="323">
        <f t="shared" ref="Y86" ca="1" si="168">IF(Y$2=1,$B86,X86)*Y97</f>
        <v>28.36162692654062</v>
      </c>
      <c r="Z86" s="323">
        <f t="shared" ref="Z86" ca="1" si="169">IF(Z$2=1,$B86,Y86)*Z97</f>
        <v>28.777801077153583</v>
      </c>
      <c r="AA86" s="323">
        <f t="shared" ref="AA86" ca="1" si="170">IF(AA$2=1,$B86,Z86)*AA97</f>
        <v>29.200082103232013</v>
      </c>
      <c r="AB86" s="323">
        <f t="shared" ref="AB86" ca="1" si="171">IF(AB$2=1,$B86,AA86)*AB97</f>
        <v>29.62855961612706</v>
      </c>
      <c r="AC86" s="323">
        <f t="shared" ref="AC86" ca="1" si="172">IF(AC$2=1,$B86,AB86)*AC97</f>
        <v>30.06332454213306</v>
      </c>
      <c r="AD86" s="323">
        <f t="shared" ref="AD86" ca="1" si="173">IF(AD$2=1,$B86,AC86)*AD97</f>
        <v>30.504469141782799</v>
      </c>
      <c r="AE86" s="323">
        <f t="shared" ref="AE86" ca="1" si="174">IF(AE$2=1,$B86,AD86)*AE97</f>
        <v>30.952087029425936</v>
      </c>
      <c r="AF86" s="323">
        <f t="shared" ref="AF86" ca="1" si="175">IF(AF$2=1,$B86,AE86)*AF97</f>
        <v>31.406273193094687</v>
      </c>
      <c r="AG86" s="323">
        <f t="shared" ref="AG86" ca="1" si="176">IF(AG$2=1,$B86,AF86)*AG97</f>
        <v>31.867124014661048</v>
      </c>
      <c r="AH86" s="323">
        <f t="shared" ref="AH86" ca="1" si="177">IF(AH$2=1,$B86,AG86)*AH97</f>
        <v>32.334737290289773</v>
      </c>
      <c r="AI86" s="323">
        <f t="shared" ref="AI86" ca="1" si="178">IF(AI$2=1,$B86,AH86)*AI97</f>
        <v>32.809212251191497</v>
      </c>
      <c r="AJ86" s="323">
        <f t="shared" ref="AJ86" ca="1" si="179">IF(AJ$2=1,$B86,AI86)*AJ97</f>
        <v>33.290649584680374</v>
      </c>
      <c r="AK86" s="323">
        <f t="shared" ref="AK86" ca="1" si="180">IF(AK$2=1,$B86,AJ86)*AK97</f>
        <v>33.779151455540713</v>
      </c>
      <c r="AL86" s="323">
        <f t="shared" ref="AL86" ca="1" si="181">IF(AL$2=1,$B86,AK86)*AL97</f>
        <v>34.274821527707161</v>
      </c>
      <c r="AM86" s="323">
        <f t="shared" ref="AM86" ca="1" si="182">IF(AM$2=1,$B86,AL86)*AM97</f>
        <v>34.777764986262987</v>
      </c>
      <c r="AN86" s="323">
        <f t="shared" ref="AN86" ca="1" si="183">IF(AN$2=1,$B86,AM86)*AN97</f>
        <v>35.288088559761199</v>
      </c>
      <c r="AO86" s="323">
        <f t="shared" ref="AO86" ca="1" si="184">IF(AO$2=1,$B86,AN86)*AO97</f>
        <v>35.805900542873161</v>
      </c>
      <c r="AP86" s="323">
        <f t="shared" ref="AP86" ca="1" si="185">IF(AP$2=1,$B86,AO86)*AP97</f>
        <v>36.331310819369598</v>
      </c>
      <c r="AQ86" s="323">
        <f t="shared" ref="AQ86" ca="1" si="186">IF(AQ$2=1,$B86,AP86)*AQ97</f>
        <v>36.864430885438772</v>
      </c>
      <c r="AR86" s="323">
        <f t="shared" ref="AR86" ca="1" si="187">IF(AR$2=1,$B86,AQ86)*AR97</f>
        <v>37.405373873346875</v>
      </c>
      <c r="AS86" s="323">
        <f t="shared" ref="AS86" ca="1" si="188">IF(AS$2=1,$B86,AR86)*AS97</f>
        <v>37.954254575445553</v>
      </c>
      <c r="AT86" s="323">
        <f t="shared" ref="AT86" ca="1" si="189">IF(AT$2=1,$B86,AS86)*AT97</f>
        <v>38.511189468531775</v>
      </c>
      <c r="AU86" s="323">
        <f t="shared" ref="AU86" ca="1" si="190">IF(AU$2=1,$B86,AT86)*AU97</f>
        <v>39.076296738565105</v>
      </c>
      <c r="AV86" s="323">
        <f t="shared" ref="AV86" ca="1" si="191">IF(AV$2=1,$B86,AU86)*AV97</f>
        <v>39.649696305747696</v>
      </c>
      <c r="AW86" s="148"/>
      <c r="AX86" s="117"/>
    </row>
    <row r="87" spans="1:50" collapsed="1" x14ac:dyDescent="0.2">
      <c r="A87" s="83" t="str">
        <f ca="1">Language!A$597</f>
        <v>выручка от реализации, без НДС</v>
      </c>
      <c r="B87" s="157"/>
      <c r="C87" s="146" t="str">
        <f t="shared" ref="C87" ca="1" si="192">CHOOSE(D87,CurName1,CurName2,CurName3)</f>
        <v>тыс. руб.</v>
      </c>
      <c r="D87" s="155">
        <f>D83</f>
        <v>1</v>
      </c>
      <c r="E87" s="57" t="s">
        <v>992</v>
      </c>
      <c r="F87" s="57" t="s">
        <v>753</v>
      </c>
      <c r="G87" s="176">
        <f t="shared" ref="G87:AV87" ca="1" si="193">G85*G86</f>
        <v>102866.47505559999</v>
      </c>
      <c r="H87" s="176">
        <f t="shared" ca="1" si="193"/>
        <v>88877.793560097998</v>
      </c>
      <c r="I87" s="176">
        <f t="shared" ca="1" si="193"/>
        <v>78857.124006019105</v>
      </c>
      <c r="J87" s="176">
        <f t="shared" ca="1" si="193"/>
        <v>64057.961600389986</v>
      </c>
      <c r="K87" s="176">
        <f t="shared" ca="1" si="193"/>
        <v>53433.33827479199</v>
      </c>
      <c r="L87" s="176">
        <f t="shared" ca="1" si="193"/>
        <v>42483.113699512141</v>
      </c>
      <c r="M87" s="176">
        <f t="shared" ca="1" si="193"/>
        <v>38221.445741543052</v>
      </c>
      <c r="N87" s="176">
        <f t="shared" ca="1" si="193"/>
        <v>26701.103002875268</v>
      </c>
      <c r="O87" s="176">
        <f t="shared" ca="1" si="193"/>
        <v>14834.434880872985</v>
      </c>
      <c r="P87" s="176">
        <f t="shared" ca="1" si="193"/>
        <v>2613.7581052277028</v>
      </c>
      <c r="Q87" s="176">
        <f t="shared" ca="1" si="193"/>
        <v>19297.631606362946</v>
      </c>
      <c r="R87" s="176">
        <f t="shared" ca="1" si="193"/>
        <v>19580.802083974173</v>
      </c>
      <c r="S87" s="176">
        <f t="shared" ca="1" si="193"/>
        <v>19868.12776161337</v>
      </c>
      <c r="T87" s="176">
        <f t="shared" ca="1" si="193"/>
        <v>20159.669612046557</v>
      </c>
      <c r="U87" s="176">
        <f t="shared" ca="1" si="193"/>
        <v>28840.135734044634</v>
      </c>
      <c r="V87" s="176">
        <f t="shared" ca="1" si="193"/>
        <v>29263.331449289257</v>
      </c>
      <c r="W87" s="176">
        <f t="shared" ca="1" si="193"/>
        <v>29692.737073358618</v>
      </c>
      <c r="X87" s="176">
        <f t="shared" ca="1" si="193"/>
        <v>30128.443729499526</v>
      </c>
      <c r="Y87" s="176">
        <f t="shared" ca="1" si="193"/>
        <v>31965.702790299802</v>
      </c>
      <c r="Z87" s="176">
        <f t="shared" ca="1" si="193"/>
        <v>32434.762595717744</v>
      </c>
      <c r="AA87" s="176">
        <f t="shared" ca="1" si="193"/>
        <v>32910.705312564292</v>
      </c>
      <c r="AB87" s="176">
        <f t="shared" ca="1" si="193"/>
        <v>33393.631939622937</v>
      </c>
      <c r="AC87" s="176">
        <f t="shared" ca="1" si="193"/>
        <v>34845.153051350913</v>
      </c>
      <c r="AD87" s="176">
        <f t="shared" ca="1" si="193"/>
        <v>35356.465466949827</v>
      </c>
      <c r="AE87" s="176">
        <f t="shared" ca="1" si="193"/>
        <v>35875.280802279362</v>
      </c>
      <c r="AF87" s="176">
        <f t="shared" ca="1" si="193"/>
        <v>36401.709154029464</v>
      </c>
      <c r="AG87" s="176">
        <f t="shared" ca="1" si="193"/>
        <v>36787.211661040805</v>
      </c>
      <c r="AH87" s="176">
        <f t="shared" ca="1" si="193"/>
        <v>37327.02154592883</v>
      </c>
      <c r="AI87" s="176">
        <f t="shared" ca="1" si="193"/>
        <v>37874.752518028014</v>
      </c>
      <c r="AJ87" s="176">
        <f t="shared" ca="1" si="193"/>
        <v>38430.520810153605</v>
      </c>
      <c r="AK87" s="176">
        <f t="shared" ca="1" si="193"/>
        <v>38679.305145113947</v>
      </c>
      <c r="AL87" s="176">
        <f t="shared" ca="1" si="193"/>
        <v>39246.879318723979</v>
      </c>
      <c r="AM87" s="176">
        <f t="shared" ca="1" si="193"/>
        <v>39822.78198844687</v>
      </c>
      <c r="AN87" s="176">
        <f t="shared" ca="1" si="193"/>
        <v>40407.135365353402</v>
      </c>
      <c r="AO87" s="176">
        <f t="shared" ca="1" si="193"/>
        <v>40933.253940115806</v>
      </c>
      <c r="AP87" s="176">
        <f t="shared" ca="1" si="193"/>
        <v>41533.902211615736</v>
      </c>
      <c r="AQ87" s="176">
        <f t="shared" ca="1" si="193"/>
        <v>42143.36430345312</v>
      </c>
      <c r="AR87" s="176">
        <f t="shared" ca="1" si="193"/>
        <v>42761.769548271761</v>
      </c>
      <c r="AS87" s="176">
        <f t="shared" ca="1" si="193"/>
        <v>43212.203965204702</v>
      </c>
      <c r="AT87" s="176">
        <f t="shared" ca="1" si="193"/>
        <v>43846.293198798849</v>
      </c>
      <c r="AU87" s="176">
        <f t="shared" ca="1" si="193"/>
        <v>44489.686960263956</v>
      </c>
      <c r="AV87" s="176">
        <f t="shared" ca="1" si="193"/>
        <v>45142.521782810683</v>
      </c>
      <c r="AW87" s="177"/>
      <c r="AX87" s="178">
        <f ca="1">SUM(G87:AW87)</f>
        <v>1635599.4423532579</v>
      </c>
    </row>
    <row r="88" spans="1:50" hidden="1" outlineLevel="1" x14ac:dyDescent="0.2">
      <c r="A88" s="179" t="str">
        <f ca="1">Language!A$598</f>
        <v>дебиторская задолженность</v>
      </c>
      <c r="B88" s="82"/>
      <c r="C88" s="82" t="str">
        <f ca="1">CHOOSE(D88,CurName1,CurName2,CurName3)</f>
        <v>тыс. руб.</v>
      </c>
      <c r="D88" s="155">
        <f>D83</f>
        <v>1</v>
      </c>
      <c r="E88" s="57" t="s">
        <v>994</v>
      </c>
      <c r="F88" s="57" t="s">
        <v>754</v>
      </c>
      <c r="G88" s="319">
        <f ca="1">IF(AND($B89=0,G$2&gt;1),F88,(G87+G98+G99)*$B89/Параметры!G$30)</f>
        <v>41489.478272425331</v>
      </c>
      <c r="H88" s="319">
        <f ca="1">IF(AND($B89=0,H$2&gt;1),G88,(H87+H98+H99)*$B89/Параметры!H$30)</f>
        <v>35847.376735906197</v>
      </c>
      <c r="I88" s="319">
        <f ca="1">IF(AND($B89=0,I$2&gt;1),H88,(I87+I98+I99)*$B89/Параметры!I$30)</f>
        <v>31805.70668242771</v>
      </c>
      <c r="J88" s="319">
        <f ca="1">IF(AND($B89=0,J$2&gt;1),I88,(J87+J98+J99)*$B89/Параметры!J$30)</f>
        <v>25836.71117882396</v>
      </c>
      <c r="K88" s="319">
        <f ca="1">IF(AND($B89=0,K$2&gt;1),J88,(K87+K98+K99)*$B89/Параметры!K$30)</f>
        <v>21551.446437499435</v>
      </c>
      <c r="L88" s="319">
        <f ca="1">IF(AND($B89=0,L$2&gt;1),K88,(L87+L98+L99)*$B89/Параметры!L$30)</f>
        <v>17134.855858803228</v>
      </c>
      <c r="M88" s="319">
        <f ca="1">IF(AND($B89=0,M$2&gt;1),L88,(M87+M98+M99)*$B89/Параметры!M$30)</f>
        <v>15415.983115755696</v>
      </c>
      <c r="N88" s="319">
        <f ca="1">IF(AND($B89=0,N$2&gt;1),M88,(N87+N98+N99)*$B89/Параметры!N$30)</f>
        <v>10769.44487782636</v>
      </c>
      <c r="O88" s="319">
        <f ca="1">IF(AND($B89=0,O$2&gt;1),N88,(O87+O98+O99)*$B89/Параметры!O$30)</f>
        <v>5983.2220686187693</v>
      </c>
      <c r="P88" s="319">
        <f ca="1">IF(AND($B89=0,P$2&gt;1),O88,(P87+P98+P99)*$B89/Параметры!P$30)</f>
        <v>1054.2157691085067</v>
      </c>
      <c r="Q88" s="319">
        <f ca="1">IF(AND($B89=0,Q$2&gt;1),P88,(Q87+Q98+Q99)*$B89/Параметры!Q$30)</f>
        <v>7783.378081233056</v>
      </c>
      <c r="R88" s="319">
        <f ca="1">IF(AND($B89=0,R$2&gt;1),Q88,(R87+R98+R99)*$B89/Параметры!R$30)</f>
        <v>7897.5901738695829</v>
      </c>
      <c r="S88" s="319">
        <f ca="1">IF(AND($B89=0,S$2&gt;1),R88,(S87+S98+S99)*$B89/Параметры!S$30)</f>
        <v>8013.4781971840584</v>
      </c>
      <c r="T88" s="319">
        <f ca="1">IF(AND($B89=0,T$2&gt;1),S88,(T87+T98+T99)*$B89/Параметры!T$30)</f>
        <v>8131.0667435254445</v>
      </c>
      <c r="U88" s="319">
        <f ca="1">IF(AND($B89=0,U$2&gt;1),T88,(U87+U98+U99)*$B89/Параметры!U$30)</f>
        <v>11632.188079398002</v>
      </c>
      <c r="V88" s="319">
        <f ca="1">IF(AND($B89=0,V$2&gt;1),U88,(V87+V98+V99)*$B89/Параметры!V$30)</f>
        <v>11802.87701788</v>
      </c>
      <c r="W88" s="319">
        <f ca="1">IF(AND($B89=0,W$2&gt;1),V88,(W87+W98+W99)*$B89/Параметры!W$30)</f>
        <v>11976.070619587976</v>
      </c>
      <c r="X88" s="319">
        <f ca="1">IF(AND($B89=0,X$2&gt;1),W88,(X87+X98+X99)*$B89/Параметры!X$30)</f>
        <v>12151.805637564808</v>
      </c>
      <c r="Y88" s="319">
        <f ca="1">IF(AND($B89=0,Y$2&gt;1),X88,(Y87+Y98+Y99)*$B89/Параметры!Y$30)</f>
        <v>12892.833458754252</v>
      </c>
      <c r="Z88" s="319">
        <f ca="1">IF(AND($B89=0,Z$2&gt;1),Y88,(Z87+Z98+Z99)*$B89/Параметры!Z$30)</f>
        <v>13082.020913606159</v>
      </c>
      <c r="AA88" s="319">
        <f ca="1">IF(AND($B89=0,AA$2&gt;1),Z88,(AA87+AA98+AA99)*$B89/Параметры!AA$30)</f>
        <v>13273.984476067599</v>
      </c>
      <c r="AB88" s="319">
        <f ca="1">IF(AND($B89=0,AB$2&gt;1),AA88,(AB87+AB98+AB99)*$B89/Параметры!AB$30)</f>
        <v>13468.764882314585</v>
      </c>
      <c r="AC88" s="319">
        <f ca="1">IF(AND($B89=0,AC$2&gt;1),AB88,(AC87+AC98+AC99)*$B89/Параметры!AC$30)</f>
        <v>14054.211730711535</v>
      </c>
      <c r="AD88" s="319">
        <f ca="1">IF(AND($B89=0,AD$2&gt;1),AC88,(AD87+AD98+AD99)*$B89/Параметры!AD$30)</f>
        <v>14260.441071669762</v>
      </c>
      <c r="AE88" s="319">
        <f ca="1">IF(AND($B89=0,AE$2&gt;1),AD88,(AE87+AE98+AE99)*$B89/Параметры!AE$30)</f>
        <v>14469.696590252675</v>
      </c>
      <c r="AF88" s="319">
        <f ca="1">IF(AND($B89=0,AF$2&gt;1),AE88,(AF87+AF98+AF99)*$B89/Параметры!AF$30)</f>
        <v>14682.022692125216</v>
      </c>
      <c r="AG88" s="319">
        <f ca="1">IF(AND($B89=0,AG$2&gt;1),AF88,(AG87+AG98+AG99)*$B89/Параметры!AG$30)</f>
        <v>14837.508703286458</v>
      </c>
      <c r="AH88" s="319">
        <f ca="1">IF(AND($B89=0,AH$2&gt;1),AG88,(AH87+AH98+AH99)*$B89/Параметры!AH$30)</f>
        <v>15055.232023524628</v>
      </c>
      <c r="AI88" s="319">
        <f ca="1">IF(AND($B89=0,AI$2&gt;1),AH88,(AI87+AI98+AI99)*$B89/Параметры!AI$30)</f>
        <v>15276.150182271298</v>
      </c>
      <c r="AJ88" s="319">
        <f ca="1">IF(AND($B89=0,AJ$2&gt;1),AI88,(AJ87+AJ98+AJ99)*$B89/Параметры!AJ$30)</f>
        <v>15500.310060095288</v>
      </c>
      <c r="AK88" s="319">
        <f ca="1">IF(AND($B89=0,AK$2&gt;1),AJ88,(AK87+AK98+AK99)*$B89/Параметры!AK$30)</f>
        <v>15600.65307519596</v>
      </c>
      <c r="AL88" s="319">
        <f ca="1">IF(AND($B89=0,AL$2&gt;1),AK88,(AL87+AL98+AL99)*$B89/Параметры!AL$30)</f>
        <v>15829.574658552003</v>
      </c>
      <c r="AM88" s="319">
        <f ca="1">IF(AND($B89=0,AM$2&gt;1),AL88,(AM87+AM98+AM99)*$B89/Параметры!AM$30)</f>
        <v>16061.855402006904</v>
      </c>
      <c r="AN88" s="319">
        <f ca="1">IF(AND($B89=0,AN$2&gt;1),AM88,(AN87+AN98+AN99)*$B89/Параметры!AN$30)</f>
        <v>16297.544597359207</v>
      </c>
      <c r="AO88" s="319">
        <f ca="1">IF(AND($B89=0,AO$2&gt;1),AN88,(AO87+AO98+AO99)*$B89/Параметры!AO$30)</f>
        <v>16509.74575584671</v>
      </c>
      <c r="AP88" s="319">
        <f ca="1">IF(AND($B89=0,AP$2&gt;1),AO88,(AP87+AP98+AP99)*$B89/Параметры!AP$30)</f>
        <v>16752.007225351681</v>
      </c>
      <c r="AQ88" s="319">
        <f ca="1">IF(AND($B89=0,AQ$2&gt;1),AP88,(AQ87+AQ98+AQ99)*$B89/Параметры!AQ$30)</f>
        <v>16997.823602392757</v>
      </c>
      <c r="AR88" s="319">
        <f ca="1">IF(AND($B89=0,AR$2&gt;1),AQ88,(AR87+AR98+AR99)*$B89/Параметры!AR$30)</f>
        <v>17247.247051136277</v>
      </c>
      <c r="AS88" s="319">
        <f ca="1">IF(AND($B89=0,AS$2&gt;1),AR88,(AS87+AS98+AS99)*$B89/Параметры!AS$30)</f>
        <v>17428.922265965895</v>
      </c>
      <c r="AT88" s="319">
        <f ca="1">IF(AND($B89=0,AT$2&gt;1),AS88,(AT87+AT98+AT99)*$B89/Параметры!AT$30)</f>
        <v>17684.671590182203</v>
      </c>
      <c r="AU88" s="319">
        <f ca="1">IF(AND($B89=0,AU$2&gt;1),AT88,(AU87+AU98+AU99)*$B89/Параметры!AU$30)</f>
        <v>17944.173740639795</v>
      </c>
      <c r="AV88" s="319">
        <f ca="1">IF(AND($B89=0,AV$2&gt;1),AU88,(AV87+AV98+AV99)*$B89/Параметры!AV$30)</f>
        <v>18207.483785733639</v>
      </c>
      <c r="AW88" s="180"/>
      <c r="AX88" s="87"/>
    </row>
    <row r="89" spans="1:50" hidden="1" outlineLevel="1" x14ac:dyDescent="0.2">
      <c r="A89" s="181" t="str">
        <f ca="1">Language!A$599</f>
        <v>средний период отсрочки платежа</v>
      </c>
      <c r="B89" s="320">
        <f>$B$618</f>
        <v>33</v>
      </c>
      <c r="C89" s="152" t="str">
        <f ca="1">Language!$A$1446</f>
        <v>дней</v>
      </c>
      <c r="D89" s="100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48"/>
      <c r="AX89" s="150"/>
    </row>
    <row r="90" spans="1:50" hidden="1" outlineLevel="1" x14ac:dyDescent="0.2">
      <c r="A90" s="179" t="str">
        <f ca="1">Language!A$600</f>
        <v xml:space="preserve">авансы полученные </v>
      </c>
      <c r="B90" s="82"/>
      <c r="C90" s="103" t="str">
        <f ca="1">CHOOSE(D90,CurName1,CurName2,CurName3)</f>
        <v>тыс. руб.</v>
      </c>
      <c r="D90" s="155">
        <f>D83</f>
        <v>1</v>
      </c>
      <c r="E90" s="57" t="s">
        <v>995</v>
      </c>
      <c r="F90" s="57" t="s">
        <v>754</v>
      </c>
      <c r="G90" s="316">
        <f ca="1">IF(AND($B91=0,G$2&gt;1),F90,(OFFSET(G87,0,1)+OFFSET(G98,0,1)+OFFSET(G99,0,1))*$B91/Параметры!G$30)</f>
        <v>0</v>
      </c>
      <c r="H90" s="316">
        <f ca="1">IF(AND($B91=0,H$2&gt;1),G90,(OFFSET(H87,0,1)+OFFSET(H98,0,1)+OFFSET(H99,0,1))*$B91/Параметры!H$30)</f>
        <v>0</v>
      </c>
      <c r="I90" s="316">
        <f ca="1">IF(AND($B91=0,I$2&gt;1),H90,(OFFSET(I87,0,1)+OFFSET(I98,0,1)+OFFSET(I99,0,1))*$B91/Параметры!I$30)</f>
        <v>0</v>
      </c>
      <c r="J90" s="316">
        <f ca="1">IF(AND($B91=0,J$2&gt;1),I90,(OFFSET(J87,0,1)+OFFSET(J98,0,1)+OFFSET(J99,0,1))*$B91/Параметры!J$30)</f>
        <v>0</v>
      </c>
      <c r="K90" s="316">
        <f ca="1">IF(AND($B91=0,K$2&gt;1),J90,(OFFSET(K87,0,1)+OFFSET(K98,0,1)+OFFSET(K99,0,1))*$B91/Параметры!K$30)</f>
        <v>0</v>
      </c>
      <c r="L90" s="316">
        <f ca="1">IF(AND($B91=0,L$2&gt;1),K90,(OFFSET(L87,0,1)+OFFSET(L98,0,1)+OFFSET(L99,0,1))*$B91/Параметры!L$30)</f>
        <v>0</v>
      </c>
      <c r="M90" s="316">
        <f ca="1">IF(AND($B91=0,M$2&gt;1),L90,(OFFSET(M87,0,1)+OFFSET(M98,0,1)+OFFSET(M99,0,1))*$B91/Параметры!M$30)</f>
        <v>0</v>
      </c>
      <c r="N90" s="316">
        <f ca="1">IF(AND($B91=0,N$2&gt;1),M90,(OFFSET(N87,0,1)+OFFSET(N98,0,1)+OFFSET(N99,0,1))*$B91/Параметры!N$30)</f>
        <v>0</v>
      </c>
      <c r="O90" s="316">
        <f ca="1">IF(AND($B91=0,O$2&gt;1),N90,(OFFSET(O87,0,1)+OFFSET(O98,0,1)+OFFSET(O99,0,1))*$B91/Параметры!O$30)</f>
        <v>0</v>
      </c>
      <c r="P90" s="316">
        <f ca="1">IF(AND($B91=0,P$2&gt;1),O90,(OFFSET(P87,0,1)+OFFSET(P98,0,1)+OFFSET(P99,0,1))*$B91/Параметры!P$30)</f>
        <v>0</v>
      </c>
      <c r="Q90" s="316">
        <f ca="1">IF(AND($B91=0,Q$2&gt;1),P90,(OFFSET(Q87,0,1)+OFFSET(Q98,0,1)+OFFSET(Q99,0,1))*$B91/Параметры!Q$30)</f>
        <v>0</v>
      </c>
      <c r="R90" s="316">
        <f ca="1">IF(AND($B91=0,R$2&gt;1),Q90,(OFFSET(R87,0,1)+OFFSET(R98,0,1)+OFFSET(R99,0,1))*$B91/Параметры!R$30)</f>
        <v>0</v>
      </c>
      <c r="S90" s="316">
        <f ca="1">IF(AND($B91=0,S$2&gt;1),R90,(OFFSET(S87,0,1)+OFFSET(S98,0,1)+OFFSET(S99,0,1))*$B91/Параметры!S$30)</f>
        <v>0</v>
      </c>
      <c r="T90" s="316">
        <f ca="1">IF(AND($B91=0,T$2&gt;1),S90,(OFFSET(T87,0,1)+OFFSET(T98,0,1)+OFFSET(T99,0,1))*$B91/Параметры!T$30)</f>
        <v>0</v>
      </c>
      <c r="U90" s="316">
        <f ca="1">IF(AND($B91=0,U$2&gt;1),T90,(OFFSET(U87,0,1)+OFFSET(U98,0,1)+OFFSET(U99,0,1))*$B91/Параметры!U$30)</f>
        <v>0</v>
      </c>
      <c r="V90" s="316">
        <f ca="1">IF(AND($B91=0,V$2&gt;1),U90,(OFFSET(V87,0,1)+OFFSET(V98,0,1)+OFFSET(V99,0,1))*$B91/Параметры!V$30)</f>
        <v>0</v>
      </c>
      <c r="W90" s="316">
        <f ca="1">IF(AND($B91=0,W$2&gt;1),V90,(OFFSET(W87,0,1)+OFFSET(W98,0,1)+OFFSET(W99,0,1))*$B91/Параметры!W$30)</f>
        <v>0</v>
      </c>
      <c r="X90" s="316">
        <f ca="1">IF(AND($B91=0,X$2&gt;1),W90,(OFFSET(X87,0,1)+OFFSET(X98,0,1)+OFFSET(X99,0,1))*$B91/Параметры!X$30)</f>
        <v>0</v>
      </c>
      <c r="Y90" s="316">
        <f ca="1">IF(AND($B91=0,Y$2&gt;1),X90,(OFFSET(Y87,0,1)+OFFSET(Y98,0,1)+OFFSET(Y99,0,1))*$B91/Параметры!Y$30)</f>
        <v>0</v>
      </c>
      <c r="Z90" s="316">
        <f ca="1">IF(AND($B91=0,Z$2&gt;1),Y90,(OFFSET(Z87,0,1)+OFFSET(Z98,0,1)+OFFSET(Z99,0,1))*$B91/Параметры!Z$30)</f>
        <v>0</v>
      </c>
      <c r="AA90" s="316">
        <f ca="1">IF(AND($B91=0,AA$2&gt;1),Z90,(OFFSET(AA87,0,1)+OFFSET(AA98,0,1)+OFFSET(AA99,0,1))*$B91/Параметры!AA$30)</f>
        <v>0</v>
      </c>
      <c r="AB90" s="316">
        <f ca="1">IF(AND($B91=0,AB$2&gt;1),AA90,(OFFSET(AB87,0,1)+OFFSET(AB98,0,1)+OFFSET(AB99,0,1))*$B91/Параметры!AB$30)</f>
        <v>0</v>
      </c>
      <c r="AC90" s="316">
        <f ca="1">IF(AND($B91=0,AC$2&gt;1),AB90,(OFFSET(AC87,0,1)+OFFSET(AC98,0,1)+OFFSET(AC99,0,1))*$B91/Параметры!AC$30)</f>
        <v>0</v>
      </c>
      <c r="AD90" s="316">
        <f ca="1">IF(AND($B91=0,AD$2&gt;1),AC90,(OFFSET(AD87,0,1)+OFFSET(AD98,0,1)+OFFSET(AD99,0,1))*$B91/Параметры!AD$30)</f>
        <v>0</v>
      </c>
      <c r="AE90" s="316">
        <f ca="1">IF(AND($B91=0,AE$2&gt;1),AD90,(OFFSET(AE87,0,1)+OFFSET(AE98,0,1)+OFFSET(AE99,0,1))*$B91/Параметры!AE$30)</f>
        <v>0</v>
      </c>
      <c r="AF90" s="316">
        <f ca="1">IF(AND($B91=0,AF$2&gt;1),AE90,(OFFSET(AF87,0,1)+OFFSET(AF98,0,1)+OFFSET(AF99,0,1))*$B91/Параметры!AF$30)</f>
        <v>0</v>
      </c>
      <c r="AG90" s="316">
        <f ca="1">IF(AND($B91=0,AG$2&gt;1),AF90,(OFFSET(AG87,0,1)+OFFSET(AG98,0,1)+OFFSET(AG99,0,1))*$B91/Параметры!AG$30)</f>
        <v>0</v>
      </c>
      <c r="AH90" s="316">
        <f ca="1">IF(AND($B91=0,AH$2&gt;1),AG90,(OFFSET(AH87,0,1)+OFFSET(AH98,0,1)+OFFSET(AH99,0,1))*$B91/Параметры!AH$30)</f>
        <v>0</v>
      </c>
      <c r="AI90" s="316">
        <f ca="1">IF(AND($B91=0,AI$2&gt;1),AH90,(OFFSET(AI87,0,1)+OFFSET(AI98,0,1)+OFFSET(AI99,0,1))*$B91/Параметры!AI$30)</f>
        <v>0</v>
      </c>
      <c r="AJ90" s="316">
        <f ca="1">IF(AND($B91=0,AJ$2&gt;1),AI90,(OFFSET(AJ87,0,1)+OFFSET(AJ98,0,1)+OFFSET(AJ99,0,1))*$B91/Параметры!AJ$30)</f>
        <v>0</v>
      </c>
      <c r="AK90" s="316">
        <f ca="1">IF(AND($B91=0,AK$2&gt;1),AJ90,(OFFSET(AK87,0,1)+OFFSET(AK98,0,1)+OFFSET(AK99,0,1))*$B91/Параметры!AK$30)</f>
        <v>0</v>
      </c>
      <c r="AL90" s="316">
        <f ca="1">IF(AND($B91=0,AL$2&gt;1),AK90,(OFFSET(AL87,0,1)+OFFSET(AL98,0,1)+OFFSET(AL99,0,1))*$B91/Параметры!AL$30)</f>
        <v>0</v>
      </c>
      <c r="AM90" s="316">
        <f ca="1">IF(AND($B91=0,AM$2&gt;1),AL90,(OFFSET(AM87,0,1)+OFFSET(AM98,0,1)+OFFSET(AM99,0,1))*$B91/Параметры!AM$30)</f>
        <v>0</v>
      </c>
      <c r="AN90" s="316">
        <f ca="1">IF(AND($B91=0,AN$2&gt;1),AM90,(OFFSET(AN87,0,1)+OFFSET(AN98,0,1)+OFFSET(AN99,0,1))*$B91/Параметры!AN$30)</f>
        <v>0</v>
      </c>
      <c r="AO90" s="316">
        <f ca="1">IF(AND($B91=0,AO$2&gt;1),AN90,(OFFSET(AO87,0,1)+OFFSET(AO98,0,1)+OFFSET(AO99,0,1))*$B91/Параметры!AO$30)</f>
        <v>0</v>
      </c>
      <c r="AP90" s="316">
        <f ca="1">IF(AND($B91=0,AP$2&gt;1),AO90,(OFFSET(AP87,0,1)+OFFSET(AP98,0,1)+OFFSET(AP99,0,1))*$B91/Параметры!AP$30)</f>
        <v>0</v>
      </c>
      <c r="AQ90" s="316">
        <f ca="1">IF(AND($B91=0,AQ$2&gt;1),AP90,(OFFSET(AQ87,0,1)+OFFSET(AQ98,0,1)+OFFSET(AQ99,0,1))*$B91/Параметры!AQ$30)</f>
        <v>0</v>
      </c>
      <c r="AR90" s="316">
        <f ca="1">IF(AND($B91=0,AR$2&gt;1),AQ90,(OFFSET(AR87,0,1)+OFFSET(AR98,0,1)+OFFSET(AR99,0,1))*$B91/Параметры!AR$30)</f>
        <v>0</v>
      </c>
      <c r="AS90" s="316">
        <f ca="1">IF(AND($B91=0,AS$2&gt;1),AR90,(OFFSET(AS87,0,1)+OFFSET(AS98,0,1)+OFFSET(AS99,0,1))*$B91/Параметры!AS$30)</f>
        <v>0</v>
      </c>
      <c r="AT90" s="316">
        <f ca="1">IF(AND($B91=0,AT$2&gt;1),AS90,(OFFSET(AT87,0,1)+OFFSET(AT98,0,1)+OFFSET(AT99,0,1))*$B91/Параметры!AT$30)</f>
        <v>0</v>
      </c>
      <c r="AU90" s="316">
        <f ca="1">IF(AND($B91=0,AU$2&gt;1),AT90,(OFFSET(AU87,0,1)+OFFSET(AU98,0,1)+OFFSET(AU99,0,1))*$B91/Параметры!AU$30)</f>
        <v>0</v>
      </c>
      <c r="AV90" s="316">
        <f ca="1">IF(AND($B91=0,AV$2&gt;1),AU90,(OFFSET(AV87,0,1)+OFFSET(AV98,0,1)+OFFSET(AV99,0,1))*$B91/Параметры!AV$30)</f>
        <v>0</v>
      </c>
      <c r="AW90" s="168"/>
      <c r="AX90" s="182"/>
    </row>
    <row r="91" spans="1:50" hidden="1" outlineLevel="1" x14ac:dyDescent="0.2">
      <c r="A91" s="181" t="str">
        <f ca="1">Language!A$601</f>
        <v>средний период предоплаты</v>
      </c>
      <c r="B91" s="320">
        <f>$B$624</f>
        <v>0</v>
      </c>
      <c r="C91" s="152" t="str">
        <f ca="1">Language!$A$1446</f>
        <v>дней</v>
      </c>
      <c r="D91" s="100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48"/>
      <c r="AX91" s="150"/>
    </row>
    <row r="92" spans="1:50" hidden="1" outlineLevel="1" x14ac:dyDescent="0.2">
      <c r="A92" s="179" t="str">
        <f ca="1">Language!A$602</f>
        <v>поступление денежных средств, с НДС</v>
      </c>
      <c r="B92" s="52"/>
      <c r="C92" s="103" t="str">
        <f ca="1">CHOOSE(D92,CurName1,CurName2,CurName3)</f>
        <v>тыс. руб.</v>
      </c>
      <c r="D92" s="155">
        <f>D83</f>
        <v>1</v>
      </c>
      <c r="E92" s="57" t="s">
        <v>993</v>
      </c>
      <c r="F92" s="57" t="s">
        <v>753</v>
      </c>
      <c r="G92" s="180">
        <f ca="1">G87+G98+G99-IF(G$2=1,G88,G88-F88)+IF(G$2=1,G90,G90-F90)</f>
        <v>71663.644288734664</v>
      </c>
      <c r="H92" s="180">
        <f t="shared" ref="H92" ca="1" si="194">H87+H98+H99-IF(H$2=1,H88,H88-G88)+IF(H$2=1,H90,H90-G90)</f>
        <v>103407.67445262693</v>
      </c>
      <c r="I92" s="180">
        <f t="shared" ref="I92" ca="1" si="195">I87+I98+I99-IF(I$2=1,I88,I88-H88)+IF(I$2=1,I90,I90-H90)</f>
        <v>90784.50646009951</v>
      </c>
      <c r="J92" s="180">
        <f t="shared" ref="J92" ca="1" si="196">J87+J98+J99-IF(J$2=1,J88,J88-I88)+IF(J$2=1,J90,J90-I90)</f>
        <v>76432.753264032741</v>
      </c>
      <c r="K92" s="180">
        <f t="shared" ref="K92" ca="1" si="197">K87+K98+K99-IF(K$2=1,K88,K88-J88)+IF(K$2=1,K90,K90-J90)</f>
        <v>63061.936843595715</v>
      </c>
      <c r="L92" s="180">
        <f t="shared" ref="L92" ca="1" si="198">L87+L98+L99-IF(L$2=1,L88,L88-K88)+IF(L$2=1,L90,L90-K90)</f>
        <v>51148.015648159562</v>
      </c>
      <c r="M92" s="180">
        <f t="shared" ref="M92" ca="1" si="199">M87+M98+M99-IF(M$2=1,M88,M88-L88)+IF(M$2=1,M90,M90-L90)</f>
        <v>43762.463058744892</v>
      </c>
      <c r="N92" s="180">
        <f t="shared" ref="N92" ca="1" si="200">N87+N98+N99-IF(N$2=1,N88,N88-M88)+IF(N$2=1,N90,N90-M90)</f>
        <v>34017.751541092133</v>
      </c>
      <c r="O92" s="180">
        <f t="shared" ref="O92" ca="1" si="201">O87+O98+O99-IF(O$2=1,O88,O88-N88)+IF(O$2=1,O90,O90-N90)</f>
        <v>21104.101178167872</v>
      </c>
      <c r="P92" s="180">
        <f t="shared" ref="P92" ca="1" si="202">P87+P98+P99-IF(P$2=1,P88,P88-O88)+IF(P$2=1,P90,P90-O90)</f>
        <v>7804.1402152607352</v>
      </c>
      <c r="Q92" s="180">
        <f t="shared" ref="Q92" ca="1" si="203">Q87+Q98+Q99-IF(Q$2=1,Q88,Q88-P88)+IF(Q$2=1,Q90,Q90-P90)</f>
        <v>14498.232454874691</v>
      </c>
      <c r="R92" s="180">
        <f t="shared" ref="R92" ca="1" si="204">R87+R98+R99-IF(R$2=1,R88,R88-Q88)+IF(R$2=1,R90,R90-Q90)</f>
        <v>21424.670199735061</v>
      </c>
      <c r="S92" s="180">
        <f t="shared" ref="S92" ca="1" si="205">S87+S98+S99-IF(S$2=1,S88,S88-R88)+IF(S$2=1,S90,S90-R90)</f>
        <v>21739.052514460229</v>
      </c>
      <c r="T92" s="180">
        <f t="shared" ref="T92" ca="1" si="206">T87+T98+T99-IF(T$2=1,T88,T88-S88)+IF(T$2=1,T90,T90-S90)</f>
        <v>22058.048026909826</v>
      </c>
      <c r="U92" s="180">
        <f t="shared" ref="U92" ca="1" si="207">U87+U98+U99-IF(U$2=1,U88,U88-T88)+IF(U$2=1,U90,U90-T90)</f>
        <v>28223.027971576539</v>
      </c>
      <c r="V92" s="180">
        <f t="shared" ref="V92" ca="1" si="208">V87+V98+V99-IF(V$2=1,V88,V88-U88)+IF(V$2=1,V90,V90-U90)</f>
        <v>32018.975655736183</v>
      </c>
      <c r="W92" s="180">
        <f t="shared" ref="W92" ca="1" si="209">W87+W98+W99-IF(W$2=1,W88,W88-V88)+IF(W$2=1,W90,W90-V90)</f>
        <v>32488.817178986505</v>
      </c>
      <c r="X92" s="180">
        <f t="shared" ref="X92" ca="1" si="210">X87+X98+X99-IF(X$2=1,X88,X88-W88)+IF(X$2=1,X90,X90-W90)</f>
        <v>32965.553084472645</v>
      </c>
      <c r="Y92" s="180">
        <f t="shared" ref="Y92" ca="1" si="211">Y87+Y98+Y99-IF(Y$2=1,Y88,Y88-X88)+IF(Y$2=1,Y90,Y90-X90)</f>
        <v>34421.245248140331</v>
      </c>
      <c r="Z92" s="180">
        <f t="shared" ref="Z92" ca="1" si="212">Z87+Z98+Z99-IF(Z$2=1,Z88,Z88-Y88)+IF(Z$2=1,Z90,Z90-Y90)</f>
        <v>35489.051400437616</v>
      </c>
      <c r="AA92" s="180">
        <f t="shared" ref="AA92" ca="1" si="213">AA87+AA98+AA99-IF(AA$2=1,AA88,AA88-Z88)+IF(AA$2=1,AA90,AA90-Z90)</f>
        <v>36009.812281359285</v>
      </c>
      <c r="AB92" s="180">
        <f t="shared" ref="AB92" ca="1" si="214">AB87+AB98+AB99-IF(AB$2=1,AB88,AB88-AA88)+IF(AB$2=1,AB90,AB90-AA90)</f>
        <v>36538.214727338243</v>
      </c>
      <c r="AC92" s="180">
        <f t="shared" ref="AC92" ca="1" si="215">AC87+AC98+AC99-IF(AC$2=1,AC88,AC88-AB88)+IF(AC$2=1,AC90,AC90-AB90)</f>
        <v>37744.22150808906</v>
      </c>
      <c r="AD92" s="180">
        <f t="shared" ref="AD92" ca="1" si="216">AD87+AD98+AD99-IF(AD$2=1,AD88,AD88-AC88)+IF(AD$2=1,AD90,AD90-AC90)</f>
        <v>38685.882672686581</v>
      </c>
      <c r="AE92" s="180">
        <f t="shared" ref="AE92" ca="1" si="217">AE87+AE98+AE99-IF(AE$2=1,AE88,AE88-AD88)+IF(AE$2=1,AE90,AE90-AD90)</f>
        <v>39253.553363924388</v>
      </c>
      <c r="AF92" s="180">
        <f t="shared" ref="AF92" ca="1" si="218">AF87+AF98+AF99-IF(AF$2=1,AF88,AF88-AE88)+IF(AF$2=1,AF90,AF90-AE90)</f>
        <v>39829.55396755987</v>
      </c>
      <c r="AG92" s="180">
        <f t="shared" ref="AG92" ca="1" si="219">AG87+AG98+AG99-IF(AG$2=1,AG88,AG88-AF88)+IF(AG$2=1,AG90,AG90-AF90)</f>
        <v>40310.44681598364</v>
      </c>
      <c r="AH92" s="180">
        <f t="shared" ref="AH92" ca="1" si="220">AH87+AH98+AH99-IF(AH$2=1,AH88,AH88-AG88)+IF(AH$2=1,AH90,AH90-AG90)</f>
        <v>40842.000380283542</v>
      </c>
      <c r="AI92" s="180">
        <f t="shared" ref="AI92" ca="1" si="221">AI87+AI98+AI99-IF(AI$2=1,AI88,AI88-AH88)+IF(AI$2=1,AI90,AI90-AH90)</f>
        <v>41441.309611084143</v>
      </c>
      <c r="AJ92" s="180">
        <f t="shared" ref="AJ92" ca="1" si="222">AJ87+AJ98+AJ99-IF(AJ$2=1,AJ88,AJ88-AI88)+IF(AJ$2=1,AJ90,AJ90-AI90)</f>
        <v>42049.41301334498</v>
      </c>
      <c r="AK92" s="180">
        <f t="shared" ref="AK92" ca="1" si="223">AK87+AK98+AK99-IF(AK$2=1,AK88,AK88-AJ88)+IF(AK$2=1,AK90,AK90-AJ90)</f>
        <v>42446.892644524676</v>
      </c>
      <c r="AL92" s="180">
        <f t="shared" ref="AL92" ca="1" si="224">AL87+AL98+AL99-IF(AL$2=1,AL88,AL88-AK88)+IF(AL$2=1,AL90,AL90-AK90)</f>
        <v>42942.645667240329</v>
      </c>
      <c r="AM92" s="180">
        <f t="shared" ref="AM92" ca="1" si="225">AM87+AM98+AM99-IF(AM$2=1,AM88,AM88-AL88)+IF(AM$2=1,AM90,AM90-AL90)</f>
        <v>43572.779443836655</v>
      </c>
      <c r="AN92" s="180">
        <f t="shared" ref="AN92" ca="1" si="226">AN87+AN98+AN99-IF(AN$2=1,AN88,AN88-AM88)+IF(AN$2=1,AN90,AN90-AM90)</f>
        <v>44212.15970653644</v>
      </c>
      <c r="AO92" s="180">
        <f t="shared" ref="AO92" ca="1" si="227">AO87+AO98+AO99-IF(AO$2=1,AO88,AO88-AN88)+IF(AO$2=1,AO90,AO90-AN90)</f>
        <v>44814.378175639882</v>
      </c>
      <c r="AP92" s="180">
        <f t="shared" ref="AP92" ca="1" si="228">AP87+AP98+AP99-IF(AP$2=1,AP88,AP88-AO88)+IF(AP$2=1,AP90,AP90-AO90)</f>
        <v>45445.030963272337</v>
      </c>
      <c r="AQ92" s="180">
        <f t="shared" ref="AQ92" ca="1" si="229">AQ87+AQ98+AQ99-IF(AQ$2=1,AQ88,AQ88-AP88)+IF(AQ$2=1,AQ90,AQ90-AP90)</f>
        <v>46111.884356757357</v>
      </c>
      <c r="AR92" s="180">
        <f t="shared" ref="AR92" ca="1" si="230">AR87+AR98+AR99-IF(AR$2=1,AR88,AR88-AQ88)+IF(AR$2=1,AR90,AR90-AQ90)</f>
        <v>46788.523054355421</v>
      </c>
      <c r="AS92" s="180">
        <f t="shared" ref="AS92" ca="1" si="231">AS87+AS98+AS99-IF(AS$2=1,AS88,AS88-AR88)+IF(AS$2=1,AS90,AS90-AR90)</f>
        <v>47351.749146895556</v>
      </c>
      <c r="AT92" s="180">
        <f t="shared" ref="AT92" ca="1" si="232">AT87+AT98+AT99-IF(AT$2=1,AT88,AT88-AS88)+IF(AT$2=1,AT90,AT90-AS90)</f>
        <v>47975.173194462433</v>
      </c>
      <c r="AU92" s="180">
        <f t="shared" ref="AU92" ca="1" si="233">AU87+AU98+AU99-IF(AU$2=1,AU88,AU88-AT88)+IF(AU$2=1,AU90,AU90-AT90)</f>
        <v>48679.153505832757</v>
      </c>
      <c r="AV92" s="180">
        <f t="shared" ref="AV92" ca="1" si="234">AV87+AV98+AV99-IF(AV$2=1,AV88,AV88-AU88)+IF(AV$2=1,AV90,AV90-AU90)</f>
        <v>49393.463915997905</v>
      </c>
      <c r="AW92" s="180"/>
      <c r="AX92" s="169">
        <f ca="1">SUM(G92:AW92)</f>
        <v>1780951.9028028497</v>
      </c>
    </row>
    <row r="93" spans="1:50" hidden="1" outlineLevel="1" x14ac:dyDescent="0.2">
      <c r="A93" s="179" t="str">
        <f ca="1">Language!A$603</f>
        <v>темп изменения цен</v>
      </c>
      <c r="B93" s="84"/>
      <c r="C93" s="82" t="str">
        <f ca="1">Language!$A$471</f>
        <v>% в год</v>
      </c>
      <c r="D93" s="153"/>
      <c r="F93" s="57" t="s">
        <v>756</v>
      </c>
      <c r="G93" s="321">
        <f>CHOOSE($D83,Параметры!G$47,Параметры!G$56,Параметры!G$62)</f>
        <v>0.06</v>
      </c>
      <c r="H93" s="321">
        <f>CHOOSE($D83,Параметры!H$47,Параметры!H$56,Параметры!H$62)</f>
        <v>0.06</v>
      </c>
      <c r="I93" s="321">
        <f>CHOOSE($D83,Параметры!I$47,Параметры!I$56,Параметры!I$62)</f>
        <v>0.06</v>
      </c>
      <c r="J93" s="321">
        <f>CHOOSE($D83,Параметры!J$47,Параметры!J$56,Параметры!J$62)</f>
        <v>0.06</v>
      </c>
      <c r="K93" s="321">
        <f>CHOOSE($D83,Параметры!K$47,Параметры!K$56,Параметры!K$62)</f>
        <v>0.06</v>
      </c>
      <c r="L93" s="321">
        <f>CHOOSE($D83,Параметры!L$47,Параметры!L$56,Параметры!L$62)</f>
        <v>0.06</v>
      </c>
      <c r="M93" s="321">
        <f>CHOOSE($D83,Параметры!M$47,Параметры!M$56,Параметры!M$62)</f>
        <v>0.06</v>
      </c>
      <c r="N93" s="321">
        <f>CHOOSE($D83,Параметры!N$47,Параметры!N$56,Параметры!N$62)</f>
        <v>0.06</v>
      </c>
      <c r="O93" s="321">
        <f>CHOOSE($D83,Параметры!O$47,Параметры!O$56,Параметры!O$62)</f>
        <v>0.06</v>
      </c>
      <c r="P93" s="321">
        <f>CHOOSE($D83,Параметры!P$47,Параметры!P$56,Параметры!P$62)</f>
        <v>0.06</v>
      </c>
      <c r="Q93" s="321">
        <f>CHOOSE($D83,Параметры!Q$47,Параметры!Q$56,Параметры!Q$62)</f>
        <v>0.06</v>
      </c>
      <c r="R93" s="321">
        <f>CHOOSE($D83,Параметры!R$47,Параметры!R$56,Параметры!R$62)</f>
        <v>0.06</v>
      </c>
      <c r="S93" s="321">
        <f>CHOOSE($D83,Параметры!S$47,Параметры!S$56,Параметры!S$62)</f>
        <v>0.06</v>
      </c>
      <c r="T93" s="321">
        <f>CHOOSE($D83,Параметры!T$47,Параметры!T$56,Параметры!T$62)</f>
        <v>0.06</v>
      </c>
      <c r="U93" s="321">
        <f>CHOOSE($D83,Параметры!U$47,Параметры!U$56,Параметры!U$62)</f>
        <v>0.06</v>
      </c>
      <c r="V93" s="321">
        <f>CHOOSE($D83,Параметры!V$47,Параметры!V$56,Параметры!V$62)</f>
        <v>0.06</v>
      </c>
      <c r="W93" s="321">
        <f>CHOOSE($D83,Параметры!W$47,Параметры!W$56,Параметры!W$62)</f>
        <v>0.06</v>
      </c>
      <c r="X93" s="321">
        <f>CHOOSE($D83,Параметры!X$47,Параметры!X$56,Параметры!X$62)</f>
        <v>0.06</v>
      </c>
      <c r="Y93" s="321">
        <f>CHOOSE($D83,Параметры!Y$47,Параметры!Y$56,Параметры!Y$62)</f>
        <v>0.06</v>
      </c>
      <c r="Z93" s="321">
        <f>CHOOSE($D83,Параметры!Z$47,Параметры!Z$56,Параметры!Z$62)</f>
        <v>0.06</v>
      </c>
      <c r="AA93" s="321">
        <f>CHOOSE($D83,Параметры!AA$47,Параметры!AA$56,Параметры!AA$62)</f>
        <v>0.06</v>
      </c>
      <c r="AB93" s="321">
        <f>CHOOSE($D83,Параметры!AB$47,Параметры!AB$56,Параметры!AB$62)</f>
        <v>0.06</v>
      </c>
      <c r="AC93" s="321">
        <f>CHOOSE($D83,Параметры!AC$47,Параметры!AC$56,Параметры!AC$62)</f>
        <v>0.06</v>
      </c>
      <c r="AD93" s="321">
        <f>CHOOSE($D83,Параметры!AD$47,Параметры!AD$56,Параметры!AD$62)</f>
        <v>0.06</v>
      </c>
      <c r="AE93" s="321">
        <f>CHOOSE($D83,Параметры!AE$47,Параметры!AE$56,Параметры!AE$62)</f>
        <v>0.06</v>
      </c>
      <c r="AF93" s="321">
        <f>CHOOSE($D83,Параметры!AF$47,Параметры!AF$56,Параметры!AF$62)</f>
        <v>0.06</v>
      </c>
      <c r="AG93" s="321">
        <f>CHOOSE($D83,Параметры!AG$47,Параметры!AG$56,Параметры!AG$62)</f>
        <v>0.06</v>
      </c>
      <c r="AH93" s="321">
        <f>CHOOSE($D83,Параметры!AH$47,Параметры!AH$56,Параметры!AH$62)</f>
        <v>0.06</v>
      </c>
      <c r="AI93" s="321">
        <f>CHOOSE($D83,Параметры!AI$47,Параметры!AI$56,Параметры!AI$62)</f>
        <v>0.06</v>
      </c>
      <c r="AJ93" s="321">
        <f>CHOOSE($D83,Параметры!AJ$47,Параметры!AJ$56,Параметры!AJ$62)</f>
        <v>0.06</v>
      </c>
      <c r="AK93" s="321">
        <f>CHOOSE($D83,Параметры!AK$47,Параметры!AK$56,Параметры!AK$62)</f>
        <v>0.06</v>
      </c>
      <c r="AL93" s="321">
        <f>CHOOSE($D83,Параметры!AL$47,Параметры!AL$56,Параметры!AL$62)</f>
        <v>0.06</v>
      </c>
      <c r="AM93" s="321">
        <f>CHOOSE($D83,Параметры!AM$47,Параметры!AM$56,Параметры!AM$62)</f>
        <v>0.06</v>
      </c>
      <c r="AN93" s="321">
        <f>CHOOSE($D83,Параметры!AN$47,Параметры!AN$56,Параметры!AN$62)</f>
        <v>0.06</v>
      </c>
      <c r="AO93" s="321">
        <f>CHOOSE($D83,Параметры!AO$47,Параметры!AO$56,Параметры!AO$62)</f>
        <v>0.06</v>
      </c>
      <c r="AP93" s="321">
        <f>CHOOSE($D83,Параметры!AP$47,Параметры!AP$56,Параметры!AP$62)</f>
        <v>0.06</v>
      </c>
      <c r="AQ93" s="321">
        <f>CHOOSE($D83,Параметры!AQ$47,Параметры!AQ$56,Параметры!AQ$62)</f>
        <v>0.06</v>
      </c>
      <c r="AR93" s="321">
        <f>CHOOSE($D83,Параметры!AR$47,Параметры!AR$56,Параметры!AR$62)</f>
        <v>0.06</v>
      </c>
      <c r="AS93" s="321">
        <f>CHOOSE($D83,Параметры!AS$47,Параметры!AS$56,Параметры!AS$62)</f>
        <v>0.06</v>
      </c>
      <c r="AT93" s="321">
        <f>CHOOSE($D83,Параметры!AT$47,Параметры!AT$56,Параметры!AT$62)</f>
        <v>0.06</v>
      </c>
      <c r="AU93" s="321">
        <f>CHOOSE($D83,Параметры!AU$47,Параметры!AU$56,Параметры!AU$62)</f>
        <v>0.06</v>
      </c>
      <c r="AV93" s="321">
        <f>CHOOSE($D83,Параметры!AV$47,Параметры!AV$56,Параметры!AV$62)</f>
        <v>0.06</v>
      </c>
      <c r="AW93" s="183"/>
      <c r="AX93" s="184"/>
    </row>
    <row r="94" spans="1:50" hidden="1" outlineLevel="1" x14ac:dyDescent="0.2">
      <c r="A94" s="179" t="str">
        <f ca="1">Language!A$604</f>
        <v>ставка НДС</v>
      </c>
      <c r="B94" s="84"/>
      <c r="C94" s="82" t="s">
        <v>1</v>
      </c>
      <c r="D94" s="66"/>
      <c r="F94" s="57" t="s">
        <v>756</v>
      </c>
      <c r="G94" s="321">
        <f>Параметры!G$72*10/18</f>
        <v>9.9999999999999992E-2</v>
      </c>
      <c r="H94" s="321">
        <f>Параметры!H$72*10/18</f>
        <v>9.9999999999999992E-2</v>
      </c>
      <c r="I94" s="321">
        <f>Параметры!I$72*10/18</f>
        <v>9.9999999999999992E-2</v>
      </c>
      <c r="J94" s="321">
        <f>Параметры!J$72*10/18</f>
        <v>9.9999999999999992E-2</v>
      </c>
      <c r="K94" s="321">
        <f>Параметры!K$72*10/18</f>
        <v>9.9999999999999992E-2</v>
      </c>
      <c r="L94" s="321">
        <f>Параметры!L$72*10/18</f>
        <v>9.9999999999999992E-2</v>
      </c>
      <c r="M94" s="321">
        <f>Параметры!M$72*10/18</f>
        <v>9.9999999999999992E-2</v>
      </c>
      <c r="N94" s="321">
        <f>Параметры!N$72*10/18</f>
        <v>9.9999999999999992E-2</v>
      </c>
      <c r="O94" s="321">
        <f>Параметры!O$72*10/18</f>
        <v>9.9999999999999992E-2</v>
      </c>
      <c r="P94" s="321">
        <f>Параметры!P$72*10/18</f>
        <v>9.9999999999999992E-2</v>
      </c>
      <c r="Q94" s="321">
        <f>Параметры!Q$72*10/18</f>
        <v>9.9999999999999992E-2</v>
      </c>
      <c r="R94" s="321">
        <f>Параметры!R$72*10/18</f>
        <v>9.9999999999999992E-2</v>
      </c>
      <c r="S94" s="321">
        <f>Параметры!S$72*10/18</f>
        <v>9.9999999999999992E-2</v>
      </c>
      <c r="T94" s="321">
        <f>Параметры!T$72*10/18</f>
        <v>9.9999999999999992E-2</v>
      </c>
      <c r="U94" s="321">
        <f>Параметры!U$72*10/18</f>
        <v>9.9999999999999992E-2</v>
      </c>
      <c r="V94" s="321">
        <f>Параметры!V$72*10/18</f>
        <v>9.9999999999999992E-2</v>
      </c>
      <c r="W94" s="321">
        <f>Параметры!W$72*10/18</f>
        <v>9.9999999999999992E-2</v>
      </c>
      <c r="X94" s="321">
        <f>Параметры!X$72*10/18</f>
        <v>9.9999999999999992E-2</v>
      </c>
      <c r="Y94" s="321">
        <f>Параметры!Y$72*10/18</f>
        <v>9.9999999999999992E-2</v>
      </c>
      <c r="Z94" s="321">
        <f>Параметры!Z$72*10/18</f>
        <v>9.9999999999999992E-2</v>
      </c>
      <c r="AA94" s="321">
        <f>Параметры!AA$72*10/18</f>
        <v>9.9999999999999992E-2</v>
      </c>
      <c r="AB94" s="321">
        <f>Параметры!AB$72*10/18</f>
        <v>9.9999999999999992E-2</v>
      </c>
      <c r="AC94" s="321">
        <f>Параметры!AC$72*10/18</f>
        <v>9.9999999999999992E-2</v>
      </c>
      <c r="AD94" s="321">
        <f>Параметры!AD$72*10/18</f>
        <v>9.9999999999999992E-2</v>
      </c>
      <c r="AE94" s="321">
        <f>Параметры!AE$72*10/18</f>
        <v>9.9999999999999992E-2</v>
      </c>
      <c r="AF94" s="321">
        <f>Параметры!AF$72*10/18</f>
        <v>9.9999999999999992E-2</v>
      </c>
      <c r="AG94" s="321">
        <f>Параметры!AG$72*10/18</f>
        <v>9.9999999999999992E-2</v>
      </c>
      <c r="AH94" s="321">
        <f>Параметры!AH$72*10/18</f>
        <v>9.9999999999999992E-2</v>
      </c>
      <c r="AI94" s="321">
        <f>Параметры!AI$72*10/18</f>
        <v>9.9999999999999992E-2</v>
      </c>
      <c r="AJ94" s="321">
        <f>Параметры!AJ$72*10/18</f>
        <v>9.9999999999999992E-2</v>
      </c>
      <c r="AK94" s="321">
        <f>Параметры!AK$72*10/18</f>
        <v>9.9999999999999992E-2</v>
      </c>
      <c r="AL94" s="321">
        <f>Параметры!AL$72*10/18</f>
        <v>9.9999999999999992E-2</v>
      </c>
      <c r="AM94" s="321">
        <f>Параметры!AM$72*10/18</f>
        <v>9.9999999999999992E-2</v>
      </c>
      <c r="AN94" s="321">
        <f>Параметры!AN$72*10/18</f>
        <v>9.9999999999999992E-2</v>
      </c>
      <c r="AO94" s="321">
        <f>Параметры!AO$72*10/18</f>
        <v>9.9999999999999992E-2</v>
      </c>
      <c r="AP94" s="321">
        <f>Параметры!AP$72*10/18</f>
        <v>9.9999999999999992E-2</v>
      </c>
      <c r="AQ94" s="321">
        <f>Параметры!AQ$72*10/18</f>
        <v>9.9999999999999992E-2</v>
      </c>
      <c r="AR94" s="321">
        <f>Параметры!AR$72*10/18</f>
        <v>9.9999999999999992E-2</v>
      </c>
      <c r="AS94" s="321">
        <f>Параметры!AS$72*10/18</f>
        <v>9.9999999999999992E-2</v>
      </c>
      <c r="AT94" s="321">
        <f>Параметры!AT$72*10/18</f>
        <v>9.9999999999999992E-2</v>
      </c>
      <c r="AU94" s="321">
        <f>Параметры!AU$72*10/18</f>
        <v>9.9999999999999992E-2</v>
      </c>
      <c r="AV94" s="321">
        <f>Параметры!AV$72*10/18</f>
        <v>9.9999999999999992E-2</v>
      </c>
      <c r="AW94" s="183"/>
      <c r="AX94" s="87"/>
    </row>
    <row r="95" spans="1:50" hidden="1" outlineLevel="1" x14ac:dyDescent="0.2">
      <c r="A95" s="179" t="str">
        <f ca="1">Language!A$605</f>
        <v>акцизы, на единицу</v>
      </c>
      <c r="B95" s="66"/>
      <c r="C95" s="82" t="str">
        <f ca="1">CHOOSE(D95,CurName1,CurName2,CurName3)&amp;"/"&amp;C85</f>
        <v>тыс. руб./тн</v>
      </c>
      <c r="D95" s="66">
        <f>D83</f>
        <v>1</v>
      </c>
      <c r="F95" s="57" t="s">
        <v>756</v>
      </c>
      <c r="G95" s="319">
        <v>0</v>
      </c>
      <c r="H95" s="319">
        <f t="shared" ref="H95:H96" si="235">G95</f>
        <v>0</v>
      </c>
      <c r="I95" s="319">
        <f t="shared" ref="I95:I96" si="236">H95</f>
        <v>0</v>
      </c>
      <c r="J95" s="319">
        <f t="shared" ref="J95:J96" si="237">I95</f>
        <v>0</v>
      </c>
      <c r="K95" s="319">
        <f t="shared" ref="K95:K96" si="238">J95</f>
        <v>0</v>
      </c>
      <c r="L95" s="319">
        <f t="shared" ref="L95:L96" si="239">K95</f>
        <v>0</v>
      </c>
      <c r="M95" s="319">
        <f t="shared" ref="M95:M96" si="240">L95</f>
        <v>0</v>
      </c>
      <c r="N95" s="319">
        <f t="shared" ref="N95:N96" si="241">M95</f>
        <v>0</v>
      </c>
      <c r="O95" s="319">
        <f t="shared" ref="O95:O96" si="242">N95</f>
        <v>0</v>
      </c>
      <c r="P95" s="319">
        <f t="shared" ref="P95:P96" si="243">O95</f>
        <v>0</v>
      </c>
      <c r="Q95" s="319">
        <f t="shared" ref="Q95:Q96" si="244">P95</f>
        <v>0</v>
      </c>
      <c r="R95" s="319">
        <f t="shared" ref="R95:R96" si="245">Q95</f>
        <v>0</v>
      </c>
      <c r="S95" s="319">
        <f t="shared" ref="S95:S96" si="246">R95</f>
        <v>0</v>
      </c>
      <c r="T95" s="319">
        <f t="shared" ref="T95:T96" si="247">S95</f>
        <v>0</v>
      </c>
      <c r="U95" s="319">
        <f t="shared" ref="U95:U96" si="248">T95</f>
        <v>0</v>
      </c>
      <c r="V95" s="319">
        <f t="shared" ref="V95:V96" si="249">U95</f>
        <v>0</v>
      </c>
      <c r="W95" s="319">
        <f t="shared" ref="W95:W96" si="250">V95</f>
        <v>0</v>
      </c>
      <c r="X95" s="319">
        <f t="shared" ref="X95:X96" si="251">W95</f>
        <v>0</v>
      </c>
      <c r="Y95" s="319">
        <f t="shared" ref="Y95:Y96" si="252">X95</f>
        <v>0</v>
      </c>
      <c r="Z95" s="319">
        <f t="shared" ref="Z95:Z96" si="253">Y95</f>
        <v>0</v>
      </c>
      <c r="AA95" s="319">
        <f t="shared" ref="AA95:AA96" si="254">Z95</f>
        <v>0</v>
      </c>
      <c r="AB95" s="319">
        <f t="shared" ref="AB95:AB96" si="255">AA95</f>
        <v>0</v>
      </c>
      <c r="AC95" s="319">
        <f t="shared" ref="AC95:AC96" si="256">AB95</f>
        <v>0</v>
      </c>
      <c r="AD95" s="319">
        <f t="shared" ref="AD95:AD96" si="257">AC95</f>
        <v>0</v>
      </c>
      <c r="AE95" s="319">
        <f t="shared" ref="AE95:AE96" si="258">AD95</f>
        <v>0</v>
      </c>
      <c r="AF95" s="319">
        <f t="shared" ref="AF95:AF96" si="259">AE95</f>
        <v>0</v>
      </c>
      <c r="AG95" s="319">
        <f t="shared" ref="AG95:AG96" si="260">AF95</f>
        <v>0</v>
      </c>
      <c r="AH95" s="319">
        <f t="shared" ref="AH95:AH96" si="261">AG95</f>
        <v>0</v>
      </c>
      <c r="AI95" s="319">
        <f t="shared" ref="AI95:AI96" si="262">AH95</f>
        <v>0</v>
      </c>
      <c r="AJ95" s="319">
        <f t="shared" ref="AJ95:AJ96" si="263">AI95</f>
        <v>0</v>
      </c>
      <c r="AK95" s="319">
        <f t="shared" ref="AK95:AK96" si="264">AJ95</f>
        <v>0</v>
      </c>
      <c r="AL95" s="319">
        <f t="shared" ref="AL95:AL96" si="265">AK95</f>
        <v>0</v>
      </c>
      <c r="AM95" s="319">
        <f t="shared" ref="AM95:AM96" si="266">AL95</f>
        <v>0</v>
      </c>
      <c r="AN95" s="319">
        <f t="shared" ref="AN95:AN96" si="267">AM95</f>
        <v>0</v>
      </c>
      <c r="AO95" s="319">
        <f t="shared" ref="AO95:AO96" si="268">AN95</f>
        <v>0</v>
      </c>
      <c r="AP95" s="319">
        <f t="shared" ref="AP95:AP96" si="269">AO95</f>
        <v>0</v>
      </c>
      <c r="AQ95" s="319">
        <f t="shared" ref="AQ95:AQ96" si="270">AP95</f>
        <v>0</v>
      </c>
      <c r="AR95" s="319">
        <f t="shared" ref="AR95:AR96" si="271">AQ95</f>
        <v>0</v>
      </c>
      <c r="AS95" s="319">
        <f t="shared" ref="AS95:AS96" si="272">AR95</f>
        <v>0</v>
      </c>
      <c r="AT95" s="319">
        <f t="shared" ref="AT95:AT96" si="273">AS95</f>
        <v>0</v>
      </c>
      <c r="AU95" s="319">
        <f t="shared" ref="AU95:AU96" si="274">AT95</f>
        <v>0</v>
      </c>
      <c r="AV95" s="319">
        <f t="shared" ref="AV95:AV96" si="275">AU95</f>
        <v>0</v>
      </c>
      <c r="AW95" s="180"/>
      <c r="AX95" s="87"/>
    </row>
    <row r="96" spans="1:50" hidden="1" outlineLevel="1" x14ac:dyDescent="0.2">
      <c r="A96" s="179" t="str">
        <f ca="1">Language!A$606</f>
        <v>ставка акцизов, в процентах</v>
      </c>
      <c r="B96" s="84"/>
      <c r="C96" s="82" t="s">
        <v>1</v>
      </c>
      <c r="D96" s="66"/>
      <c r="F96" s="57" t="s">
        <v>756</v>
      </c>
      <c r="G96" s="321">
        <v>0</v>
      </c>
      <c r="H96" s="321">
        <f t="shared" si="235"/>
        <v>0</v>
      </c>
      <c r="I96" s="321">
        <f t="shared" si="236"/>
        <v>0</v>
      </c>
      <c r="J96" s="321">
        <f t="shared" si="237"/>
        <v>0</v>
      </c>
      <c r="K96" s="321">
        <f t="shared" si="238"/>
        <v>0</v>
      </c>
      <c r="L96" s="321">
        <f t="shared" si="239"/>
        <v>0</v>
      </c>
      <c r="M96" s="321">
        <f t="shared" si="240"/>
        <v>0</v>
      </c>
      <c r="N96" s="321">
        <f t="shared" si="241"/>
        <v>0</v>
      </c>
      <c r="O96" s="321">
        <f t="shared" si="242"/>
        <v>0</v>
      </c>
      <c r="P96" s="321">
        <f t="shared" si="243"/>
        <v>0</v>
      </c>
      <c r="Q96" s="321">
        <f t="shared" si="244"/>
        <v>0</v>
      </c>
      <c r="R96" s="321">
        <f t="shared" si="245"/>
        <v>0</v>
      </c>
      <c r="S96" s="321">
        <f t="shared" si="246"/>
        <v>0</v>
      </c>
      <c r="T96" s="321">
        <f t="shared" si="247"/>
        <v>0</v>
      </c>
      <c r="U96" s="321">
        <f t="shared" si="248"/>
        <v>0</v>
      </c>
      <c r="V96" s="321">
        <f t="shared" si="249"/>
        <v>0</v>
      </c>
      <c r="W96" s="321">
        <f t="shared" si="250"/>
        <v>0</v>
      </c>
      <c r="X96" s="321">
        <f t="shared" si="251"/>
        <v>0</v>
      </c>
      <c r="Y96" s="321">
        <f t="shared" si="252"/>
        <v>0</v>
      </c>
      <c r="Z96" s="321">
        <f t="shared" si="253"/>
        <v>0</v>
      </c>
      <c r="AA96" s="321">
        <f t="shared" si="254"/>
        <v>0</v>
      </c>
      <c r="AB96" s="321">
        <f t="shared" si="255"/>
        <v>0</v>
      </c>
      <c r="AC96" s="321">
        <f t="shared" si="256"/>
        <v>0</v>
      </c>
      <c r="AD96" s="321">
        <f t="shared" si="257"/>
        <v>0</v>
      </c>
      <c r="AE96" s="321">
        <f t="shared" si="258"/>
        <v>0</v>
      </c>
      <c r="AF96" s="321">
        <f t="shared" si="259"/>
        <v>0</v>
      </c>
      <c r="AG96" s="321">
        <f t="shared" si="260"/>
        <v>0</v>
      </c>
      <c r="AH96" s="321">
        <f t="shared" si="261"/>
        <v>0</v>
      </c>
      <c r="AI96" s="321">
        <f t="shared" si="262"/>
        <v>0</v>
      </c>
      <c r="AJ96" s="321">
        <f t="shared" si="263"/>
        <v>0</v>
      </c>
      <c r="AK96" s="321">
        <f t="shared" si="264"/>
        <v>0</v>
      </c>
      <c r="AL96" s="321">
        <f t="shared" si="265"/>
        <v>0</v>
      </c>
      <c r="AM96" s="321">
        <f t="shared" si="266"/>
        <v>0</v>
      </c>
      <c r="AN96" s="321">
        <f t="shared" si="267"/>
        <v>0</v>
      </c>
      <c r="AO96" s="321">
        <f t="shared" si="268"/>
        <v>0</v>
      </c>
      <c r="AP96" s="321">
        <f t="shared" si="269"/>
        <v>0</v>
      </c>
      <c r="AQ96" s="321">
        <f t="shared" si="270"/>
        <v>0</v>
      </c>
      <c r="AR96" s="321">
        <f t="shared" si="271"/>
        <v>0</v>
      </c>
      <c r="AS96" s="321">
        <f t="shared" si="272"/>
        <v>0</v>
      </c>
      <c r="AT96" s="321">
        <f t="shared" si="273"/>
        <v>0</v>
      </c>
      <c r="AU96" s="321">
        <f t="shared" si="274"/>
        <v>0</v>
      </c>
      <c r="AV96" s="321">
        <f t="shared" si="275"/>
        <v>0</v>
      </c>
      <c r="AW96" s="183"/>
      <c r="AX96" s="87"/>
    </row>
    <row r="97" spans="1:50" hidden="1" outlineLevel="1" x14ac:dyDescent="0.2">
      <c r="A97" s="179" t="str">
        <f ca="1">Language!A$607</f>
        <v>коэффициент прироста цен к предыдущему периоду</v>
      </c>
      <c r="B97" s="84"/>
      <c r="C97" s="82" t="str">
        <f ca="1">Language!$A$1449</f>
        <v>раз</v>
      </c>
      <c r="D97" s="66"/>
      <c r="F97" s="57" t="s">
        <v>756</v>
      </c>
      <c r="G97" s="86">
        <f ca="1">IF(G$2=1,1,IF(Prj_Inflation=1,POWER(1+OFFSET(G93,0,-1),Параметры!G$30/360),1))</f>
        <v>1</v>
      </c>
      <c r="H97" s="86">
        <f ca="1">IF(H$2=1,1,IF(Prj_Inflation=1,POWER(1+OFFSET(H93,0,-1),Параметры!H$30/360),1))</f>
        <v>1.0146738461686593</v>
      </c>
      <c r="I97" s="86">
        <f ca="1">IF(I$2=1,1,IF(Prj_Inflation=1,POWER(1+OFFSET(I93,0,-1),Параметры!I$30/360),1))</f>
        <v>1.0146738461686593</v>
      </c>
      <c r="J97" s="86">
        <f ca="1">IF(J$2=1,1,IF(Prj_Inflation=1,POWER(1+OFFSET(J93,0,-1),Параметры!J$30/360),1))</f>
        <v>1.0146738461686593</v>
      </c>
      <c r="K97" s="86">
        <f ca="1">IF(K$2=1,1,IF(Prj_Inflation=1,POWER(1+OFFSET(K93,0,-1),Параметры!K$30/360),1))</f>
        <v>1.0146738461686593</v>
      </c>
      <c r="L97" s="86">
        <f ca="1">IF(L$2=1,1,IF(Prj_Inflation=1,POWER(1+OFFSET(L93,0,-1),Параметры!L$30/360),1))</f>
        <v>1.0146738461686593</v>
      </c>
      <c r="M97" s="86">
        <f ca="1">IF(M$2=1,1,IF(Prj_Inflation=1,POWER(1+OFFSET(M93,0,-1),Параметры!M$30/360),1))</f>
        <v>1.0146738461686593</v>
      </c>
      <c r="N97" s="86">
        <f ca="1">IF(N$2=1,1,IF(Prj_Inflation=1,POWER(1+OFFSET(N93,0,-1),Параметры!N$30/360),1))</f>
        <v>1.0146738461686593</v>
      </c>
      <c r="O97" s="86">
        <f ca="1">IF(O$2=1,1,IF(Prj_Inflation=1,POWER(1+OFFSET(O93,0,-1),Параметры!O$30/360),1))</f>
        <v>1.0146738461686593</v>
      </c>
      <c r="P97" s="86">
        <f ca="1">IF(P$2=1,1,IF(Prj_Inflation=1,POWER(1+OFFSET(P93,0,-1),Параметры!P$30/360),1))</f>
        <v>1.0146738461686593</v>
      </c>
      <c r="Q97" s="86">
        <f ca="1">IF(Q$2=1,1,IF(Prj_Inflation=1,POWER(1+OFFSET(Q93,0,-1),Параметры!Q$30/360),1))</f>
        <v>1.0146738461686593</v>
      </c>
      <c r="R97" s="86">
        <f ca="1">IF(R$2=1,1,IF(Prj_Inflation=1,POWER(1+OFFSET(R93,0,-1),Параметры!R$30/360),1))</f>
        <v>1.0146738461686593</v>
      </c>
      <c r="S97" s="86">
        <f ca="1">IF(S$2=1,1,IF(Prj_Inflation=1,POWER(1+OFFSET(S93,0,-1),Параметры!S$30/360),1))</f>
        <v>1.0146738461686593</v>
      </c>
      <c r="T97" s="86">
        <f ca="1">IF(T$2=1,1,IF(Prj_Inflation=1,POWER(1+OFFSET(T93,0,-1),Параметры!T$30/360),1))</f>
        <v>1.0146738461686593</v>
      </c>
      <c r="U97" s="86">
        <f ca="1">IF(U$2=1,1,IF(Prj_Inflation=1,POWER(1+OFFSET(U93,0,-1),Параметры!U$30/360),1))</f>
        <v>1.0146738461686593</v>
      </c>
      <c r="V97" s="86">
        <f ca="1">IF(V$2=1,1,IF(Prj_Inflation=1,POWER(1+OFFSET(V93,0,-1),Параметры!V$30/360),1))</f>
        <v>1.0146738461686593</v>
      </c>
      <c r="W97" s="86">
        <f ca="1">IF(W$2=1,1,IF(Prj_Inflation=1,POWER(1+OFFSET(W93,0,-1),Параметры!W$30/360),1))</f>
        <v>1.0146738461686593</v>
      </c>
      <c r="X97" s="86">
        <f ca="1">IF(X$2=1,1,IF(Prj_Inflation=1,POWER(1+OFFSET(X93,0,-1),Параметры!X$30/360),1))</f>
        <v>1.0146738461686593</v>
      </c>
      <c r="Y97" s="86">
        <f ca="1">IF(Y$2=1,1,IF(Prj_Inflation=1,POWER(1+OFFSET(Y93,0,-1),Параметры!Y$30/360),1))</f>
        <v>1.0146738461686593</v>
      </c>
      <c r="Z97" s="86">
        <f ca="1">IF(Z$2=1,1,IF(Prj_Inflation=1,POWER(1+OFFSET(Z93,0,-1),Параметры!Z$30/360),1))</f>
        <v>1.0146738461686593</v>
      </c>
      <c r="AA97" s="86">
        <f ca="1">IF(AA$2=1,1,IF(Prj_Inflation=1,POWER(1+OFFSET(AA93,0,-1),Параметры!AA$30/360),1))</f>
        <v>1.0146738461686593</v>
      </c>
      <c r="AB97" s="86">
        <f ca="1">IF(AB$2=1,1,IF(Prj_Inflation=1,POWER(1+OFFSET(AB93,0,-1),Параметры!AB$30/360),1))</f>
        <v>1.0146738461686593</v>
      </c>
      <c r="AC97" s="86">
        <f ca="1">IF(AC$2=1,1,IF(Prj_Inflation=1,POWER(1+OFFSET(AC93,0,-1),Параметры!AC$30/360),1))</f>
        <v>1.0146738461686593</v>
      </c>
      <c r="AD97" s="86">
        <f ca="1">IF(AD$2=1,1,IF(Prj_Inflation=1,POWER(1+OFFSET(AD93,0,-1),Параметры!AD$30/360),1))</f>
        <v>1.0146738461686593</v>
      </c>
      <c r="AE97" s="86">
        <f ca="1">IF(AE$2=1,1,IF(Prj_Inflation=1,POWER(1+OFFSET(AE93,0,-1),Параметры!AE$30/360),1))</f>
        <v>1.0146738461686593</v>
      </c>
      <c r="AF97" s="86">
        <f ca="1">IF(AF$2=1,1,IF(Prj_Inflation=1,POWER(1+OFFSET(AF93,0,-1),Параметры!AF$30/360),1))</f>
        <v>1.0146738461686593</v>
      </c>
      <c r="AG97" s="86">
        <f ca="1">IF(AG$2=1,1,IF(Prj_Inflation=1,POWER(1+OFFSET(AG93,0,-1),Параметры!AG$30/360),1))</f>
        <v>1.0146738461686593</v>
      </c>
      <c r="AH97" s="86">
        <f ca="1">IF(AH$2=1,1,IF(Prj_Inflation=1,POWER(1+OFFSET(AH93,0,-1),Параметры!AH$30/360),1))</f>
        <v>1.0146738461686593</v>
      </c>
      <c r="AI97" s="86">
        <f ca="1">IF(AI$2=1,1,IF(Prj_Inflation=1,POWER(1+OFFSET(AI93,0,-1),Параметры!AI$30/360),1))</f>
        <v>1.0146738461686593</v>
      </c>
      <c r="AJ97" s="86">
        <f ca="1">IF(AJ$2=1,1,IF(Prj_Inflation=1,POWER(1+OFFSET(AJ93,0,-1),Параметры!AJ$30/360),1))</f>
        <v>1.0146738461686593</v>
      </c>
      <c r="AK97" s="86">
        <f ca="1">IF(AK$2=1,1,IF(Prj_Inflation=1,POWER(1+OFFSET(AK93,0,-1),Параметры!AK$30/360),1))</f>
        <v>1.0146738461686593</v>
      </c>
      <c r="AL97" s="86">
        <f ca="1">IF(AL$2=1,1,IF(Prj_Inflation=1,POWER(1+OFFSET(AL93,0,-1),Параметры!AL$30/360),1))</f>
        <v>1.0146738461686593</v>
      </c>
      <c r="AM97" s="86">
        <f ca="1">IF(AM$2=1,1,IF(Prj_Inflation=1,POWER(1+OFFSET(AM93,0,-1),Параметры!AM$30/360),1))</f>
        <v>1.0146738461686593</v>
      </c>
      <c r="AN97" s="86">
        <f ca="1">IF(AN$2=1,1,IF(Prj_Inflation=1,POWER(1+OFFSET(AN93,0,-1),Параметры!AN$30/360),1))</f>
        <v>1.0146738461686593</v>
      </c>
      <c r="AO97" s="86">
        <f ca="1">IF(AO$2=1,1,IF(Prj_Inflation=1,POWER(1+OFFSET(AO93,0,-1),Параметры!AO$30/360),1))</f>
        <v>1.0146738461686593</v>
      </c>
      <c r="AP97" s="86">
        <f ca="1">IF(AP$2=1,1,IF(Prj_Inflation=1,POWER(1+OFFSET(AP93,0,-1),Параметры!AP$30/360),1))</f>
        <v>1.0146738461686593</v>
      </c>
      <c r="AQ97" s="86">
        <f ca="1">IF(AQ$2=1,1,IF(Prj_Inflation=1,POWER(1+OFFSET(AQ93,0,-1),Параметры!AQ$30/360),1))</f>
        <v>1.0146738461686593</v>
      </c>
      <c r="AR97" s="86">
        <f ca="1">IF(AR$2=1,1,IF(Prj_Inflation=1,POWER(1+OFFSET(AR93,0,-1),Параметры!AR$30/360),1))</f>
        <v>1.0146738461686593</v>
      </c>
      <c r="AS97" s="86">
        <f ca="1">IF(AS$2=1,1,IF(Prj_Inflation=1,POWER(1+OFFSET(AS93,0,-1),Параметры!AS$30/360),1))</f>
        <v>1.0146738461686593</v>
      </c>
      <c r="AT97" s="86">
        <f ca="1">IF(AT$2=1,1,IF(Prj_Inflation=1,POWER(1+OFFSET(AT93,0,-1),Параметры!AT$30/360),1))</f>
        <v>1.0146738461686593</v>
      </c>
      <c r="AU97" s="86">
        <f ca="1">IF(AU$2=1,1,IF(Prj_Inflation=1,POWER(1+OFFSET(AU93,0,-1),Параметры!AU$30/360),1))</f>
        <v>1.0146738461686593</v>
      </c>
      <c r="AV97" s="86">
        <f ca="1">IF(AV$2=1,1,IF(Prj_Inflation=1,POWER(1+OFFSET(AV93,0,-1),Параметры!AV$30/360),1))</f>
        <v>1.0146738461686593</v>
      </c>
      <c r="AW97" s="86"/>
      <c r="AX97" s="87"/>
    </row>
    <row r="98" spans="1:50" hidden="1" outlineLevel="1" x14ac:dyDescent="0.2">
      <c r="A98" s="179" t="str">
        <f ca="1">Language!A$608</f>
        <v>акцизы начисленные</v>
      </c>
      <c r="B98" s="66"/>
      <c r="C98" s="82" t="str">
        <f ca="1">CHOOSE(D98,CurName1,CurName2,CurName3)</f>
        <v>тыс. руб.</v>
      </c>
      <c r="D98" s="155">
        <f>D83</f>
        <v>1</v>
      </c>
      <c r="E98" s="57" t="s">
        <v>996</v>
      </c>
      <c r="F98" s="57" t="s">
        <v>753</v>
      </c>
      <c r="G98" s="185">
        <f t="shared" ref="G98:AV98" ca="1" si="276">G87*G96+G85*G95</f>
        <v>0</v>
      </c>
      <c r="H98" s="185">
        <f t="shared" ca="1" si="276"/>
        <v>0</v>
      </c>
      <c r="I98" s="185">
        <f t="shared" ca="1" si="276"/>
        <v>0</v>
      </c>
      <c r="J98" s="185">
        <f t="shared" ca="1" si="276"/>
        <v>0</v>
      </c>
      <c r="K98" s="185">
        <f t="shared" ca="1" si="276"/>
        <v>0</v>
      </c>
      <c r="L98" s="185">
        <f t="shared" ca="1" si="276"/>
        <v>0</v>
      </c>
      <c r="M98" s="185">
        <f t="shared" ca="1" si="276"/>
        <v>0</v>
      </c>
      <c r="N98" s="185">
        <f t="shared" ca="1" si="276"/>
        <v>0</v>
      </c>
      <c r="O98" s="185">
        <f t="shared" ca="1" si="276"/>
        <v>0</v>
      </c>
      <c r="P98" s="185">
        <f t="shared" ca="1" si="276"/>
        <v>0</v>
      </c>
      <c r="Q98" s="185">
        <f t="shared" ca="1" si="276"/>
        <v>0</v>
      </c>
      <c r="R98" s="185">
        <f t="shared" ca="1" si="276"/>
        <v>0</v>
      </c>
      <c r="S98" s="185">
        <f t="shared" ca="1" si="276"/>
        <v>0</v>
      </c>
      <c r="T98" s="185">
        <f t="shared" ca="1" si="276"/>
        <v>0</v>
      </c>
      <c r="U98" s="185">
        <f t="shared" ca="1" si="276"/>
        <v>0</v>
      </c>
      <c r="V98" s="185">
        <f t="shared" ca="1" si="276"/>
        <v>0</v>
      </c>
      <c r="W98" s="185">
        <f t="shared" ca="1" si="276"/>
        <v>0</v>
      </c>
      <c r="X98" s="185">
        <f t="shared" ca="1" si="276"/>
        <v>0</v>
      </c>
      <c r="Y98" s="185">
        <f t="shared" ca="1" si="276"/>
        <v>0</v>
      </c>
      <c r="Z98" s="185">
        <f t="shared" ca="1" si="276"/>
        <v>0</v>
      </c>
      <c r="AA98" s="185">
        <f t="shared" ca="1" si="276"/>
        <v>0</v>
      </c>
      <c r="AB98" s="185">
        <f t="shared" ca="1" si="276"/>
        <v>0</v>
      </c>
      <c r="AC98" s="185">
        <f t="shared" ca="1" si="276"/>
        <v>0</v>
      </c>
      <c r="AD98" s="185">
        <f t="shared" ca="1" si="276"/>
        <v>0</v>
      </c>
      <c r="AE98" s="185">
        <f t="shared" ca="1" si="276"/>
        <v>0</v>
      </c>
      <c r="AF98" s="185">
        <f t="shared" ca="1" si="276"/>
        <v>0</v>
      </c>
      <c r="AG98" s="185">
        <f t="shared" ca="1" si="276"/>
        <v>0</v>
      </c>
      <c r="AH98" s="185">
        <f t="shared" ca="1" si="276"/>
        <v>0</v>
      </c>
      <c r="AI98" s="185">
        <f t="shared" ca="1" si="276"/>
        <v>0</v>
      </c>
      <c r="AJ98" s="185">
        <f t="shared" ca="1" si="276"/>
        <v>0</v>
      </c>
      <c r="AK98" s="185">
        <f t="shared" ca="1" si="276"/>
        <v>0</v>
      </c>
      <c r="AL98" s="185">
        <f t="shared" ca="1" si="276"/>
        <v>0</v>
      </c>
      <c r="AM98" s="185">
        <f t="shared" ca="1" si="276"/>
        <v>0</v>
      </c>
      <c r="AN98" s="185">
        <f t="shared" ca="1" si="276"/>
        <v>0</v>
      </c>
      <c r="AO98" s="185">
        <f t="shared" ca="1" si="276"/>
        <v>0</v>
      </c>
      <c r="AP98" s="185">
        <f t="shared" ca="1" si="276"/>
        <v>0</v>
      </c>
      <c r="AQ98" s="185">
        <f t="shared" ca="1" si="276"/>
        <v>0</v>
      </c>
      <c r="AR98" s="185">
        <f t="shared" ca="1" si="276"/>
        <v>0</v>
      </c>
      <c r="AS98" s="185">
        <f t="shared" ca="1" si="276"/>
        <v>0</v>
      </c>
      <c r="AT98" s="185">
        <f t="shared" ca="1" si="276"/>
        <v>0</v>
      </c>
      <c r="AU98" s="185">
        <f t="shared" ca="1" si="276"/>
        <v>0</v>
      </c>
      <c r="AV98" s="185">
        <f t="shared" ca="1" si="276"/>
        <v>0</v>
      </c>
      <c r="AW98" s="180"/>
      <c r="AX98" s="169">
        <f ca="1">SUM(G98:AW98)</f>
        <v>0</v>
      </c>
    </row>
    <row r="99" spans="1:50" hidden="1" outlineLevel="1" x14ac:dyDescent="0.2">
      <c r="A99" s="179" t="str">
        <f ca="1">Language!A$609</f>
        <v>НДС начисленный</v>
      </c>
      <c r="B99" s="66"/>
      <c r="C99" s="82" t="str">
        <f ca="1">CHOOSE(D99,CurName1,CurName2,CurName3)</f>
        <v>тыс. руб.</v>
      </c>
      <c r="D99" s="155">
        <f>D83</f>
        <v>1</v>
      </c>
      <c r="E99" s="57" t="s">
        <v>789</v>
      </c>
      <c r="F99" s="57" t="s">
        <v>753</v>
      </c>
      <c r="G99" s="185">
        <f t="shared" ref="G99:AV99" ca="1" si="277">(G87+G98)*G94</f>
        <v>10286.647505559999</v>
      </c>
      <c r="H99" s="185">
        <f t="shared" ca="1" si="277"/>
        <v>8887.7793560097998</v>
      </c>
      <c r="I99" s="185">
        <f t="shared" ca="1" si="277"/>
        <v>7885.7124006019094</v>
      </c>
      <c r="J99" s="185">
        <f t="shared" ca="1" si="277"/>
        <v>6405.7961600389981</v>
      </c>
      <c r="K99" s="185">
        <f t="shared" ca="1" si="277"/>
        <v>5343.3338274791986</v>
      </c>
      <c r="L99" s="185">
        <f t="shared" ca="1" si="277"/>
        <v>4248.3113699512141</v>
      </c>
      <c r="M99" s="185">
        <f t="shared" ca="1" si="277"/>
        <v>3822.1445741543048</v>
      </c>
      <c r="N99" s="185">
        <f t="shared" ca="1" si="277"/>
        <v>2670.1103002875266</v>
      </c>
      <c r="O99" s="185">
        <f t="shared" ca="1" si="277"/>
        <v>1483.4434880872984</v>
      </c>
      <c r="P99" s="185">
        <f t="shared" ca="1" si="277"/>
        <v>261.37581052277028</v>
      </c>
      <c r="Q99" s="185">
        <f t="shared" ca="1" si="277"/>
        <v>1929.7631606362943</v>
      </c>
      <c r="R99" s="185">
        <f t="shared" ca="1" si="277"/>
        <v>1958.0802083974172</v>
      </c>
      <c r="S99" s="185">
        <f t="shared" ca="1" si="277"/>
        <v>1986.8127761613368</v>
      </c>
      <c r="T99" s="185">
        <f t="shared" ca="1" si="277"/>
        <v>2015.9669612046555</v>
      </c>
      <c r="U99" s="185">
        <f t="shared" ca="1" si="277"/>
        <v>2884.0135734044629</v>
      </c>
      <c r="V99" s="185">
        <f t="shared" ca="1" si="277"/>
        <v>2926.3331449289253</v>
      </c>
      <c r="W99" s="185">
        <f t="shared" ca="1" si="277"/>
        <v>2969.2737073358617</v>
      </c>
      <c r="X99" s="185">
        <f t="shared" ca="1" si="277"/>
        <v>3012.8443729499522</v>
      </c>
      <c r="Y99" s="185">
        <f t="shared" ca="1" si="277"/>
        <v>3196.5702790299797</v>
      </c>
      <c r="Z99" s="185">
        <f t="shared" ca="1" si="277"/>
        <v>3243.4762595717743</v>
      </c>
      <c r="AA99" s="185">
        <f t="shared" ca="1" si="277"/>
        <v>3291.0705312564291</v>
      </c>
      <c r="AB99" s="185">
        <f t="shared" ca="1" si="277"/>
        <v>3339.3631939622933</v>
      </c>
      <c r="AC99" s="185">
        <f t="shared" ca="1" si="277"/>
        <v>3484.5153051350912</v>
      </c>
      <c r="AD99" s="185">
        <f t="shared" ca="1" si="277"/>
        <v>3535.6465466949826</v>
      </c>
      <c r="AE99" s="185">
        <f t="shared" ca="1" si="277"/>
        <v>3587.5280802279358</v>
      </c>
      <c r="AF99" s="185">
        <f t="shared" ca="1" si="277"/>
        <v>3640.1709154029463</v>
      </c>
      <c r="AG99" s="185">
        <f t="shared" ca="1" si="277"/>
        <v>3678.7211661040801</v>
      </c>
      <c r="AH99" s="185">
        <f t="shared" ca="1" si="277"/>
        <v>3732.7021545928828</v>
      </c>
      <c r="AI99" s="185">
        <f t="shared" ca="1" si="277"/>
        <v>3787.4752518028013</v>
      </c>
      <c r="AJ99" s="185">
        <f t="shared" ca="1" si="277"/>
        <v>3843.0520810153603</v>
      </c>
      <c r="AK99" s="185">
        <f t="shared" ca="1" si="277"/>
        <v>3867.9305145113944</v>
      </c>
      <c r="AL99" s="185">
        <f t="shared" ca="1" si="277"/>
        <v>3924.6879318723977</v>
      </c>
      <c r="AM99" s="185">
        <f t="shared" ca="1" si="277"/>
        <v>3982.2781988446868</v>
      </c>
      <c r="AN99" s="185">
        <f t="shared" ca="1" si="277"/>
        <v>4040.7135365353397</v>
      </c>
      <c r="AO99" s="185">
        <f t="shared" ca="1" si="277"/>
        <v>4093.3253940115801</v>
      </c>
      <c r="AP99" s="185">
        <f t="shared" ca="1" si="277"/>
        <v>4153.3902211615732</v>
      </c>
      <c r="AQ99" s="185">
        <f t="shared" ca="1" si="277"/>
        <v>4214.3364303453118</v>
      </c>
      <c r="AR99" s="185">
        <f t="shared" ca="1" si="277"/>
        <v>4276.1769548271759</v>
      </c>
      <c r="AS99" s="185">
        <f t="shared" ca="1" si="277"/>
        <v>4321.2203965204699</v>
      </c>
      <c r="AT99" s="185">
        <f t="shared" ca="1" si="277"/>
        <v>4384.6293198798849</v>
      </c>
      <c r="AU99" s="185">
        <f t="shared" ca="1" si="277"/>
        <v>4448.9686960263953</v>
      </c>
      <c r="AV99" s="185">
        <f t="shared" ca="1" si="277"/>
        <v>4514.2521782810682</v>
      </c>
      <c r="AW99" s="180"/>
      <c r="AX99" s="169">
        <f ca="1">SUM(G99:AW99)</f>
        <v>163559.94423532576</v>
      </c>
    </row>
    <row r="100" spans="1:50" hidden="1" outlineLevel="1" x14ac:dyDescent="0.2">
      <c r="A100" s="179" t="str">
        <f ca="1">Language!A$610</f>
        <v>НДС полученный с авансов</v>
      </c>
      <c r="B100" s="66"/>
      <c r="C100" s="82" t="str">
        <f ca="1">CHOOSE(D100,CurName1,CurName2,CurName3)</f>
        <v>тыс. руб.</v>
      </c>
      <c r="D100" s="155">
        <f>D83</f>
        <v>1</v>
      </c>
      <c r="E100" s="57" t="s">
        <v>1450</v>
      </c>
      <c r="F100" s="57" t="s">
        <v>753</v>
      </c>
      <c r="G100" s="185">
        <f ca="1">G90*G94/(1+G94)</f>
        <v>0</v>
      </c>
      <c r="H100" s="185">
        <f t="shared" ref="H100:AV100" ca="1" si="278">H90*H94/(1+H94)</f>
        <v>0</v>
      </c>
      <c r="I100" s="185">
        <f t="shared" ca="1" si="278"/>
        <v>0</v>
      </c>
      <c r="J100" s="185">
        <f t="shared" ca="1" si="278"/>
        <v>0</v>
      </c>
      <c r="K100" s="185">
        <f t="shared" ca="1" si="278"/>
        <v>0</v>
      </c>
      <c r="L100" s="185">
        <f t="shared" ca="1" si="278"/>
        <v>0</v>
      </c>
      <c r="M100" s="185">
        <f t="shared" ca="1" si="278"/>
        <v>0</v>
      </c>
      <c r="N100" s="185">
        <f t="shared" ca="1" si="278"/>
        <v>0</v>
      </c>
      <c r="O100" s="185">
        <f t="shared" ca="1" si="278"/>
        <v>0</v>
      </c>
      <c r="P100" s="185">
        <f t="shared" ca="1" si="278"/>
        <v>0</v>
      </c>
      <c r="Q100" s="185">
        <f t="shared" ca="1" si="278"/>
        <v>0</v>
      </c>
      <c r="R100" s="185">
        <f t="shared" ca="1" si="278"/>
        <v>0</v>
      </c>
      <c r="S100" s="185">
        <f t="shared" ca="1" si="278"/>
        <v>0</v>
      </c>
      <c r="T100" s="185">
        <f t="shared" ca="1" si="278"/>
        <v>0</v>
      </c>
      <c r="U100" s="185">
        <f t="shared" ca="1" si="278"/>
        <v>0</v>
      </c>
      <c r="V100" s="185">
        <f t="shared" ca="1" si="278"/>
        <v>0</v>
      </c>
      <c r="W100" s="185">
        <f t="shared" ca="1" si="278"/>
        <v>0</v>
      </c>
      <c r="X100" s="185">
        <f t="shared" ca="1" si="278"/>
        <v>0</v>
      </c>
      <c r="Y100" s="185">
        <f t="shared" ca="1" si="278"/>
        <v>0</v>
      </c>
      <c r="Z100" s="185">
        <f t="shared" ca="1" si="278"/>
        <v>0</v>
      </c>
      <c r="AA100" s="185">
        <f t="shared" ca="1" si="278"/>
        <v>0</v>
      </c>
      <c r="AB100" s="185">
        <f t="shared" ca="1" si="278"/>
        <v>0</v>
      </c>
      <c r="AC100" s="185">
        <f t="shared" ca="1" si="278"/>
        <v>0</v>
      </c>
      <c r="AD100" s="185">
        <f t="shared" ca="1" si="278"/>
        <v>0</v>
      </c>
      <c r="AE100" s="185">
        <f t="shared" ca="1" si="278"/>
        <v>0</v>
      </c>
      <c r="AF100" s="185">
        <f t="shared" ca="1" si="278"/>
        <v>0</v>
      </c>
      <c r="AG100" s="185">
        <f t="shared" ca="1" si="278"/>
        <v>0</v>
      </c>
      <c r="AH100" s="185">
        <f t="shared" ca="1" si="278"/>
        <v>0</v>
      </c>
      <c r="AI100" s="185">
        <f t="shared" ca="1" si="278"/>
        <v>0</v>
      </c>
      <c r="AJ100" s="185">
        <f t="shared" ca="1" si="278"/>
        <v>0</v>
      </c>
      <c r="AK100" s="185">
        <f t="shared" ca="1" si="278"/>
        <v>0</v>
      </c>
      <c r="AL100" s="185">
        <f t="shared" ca="1" si="278"/>
        <v>0</v>
      </c>
      <c r="AM100" s="185">
        <f t="shared" ca="1" si="278"/>
        <v>0</v>
      </c>
      <c r="AN100" s="185">
        <f t="shared" ca="1" si="278"/>
        <v>0</v>
      </c>
      <c r="AO100" s="185">
        <f t="shared" ca="1" si="278"/>
        <v>0</v>
      </c>
      <c r="AP100" s="185">
        <f t="shared" ca="1" si="278"/>
        <v>0</v>
      </c>
      <c r="AQ100" s="185">
        <f t="shared" ca="1" si="278"/>
        <v>0</v>
      </c>
      <c r="AR100" s="185">
        <f t="shared" ca="1" si="278"/>
        <v>0</v>
      </c>
      <c r="AS100" s="185">
        <f t="shared" ca="1" si="278"/>
        <v>0</v>
      </c>
      <c r="AT100" s="185">
        <f t="shared" ca="1" si="278"/>
        <v>0</v>
      </c>
      <c r="AU100" s="185">
        <f t="shared" ca="1" si="278"/>
        <v>0</v>
      </c>
      <c r="AV100" s="185">
        <f t="shared" ca="1" si="278"/>
        <v>0</v>
      </c>
      <c r="AW100" s="180"/>
      <c r="AX100" s="169">
        <f ca="1">SUM(G100:AW100)</f>
        <v>0</v>
      </c>
    </row>
    <row r="101" spans="1:50" x14ac:dyDescent="0.2">
      <c r="A101" s="317" t="s">
        <v>2264</v>
      </c>
      <c r="B101" s="102"/>
      <c r="C101" s="166"/>
      <c r="D101" s="158">
        <v>1</v>
      </c>
      <c r="F101" s="57" t="s">
        <v>2260</v>
      </c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150"/>
    </row>
    <row r="102" spans="1:50" hidden="1" x14ac:dyDescent="0.2">
      <c r="A102" s="172" t="str">
        <f ca="1">Language!A$594</f>
        <v>коэффициент загрузки</v>
      </c>
      <c r="B102" s="173"/>
      <c r="C102" s="173"/>
      <c r="D102" s="174"/>
      <c r="F102" s="57" t="s">
        <v>756</v>
      </c>
      <c r="G102" s="318">
        <f t="shared" ref="G102:AV102" si="279">IF(G$2&gt;Prj_Invest,1,0)</f>
        <v>1</v>
      </c>
      <c r="H102" s="318">
        <f t="shared" si="279"/>
        <v>1</v>
      </c>
      <c r="I102" s="318">
        <f t="shared" si="279"/>
        <v>1</v>
      </c>
      <c r="J102" s="318">
        <f t="shared" si="279"/>
        <v>1</v>
      </c>
      <c r="K102" s="318">
        <f t="shared" si="279"/>
        <v>1</v>
      </c>
      <c r="L102" s="318">
        <f t="shared" si="279"/>
        <v>1</v>
      </c>
      <c r="M102" s="318">
        <f t="shared" si="279"/>
        <v>1</v>
      </c>
      <c r="N102" s="318">
        <f t="shared" si="279"/>
        <v>1</v>
      </c>
      <c r="O102" s="318">
        <f t="shared" si="279"/>
        <v>1</v>
      </c>
      <c r="P102" s="318">
        <f t="shared" si="279"/>
        <v>1</v>
      </c>
      <c r="Q102" s="318">
        <f t="shared" si="279"/>
        <v>1</v>
      </c>
      <c r="R102" s="318">
        <f t="shared" si="279"/>
        <v>1</v>
      </c>
      <c r="S102" s="318">
        <f t="shared" si="279"/>
        <v>1</v>
      </c>
      <c r="T102" s="318">
        <f t="shared" si="279"/>
        <v>1</v>
      </c>
      <c r="U102" s="318">
        <f t="shared" si="279"/>
        <v>1</v>
      </c>
      <c r="V102" s="318">
        <f t="shared" si="279"/>
        <v>1</v>
      </c>
      <c r="W102" s="318">
        <f t="shared" si="279"/>
        <v>1</v>
      </c>
      <c r="X102" s="318">
        <f t="shared" si="279"/>
        <v>1</v>
      </c>
      <c r="Y102" s="318">
        <f t="shared" si="279"/>
        <v>1</v>
      </c>
      <c r="Z102" s="318">
        <f t="shared" si="279"/>
        <v>1</v>
      </c>
      <c r="AA102" s="318">
        <f t="shared" si="279"/>
        <v>1</v>
      </c>
      <c r="AB102" s="318">
        <f t="shared" si="279"/>
        <v>1</v>
      </c>
      <c r="AC102" s="318">
        <f t="shared" si="279"/>
        <v>1</v>
      </c>
      <c r="AD102" s="318">
        <f t="shared" si="279"/>
        <v>1</v>
      </c>
      <c r="AE102" s="318">
        <f t="shared" si="279"/>
        <v>1</v>
      </c>
      <c r="AF102" s="318">
        <f t="shared" si="279"/>
        <v>1</v>
      </c>
      <c r="AG102" s="318">
        <f t="shared" si="279"/>
        <v>1</v>
      </c>
      <c r="AH102" s="318">
        <f t="shared" si="279"/>
        <v>1</v>
      </c>
      <c r="AI102" s="318">
        <f t="shared" si="279"/>
        <v>1</v>
      </c>
      <c r="AJ102" s="318">
        <f t="shared" si="279"/>
        <v>1</v>
      </c>
      <c r="AK102" s="318">
        <f t="shared" si="279"/>
        <v>1</v>
      </c>
      <c r="AL102" s="318">
        <f t="shared" si="279"/>
        <v>1</v>
      </c>
      <c r="AM102" s="318">
        <f t="shared" si="279"/>
        <v>1</v>
      </c>
      <c r="AN102" s="318">
        <f t="shared" si="279"/>
        <v>1</v>
      </c>
      <c r="AO102" s="318">
        <f t="shared" si="279"/>
        <v>1</v>
      </c>
      <c r="AP102" s="318">
        <f t="shared" si="279"/>
        <v>1</v>
      </c>
      <c r="AQ102" s="318">
        <f t="shared" si="279"/>
        <v>1</v>
      </c>
      <c r="AR102" s="318">
        <f t="shared" si="279"/>
        <v>1</v>
      </c>
      <c r="AS102" s="318">
        <f t="shared" si="279"/>
        <v>1</v>
      </c>
      <c r="AT102" s="318">
        <f t="shared" si="279"/>
        <v>1</v>
      </c>
      <c r="AU102" s="318">
        <f t="shared" si="279"/>
        <v>1</v>
      </c>
      <c r="AV102" s="318">
        <f t="shared" si="279"/>
        <v>1</v>
      </c>
      <c r="AW102" s="175"/>
      <c r="AX102" s="117"/>
    </row>
    <row r="103" spans="1:50" x14ac:dyDescent="0.2">
      <c r="A103" s="172" t="str">
        <f ca="1">Language!A$595</f>
        <v>объем продаж за период</v>
      </c>
      <c r="B103" s="337"/>
      <c r="C103" s="313" t="s">
        <v>2259</v>
      </c>
      <c r="D103" s="174"/>
      <c r="E103" s="57" t="s">
        <v>950</v>
      </c>
      <c r="F103" s="57" t="s">
        <v>753</v>
      </c>
      <c r="G103" s="311">
        <f t="shared" ref="G103:AV103" si="280">G7</f>
        <v>102.38167874999999</v>
      </c>
      <c r="H103" s="311">
        <f t="shared" si="280"/>
        <v>102.38167874999999</v>
      </c>
      <c r="I103" s="311">
        <f t="shared" si="280"/>
        <v>110.62940125</v>
      </c>
      <c r="J103" s="311">
        <f t="shared" si="280"/>
        <v>110.62940125</v>
      </c>
      <c r="K103" s="311">
        <f t="shared" si="280"/>
        <v>110.62940125</v>
      </c>
      <c r="L103" s="311">
        <f t="shared" si="280"/>
        <v>110.62940125</v>
      </c>
      <c r="M103" s="311">
        <f t="shared" si="280"/>
        <v>116.77226</v>
      </c>
      <c r="N103" s="311">
        <f t="shared" si="280"/>
        <v>116.77226</v>
      </c>
      <c r="O103" s="311">
        <f t="shared" si="280"/>
        <v>116.77226</v>
      </c>
      <c r="P103" s="311">
        <f t="shared" si="280"/>
        <v>116.77226</v>
      </c>
      <c r="Q103" s="311">
        <f t="shared" si="280"/>
        <v>130.51067750000001</v>
      </c>
      <c r="R103" s="311">
        <f t="shared" si="280"/>
        <v>130.51067750000001</v>
      </c>
      <c r="S103" s="311">
        <f t="shared" si="280"/>
        <v>130.51067750000001</v>
      </c>
      <c r="T103" s="311">
        <f t="shared" si="280"/>
        <v>130.51067750000001</v>
      </c>
      <c r="U103" s="311">
        <f t="shared" si="280"/>
        <v>137.03925000000001</v>
      </c>
      <c r="V103" s="311">
        <f t="shared" si="280"/>
        <v>137.03925000000001</v>
      </c>
      <c r="W103" s="311">
        <f t="shared" si="280"/>
        <v>137.03925000000001</v>
      </c>
      <c r="X103" s="311">
        <f t="shared" si="280"/>
        <v>137.03925000000001</v>
      </c>
      <c r="Y103" s="311">
        <f t="shared" si="280"/>
        <v>138.06407875000002</v>
      </c>
      <c r="Z103" s="311">
        <f t="shared" si="280"/>
        <v>138.06407875000002</v>
      </c>
      <c r="AA103" s="311">
        <f t="shared" si="280"/>
        <v>138.06407875000002</v>
      </c>
      <c r="AB103" s="311">
        <f t="shared" si="280"/>
        <v>138.06407875000002</v>
      </c>
      <c r="AC103" s="311">
        <f t="shared" si="280"/>
        <v>138.73038625000001</v>
      </c>
      <c r="AD103" s="311">
        <f t="shared" si="280"/>
        <v>138.73038625000001</v>
      </c>
      <c r="AE103" s="311">
        <f t="shared" si="280"/>
        <v>138.73038625000001</v>
      </c>
      <c r="AF103" s="311">
        <f t="shared" si="280"/>
        <v>138.73038625000001</v>
      </c>
      <c r="AG103" s="311">
        <f t="shared" si="280"/>
        <v>138.63320500000003</v>
      </c>
      <c r="AH103" s="311">
        <f t="shared" si="280"/>
        <v>138.63320500000003</v>
      </c>
      <c r="AI103" s="311">
        <f t="shared" si="280"/>
        <v>138.63320500000003</v>
      </c>
      <c r="AJ103" s="311">
        <f t="shared" si="280"/>
        <v>138.63320500000003</v>
      </c>
      <c r="AK103" s="311">
        <f t="shared" si="280"/>
        <v>138.43884250000002</v>
      </c>
      <c r="AL103" s="311">
        <f t="shared" si="280"/>
        <v>138.43884250000002</v>
      </c>
      <c r="AM103" s="311">
        <f t="shared" si="280"/>
        <v>138.43884250000002</v>
      </c>
      <c r="AN103" s="311">
        <f t="shared" si="280"/>
        <v>138.43884250000002</v>
      </c>
      <c r="AO103" s="311">
        <f t="shared" si="280"/>
        <v>138.39997000000002</v>
      </c>
      <c r="AP103" s="311">
        <f t="shared" si="280"/>
        <v>138.39997000000002</v>
      </c>
      <c r="AQ103" s="311">
        <f t="shared" si="280"/>
        <v>138.39997000000002</v>
      </c>
      <c r="AR103" s="311">
        <f t="shared" si="280"/>
        <v>138.39997000000002</v>
      </c>
      <c r="AS103" s="311">
        <f t="shared" si="280"/>
        <v>138.30278875000002</v>
      </c>
      <c r="AT103" s="311">
        <f t="shared" si="280"/>
        <v>138.30278875000002</v>
      </c>
      <c r="AU103" s="311">
        <f t="shared" si="280"/>
        <v>138.30278875000002</v>
      </c>
      <c r="AV103" s="311">
        <f t="shared" si="280"/>
        <v>138.30278875000002</v>
      </c>
      <c r="AW103" s="148"/>
      <c r="AX103" s="171">
        <f>SUM(G103:AW103)</f>
        <v>5506.8467975000021</v>
      </c>
    </row>
    <row r="104" spans="1:50" x14ac:dyDescent="0.2">
      <c r="A104" s="83" t="str">
        <f ca="1">Language!A$596 &amp; C103 &amp; Language!A$1457</f>
        <v>цена за единицу (тн), без НДС</v>
      </c>
      <c r="B104" s="322">
        <v>10.91</v>
      </c>
      <c r="C104" s="146" t="str">
        <f ca="1">CHOOSE(D101,CurName1,CurName2,CurName3)</f>
        <v>тыс. руб.</v>
      </c>
      <c r="E104" s="57" t="s">
        <v>848</v>
      </c>
      <c r="F104" s="57" t="s">
        <v>756</v>
      </c>
      <c r="G104" s="323">
        <f t="shared" ref="G104" ca="1" si="281">IF(G$2=1,$B104,F104)*G115</f>
        <v>10.91</v>
      </c>
      <c r="H104" s="323">
        <f t="shared" ref="H104" ca="1" si="282">IF(H$2=1,$B104,G104)*H115</f>
        <v>11.070091661700074</v>
      </c>
      <c r="I104" s="323">
        <f t="shared" ref="I104" ca="1" si="283">IF(I$2=1,$B104,H104)*I115</f>
        <v>11.232532483816819</v>
      </c>
      <c r="J104" s="323">
        <f t="shared" ref="J104" ca="1" si="284">IF(J$2=1,$B104,I104)*J115</f>
        <v>11.397356937568816</v>
      </c>
      <c r="K104" s="323">
        <f t="shared" ref="K104" ca="1" si="285">IF(K$2=1,$B104,J104)*K115</f>
        <v>11.564600000000002</v>
      </c>
      <c r="L104" s="323">
        <f t="shared" ref="L104" ca="1" si="286">IF(L$2=1,$B104,K104)*L115</f>
        <v>11.734297161402079</v>
      </c>
      <c r="M104" s="323">
        <f t="shared" ref="M104" ca="1" si="287">IF(M$2=1,$B104,L104)*M115</f>
        <v>11.906484432845829</v>
      </c>
      <c r="N104" s="323">
        <f t="shared" ref="N104" ca="1" si="288">IF(N$2=1,$B104,M104)*N115</f>
        <v>12.081198353822945</v>
      </c>
      <c r="O104" s="323">
        <f t="shared" ref="O104" ca="1" si="289">IF(O$2=1,$B104,N104)*O115</f>
        <v>12.258476000000003</v>
      </c>
      <c r="P104" s="323">
        <f t="shared" ref="P104" ca="1" si="290">IF(P$2=1,$B104,O104)*P115</f>
        <v>12.438354991086205</v>
      </c>
      <c r="Q104" s="323">
        <f t="shared" ref="Q104" ca="1" si="291">IF(Q$2=1,$B104,P104)*Q115</f>
        <v>12.62087349881658</v>
      </c>
      <c r="R104" s="323">
        <f t="shared" ref="R104" ca="1" si="292">IF(R$2=1,$B104,Q104)*R115</f>
        <v>12.806070255052324</v>
      </c>
      <c r="S104" s="323">
        <f t="shared" ref="S104" ca="1" si="293">IF(S$2=1,$B104,R104)*S115</f>
        <v>12.993984560000005</v>
      </c>
      <c r="T104" s="323">
        <f t="shared" ref="T104" ca="1" si="294">IF(T$2=1,$B104,S104)*T115</f>
        <v>13.184656290551379</v>
      </c>
      <c r="U104" s="323">
        <f t="shared" ref="U104" ca="1" si="295">IF(U$2=1,$B104,T104)*U115</f>
        <v>13.378125908745576</v>
      </c>
      <c r="V104" s="323">
        <f t="shared" ref="V104" ca="1" si="296">IF(V$2=1,$B104,U104)*V115</f>
        <v>13.574434470355463</v>
      </c>
      <c r="W104" s="323">
        <f t="shared" ref="W104" ca="1" si="297">IF(W$2=1,$B104,V104)*W115</f>
        <v>13.773623633600005</v>
      </c>
      <c r="X104" s="323">
        <f t="shared" ref="X104" ca="1" si="298">IF(X$2=1,$B104,W104)*X115</f>
        <v>13.975735667984461</v>
      </c>
      <c r="Y104" s="323">
        <f t="shared" ref="Y104" ca="1" si="299">IF(Y$2=1,$B104,X104)*Y115</f>
        <v>14.18081346327031</v>
      </c>
      <c r="Z104" s="323">
        <f t="shared" ref="Z104" ca="1" si="300">IF(Z$2=1,$B104,Y104)*Z115</f>
        <v>14.388900538576792</v>
      </c>
      <c r="AA104" s="323">
        <f t="shared" ref="AA104" ca="1" si="301">IF(AA$2=1,$B104,Z104)*AA115</f>
        <v>14.600041051616007</v>
      </c>
      <c r="AB104" s="323">
        <f t="shared" ref="AB104" ca="1" si="302">IF(AB$2=1,$B104,AA104)*AB115</f>
        <v>14.81427980806353</v>
      </c>
      <c r="AC104" s="323">
        <f t="shared" ref="AC104" ca="1" si="303">IF(AC$2=1,$B104,AB104)*AC115</f>
        <v>15.03166227106653</v>
      </c>
      <c r="AD104" s="323">
        <f t="shared" ref="AD104" ca="1" si="304">IF(AD$2=1,$B104,AC104)*AD115</f>
        <v>15.2522345708914</v>
      </c>
      <c r="AE104" s="323">
        <f t="shared" ref="AE104" ca="1" si="305">IF(AE$2=1,$B104,AD104)*AE115</f>
        <v>15.476043514712968</v>
      </c>
      <c r="AF104" s="323">
        <f t="shared" ref="AF104" ca="1" si="306">IF(AF$2=1,$B104,AE104)*AF115</f>
        <v>15.703136596547344</v>
      </c>
      <c r="AG104" s="323">
        <f t="shared" ref="AG104" ca="1" si="307">IF(AG$2=1,$B104,AF104)*AG115</f>
        <v>15.933562007330524</v>
      </c>
      <c r="AH104" s="323">
        <f t="shared" ref="AH104" ca="1" si="308">IF(AH$2=1,$B104,AG104)*AH115</f>
        <v>16.167368645144887</v>
      </c>
      <c r="AI104" s="323">
        <f t="shared" ref="AI104" ca="1" si="309">IF(AI$2=1,$B104,AH104)*AI115</f>
        <v>16.404606125595748</v>
      </c>
      <c r="AJ104" s="323">
        <f t="shared" ref="AJ104" ca="1" si="310">IF(AJ$2=1,$B104,AI104)*AJ115</f>
        <v>16.645324792340187</v>
      </c>
      <c r="AK104" s="323">
        <f t="shared" ref="AK104" ca="1" si="311">IF(AK$2=1,$B104,AJ104)*AK115</f>
        <v>16.889575727770357</v>
      </c>
      <c r="AL104" s="323">
        <f t="shared" ref="AL104" ca="1" si="312">IF(AL$2=1,$B104,AK104)*AL115</f>
        <v>17.13741076385358</v>
      </c>
      <c r="AM104" s="323">
        <f t="shared" ref="AM104" ca="1" si="313">IF(AM$2=1,$B104,AL104)*AM115</f>
        <v>17.388882493131494</v>
      </c>
      <c r="AN104" s="323">
        <f t="shared" ref="AN104" ca="1" si="314">IF(AN$2=1,$B104,AM104)*AN115</f>
        <v>17.6440442798806</v>
      </c>
      <c r="AO104" s="323">
        <f t="shared" ref="AO104" ca="1" si="315">IF(AO$2=1,$B104,AN104)*AO115</f>
        <v>17.90295027143658</v>
      </c>
      <c r="AP104" s="323">
        <f t="shared" ref="AP104" ca="1" si="316">IF(AP$2=1,$B104,AO104)*AP115</f>
        <v>18.165655409684799</v>
      </c>
      <c r="AQ104" s="323">
        <f t="shared" ref="AQ104" ca="1" si="317">IF(AQ$2=1,$B104,AP104)*AQ115</f>
        <v>18.432215442719386</v>
      </c>
      <c r="AR104" s="323">
        <f t="shared" ref="AR104" ca="1" si="318">IF(AR$2=1,$B104,AQ104)*AR115</f>
        <v>18.702686936673437</v>
      </c>
      <c r="AS104" s="323">
        <f t="shared" ref="AS104" ca="1" si="319">IF(AS$2=1,$B104,AR104)*AS115</f>
        <v>18.977127287722777</v>
      </c>
      <c r="AT104" s="323">
        <f t="shared" ref="AT104" ca="1" si="320">IF(AT$2=1,$B104,AS104)*AT115</f>
        <v>19.255594734265888</v>
      </c>
      <c r="AU104" s="323">
        <f t="shared" ref="AU104" ca="1" si="321">IF(AU$2=1,$B104,AT104)*AU115</f>
        <v>19.538148369282553</v>
      </c>
      <c r="AV104" s="323">
        <f t="shared" ref="AV104" ca="1" si="322">IF(AV$2=1,$B104,AU104)*AV115</f>
        <v>19.824848152873848</v>
      </c>
      <c r="AW104" s="148"/>
      <c r="AX104" s="117"/>
    </row>
    <row r="105" spans="1:50" collapsed="1" x14ac:dyDescent="0.2">
      <c r="A105" s="83" t="str">
        <f ca="1">Language!A$597</f>
        <v>выручка от реализации, без НДС</v>
      </c>
      <c r="B105" s="157"/>
      <c r="C105" s="146" t="str">
        <f t="shared" ref="C105" ca="1" si="323">CHOOSE(D105,CurName1,CurName2,CurName3)</f>
        <v>тыс. руб.</v>
      </c>
      <c r="D105" s="155">
        <f>D101</f>
        <v>1</v>
      </c>
      <c r="E105" s="57" t="s">
        <v>992</v>
      </c>
      <c r="F105" s="57" t="s">
        <v>753</v>
      </c>
      <c r="G105" s="176">
        <f t="shared" ref="G105:AV105" ca="1" si="324">G103*G104</f>
        <v>1116.9841151624998</v>
      </c>
      <c r="H105" s="176">
        <f t="shared" ca="1" si="324"/>
        <v>1133.3745682412305</v>
      </c>
      <c r="I105" s="176">
        <f t="shared" ca="1" si="324"/>
        <v>1242.6483432058299</v>
      </c>
      <c r="J105" s="176">
        <f t="shared" ca="1" si="324"/>
        <v>1260.8827738357718</v>
      </c>
      <c r="K105" s="176">
        <f t="shared" ca="1" si="324"/>
        <v>1279.3847736957503</v>
      </c>
      <c r="L105" s="176">
        <f t="shared" ca="1" si="324"/>
        <v>1298.1582690554867</v>
      </c>
      <c r="M105" s="176">
        <f t="shared" ca="1" si="324"/>
        <v>1390.3470958782257</v>
      </c>
      <c r="N105" s="176">
        <f t="shared" ca="1" si="324"/>
        <v>1410.7488352841849</v>
      </c>
      <c r="O105" s="176">
        <f t="shared" ca="1" si="324"/>
        <v>1431.4499466757604</v>
      </c>
      <c r="P105" s="176">
        <f t="shared" ca="1" si="324"/>
        <v>1452.454822991416</v>
      </c>
      <c r="Q105" s="176">
        <f t="shared" ca="1" si="324"/>
        <v>1647.1587509723474</v>
      </c>
      <c r="R105" s="176">
        <f t="shared" ca="1" si="324"/>
        <v>1671.3289050994767</v>
      </c>
      <c r="S105" s="176">
        <f t="shared" ca="1" si="324"/>
        <v>1695.8537283501403</v>
      </c>
      <c r="T105" s="176">
        <f t="shared" ca="1" si="324"/>
        <v>1720.7384250844975</v>
      </c>
      <c r="U105" s="176">
        <f t="shared" ca="1" si="324"/>
        <v>1833.3283409400622</v>
      </c>
      <c r="V105" s="176">
        <f t="shared" ca="1" si="324"/>
        <v>1860.2303189916599</v>
      </c>
      <c r="W105" s="176">
        <f t="shared" ca="1" si="324"/>
        <v>1887.5270525308197</v>
      </c>
      <c r="X105" s="176">
        <f t="shared" ca="1" si="324"/>
        <v>1915.2243341388396</v>
      </c>
      <c r="Y105" s="176">
        <f t="shared" ca="1" si="324"/>
        <v>1957.8609467320125</v>
      </c>
      <c r="Z105" s="176">
        <f t="shared" ca="1" si="324"/>
        <v>1986.5902970839838</v>
      </c>
      <c r="AA105" s="176">
        <f t="shared" ca="1" si="324"/>
        <v>2015.7412175035454</v>
      </c>
      <c r="AB105" s="176">
        <f t="shared" ca="1" si="324"/>
        <v>2045.3198940450184</v>
      </c>
      <c r="AC105" s="176">
        <f t="shared" ca="1" si="324"/>
        <v>2085.3483128446119</v>
      </c>
      <c r="AD105" s="176">
        <f t="shared" ca="1" si="324"/>
        <v>2115.9483931953669</v>
      </c>
      <c r="AE105" s="176">
        <f t="shared" ca="1" si="324"/>
        <v>2146.9974944179376</v>
      </c>
      <c r="AF105" s="176">
        <f t="shared" ca="1" si="324"/>
        <v>2178.5022053755238</v>
      </c>
      <c r="AG105" s="176">
        <f t="shared" ca="1" si="324"/>
        <v>2208.9207681424646</v>
      </c>
      <c r="AH105" s="176">
        <f t="shared" ca="1" si="324"/>
        <v>2241.3341316929436</v>
      </c>
      <c r="AI105" s="176">
        <f t="shared" ca="1" si="324"/>
        <v>2274.2231239539715</v>
      </c>
      <c r="AJ105" s="176">
        <f t="shared" ca="1" si="324"/>
        <v>2307.5947242280799</v>
      </c>
      <c r="AK105" s="176">
        <f t="shared" ca="1" si="324"/>
        <v>2338.1733140686238</v>
      </c>
      <c r="AL105" s="176">
        <f t="shared" ca="1" si="324"/>
        <v>2372.4833095949307</v>
      </c>
      <c r="AM105" s="176">
        <f t="shared" ca="1" si="324"/>
        <v>2407.2967647176383</v>
      </c>
      <c r="AN105" s="176">
        <f t="shared" ca="1" si="324"/>
        <v>2442.6210671254166</v>
      </c>
      <c r="AO105" s="176">
        <f t="shared" ca="1" si="324"/>
        <v>2477.7677804783152</v>
      </c>
      <c r="AP105" s="176">
        <f t="shared" ca="1" si="324"/>
        <v>2514.1261637307143</v>
      </c>
      <c r="AQ105" s="176">
        <f t="shared" ca="1" si="324"/>
        <v>2551.0180643059002</v>
      </c>
      <c r="AR105" s="176">
        <f t="shared" ca="1" si="324"/>
        <v>2588.4513109549962</v>
      </c>
      <c r="AS105" s="176">
        <f t="shared" ca="1" si="324"/>
        <v>2624.5896263557838</v>
      </c>
      <c r="AT105" s="176">
        <f t="shared" ca="1" si="324"/>
        <v>2663.1024507887878</v>
      </c>
      <c r="AU105" s="176">
        <f t="shared" ca="1" si="324"/>
        <v>2702.1804064830421</v>
      </c>
      <c r="AV105" s="176">
        <f t="shared" ca="1" si="324"/>
        <v>2741.8317860877401</v>
      </c>
      <c r="AW105" s="177"/>
      <c r="AX105" s="178">
        <f ca="1">SUM(G105:AW105)</f>
        <v>83235.84695404135</v>
      </c>
    </row>
    <row r="106" spans="1:50" hidden="1" outlineLevel="1" x14ac:dyDescent="0.2">
      <c r="A106" s="179" t="str">
        <f ca="1">Language!A$598</f>
        <v>дебиторская задолженность</v>
      </c>
      <c r="B106" s="82"/>
      <c r="C106" s="82" t="str">
        <f ca="1">CHOOSE(D106,CurName1,CurName2,CurName3)</f>
        <v>тыс. руб.</v>
      </c>
      <c r="D106" s="155">
        <f>D101</f>
        <v>1</v>
      </c>
      <c r="E106" s="57" t="s">
        <v>994</v>
      </c>
      <c r="F106" s="57" t="s">
        <v>754</v>
      </c>
      <c r="G106" s="319">
        <f ca="1">IF(AND($B107=0,G$2&gt;1),F106,(G105+G116+G117)*$B107/Параметры!G$30)</f>
        <v>450.51692644887493</v>
      </c>
      <c r="H106" s="319">
        <f ca="1">IF(AND($B107=0,H$2&gt;1),G106,(H105+H116+H117)*$B107/Параметры!H$30)</f>
        <v>457.12774252396298</v>
      </c>
      <c r="I106" s="319">
        <f ca="1">IF(AND($B107=0,I$2&gt;1),H106,(I105+I116+I117)*$B107/Параметры!I$30)</f>
        <v>501.20149842635141</v>
      </c>
      <c r="J106" s="319">
        <f ca="1">IF(AND($B107=0,J$2&gt;1),I106,(J105+J116+J117)*$B107/Параметры!J$30)</f>
        <v>508.55605211376127</v>
      </c>
      <c r="K106" s="319">
        <f ca="1">IF(AND($B107=0,K$2&gt;1),J106,(K105+K116+K117)*$B107/Параметры!K$30)</f>
        <v>516.01852539061917</v>
      </c>
      <c r="L106" s="319">
        <f ca="1">IF(AND($B107=0,L$2&gt;1),K106,(L105+L116+L117)*$B107/Параметры!L$30)</f>
        <v>523.59050185237959</v>
      </c>
      <c r="M106" s="319">
        <f ca="1">IF(AND($B107=0,M$2&gt;1),L106,(M105+M116+M117)*$B107/Параметры!M$30)</f>
        <v>560.77332867088444</v>
      </c>
      <c r="N106" s="319">
        <f ca="1">IF(AND($B107=0,N$2&gt;1),M106,(N105+N116+N117)*$B107/Параметры!N$30)</f>
        <v>569.0020302312879</v>
      </c>
      <c r="O106" s="319">
        <f ca="1">IF(AND($B107=0,O$2&gt;1),N106,(O105+O116+O117)*$B107/Параметры!O$30)</f>
        <v>577.35147849255668</v>
      </c>
      <c r="P106" s="319">
        <f ca="1">IF(AND($B107=0,P$2&gt;1),O106,(P105+P116+P117)*$B107/Параметры!P$30)</f>
        <v>585.82344527320436</v>
      </c>
      <c r="Q106" s="319">
        <f ca="1">IF(AND($B107=0,Q$2&gt;1),P106,(Q105+Q116+Q117)*$B107/Параметры!Q$30)</f>
        <v>664.35402955884683</v>
      </c>
      <c r="R106" s="319">
        <f ca="1">IF(AND($B107=0,R$2&gt;1),Q106,(R105+R116+R117)*$B107/Параметры!R$30)</f>
        <v>674.1026583901222</v>
      </c>
      <c r="S106" s="319">
        <f ca="1">IF(AND($B107=0,S$2&gt;1),R106,(S105+S116+S117)*$B107/Параметры!S$30)</f>
        <v>683.99433710122332</v>
      </c>
      <c r="T106" s="319">
        <f ca="1">IF(AND($B107=0,T$2&gt;1),S106,(T105+T116+T117)*$B107/Параметры!T$30)</f>
        <v>694.0311647840806</v>
      </c>
      <c r="U106" s="319">
        <f ca="1">IF(AND($B107=0,U$2&gt;1),T106,(U105+U116+U117)*$B107/Параметры!U$30)</f>
        <v>739.44243084582513</v>
      </c>
      <c r="V106" s="319">
        <f ca="1">IF(AND($B107=0,V$2&gt;1),U106,(V105+V116+V117)*$B107/Параметры!V$30)</f>
        <v>750.2928953266362</v>
      </c>
      <c r="W106" s="319">
        <f ca="1">IF(AND($B107=0,W$2&gt;1),V106,(W105+W116+W117)*$B107/Параметры!W$30)</f>
        <v>761.30257785409731</v>
      </c>
      <c r="X106" s="319">
        <f ca="1">IF(AND($B107=0,X$2&gt;1),W106,(X105+X116+X117)*$B107/Параметры!X$30)</f>
        <v>772.47381476933208</v>
      </c>
      <c r="Y106" s="319">
        <f ca="1">IF(AND($B107=0,Y$2&gt;1),X106,(Y105+Y116+Y117)*$B107/Параметры!Y$30)</f>
        <v>789.67058184857842</v>
      </c>
      <c r="Z106" s="319">
        <f ca="1">IF(AND($B107=0,Z$2&gt;1),Y106,(Z105+Z116+Z117)*$B107/Параметры!Z$30)</f>
        <v>801.25808649054022</v>
      </c>
      <c r="AA106" s="319">
        <f ca="1">IF(AND($B107=0,AA$2&gt;1),Z106,(AA105+AA116+AA117)*$B107/Параметры!AA$30)</f>
        <v>813.01562439309657</v>
      </c>
      <c r="AB106" s="319">
        <f ca="1">IF(AND($B107=0,AB$2&gt;1),AA106,(AB105+AB116+AB117)*$B107/Параметры!AB$30)</f>
        <v>824.9456905981574</v>
      </c>
      <c r="AC106" s="319">
        <f ca="1">IF(AND($B107=0,AC$2&gt;1),AB106,(AC105+AC116+AC117)*$B107/Параметры!AC$30)</f>
        <v>841.09048618066004</v>
      </c>
      <c r="AD106" s="319">
        <f ca="1">IF(AND($B107=0,AD$2&gt;1),AC106,(AD105+AD116+AD117)*$B107/Параметры!AD$30)</f>
        <v>853.43251858879796</v>
      </c>
      <c r="AE106" s="319">
        <f ca="1">IF(AND($B107=0,AE$2&gt;1),AD106,(AE105+AE116+AE117)*$B107/Параметры!AE$30)</f>
        <v>865.95565608190145</v>
      </c>
      <c r="AF106" s="319">
        <f ca="1">IF(AND($B107=0,AF$2&gt;1),AE106,(AF105+AF116+AF117)*$B107/Параметры!AF$30)</f>
        <v>878.66255616812805</v>
      </c>
      <c r="AG106" s="319">
        <f ca="1">IF(AND($B107=0,AG$2&gt;1),AF106,(AG105+AG116+AG117)*$B107/Параметры!AG$30)</f>
        <v>890.93137648412744</v>
      </c>
      <c r="AH106" s="319">
        <f ca="1">IF(AND($B107=0,AH$2&gt;1),AG106,(AH105+AH116+AH117)*$B107/Параметры!AH$30)</f>
        <v>904.00476644948731</v>
      </c>
      <c r="AI106" s="319">
        <f ca="1">IF(AND($B107=0,AI$2&gt;1),AH106,(AI105+AI116+AI117)*$B107/Параметры!AI$30)</f>
        <v>917.2699933281018</v>
      </c>
      <c r="AJ106" s="319">
        <f ca="1">IF(AND($B107=0,AJ$2&gt;1),AI106,(AJ105+AJ116+AJ117)*$B107/Параметры!AJ$30)</f>
        <v>930.72987210532563</v>
      </c>
      <c r="AK106" s="319">
        <f ca="1">IF(AND($B107=0,AK$2&gt;1),AJ106,(AK105+AK116+AK117)*$B107/Параметры!AK$30)</f>
        <v>943.06323667434481</v>
      </c>
      <c r="AL106" s="319">
        <f ca="1">IF(AND($B107=0,AL$2&gt;1),AK106,(AL105+AL116+AL117)*$B107/Параметры!AL$30)</f>
        <v>956.90160153662214</v>
      </c>
      <c r="AM106" s="319">
        <f ca="1">IF(AND($B107=0,AM$2&gt;1),AL106,(AM105+AM116+AM117)*$B107/Параметры!AM$30)</f>
        <v>970.9430284361141</v>
      </c>
      <c r="AN106" s="319">
        <f ca="1">IF(AND($B107=0,AN$2&gt;1),AM106,(AN105+AN116+AN117)*$B107/Параметры!AN$30)</f>
        <v>985.19049707391787</v>
      </c>
      <c r="AO106" s="319">
        <f ca="1">IF(AND($B107=0,AO$2&gt;1),AN106,(AO105+AO116+AO117)*$B107/Параметры!AO$30)</f>
        <v>999.36633812625382</v>
      </c>
      <c r="AP106" s="319">
        <f ca="1">IF(AND($B107=0,AP$2&gt;1),AO106,(AP105+AP116+AP117)*$B107/Параметры!AP$30)</f>
        <v>1014.0308860380549</v>
      </c>
      <c r="AQ106" s="319">
        <f ca="1">IF(AND($B107=0,AQ$2&gt;1),AP106,(AQ105+AQ116+AQ117)*$B107/Параметры!AQ$30)</f>
        <v>1028.9106192700465</v>
      </c>
      <c r="AR106" s="319">
        <f ca="1">IF(AND($B107=0,AR$2&gt;1),AQ106,(AR105+AR116+AR117)*$B107/Параметры!AR$30)</f>
        <v>1044.0086954185151</v>
      </c>
      <c r="AS106" s="319">
        <f ca="1">IF(AND($B107=0,AS$2&gt;1),AR106,(AS105+AS116+AS117)*$B107/Параметры!AS$30)</f>
        <v>1058.5844826301661</v>
      </c>
      <c r="AT106" s="319">
        <f ca="1">IF(AND($B107=0,AT$2&gt;1),AS106,(AT105+AT116+AT117)*$B107/Параметры!AT$30)</f>
        <v>1074.1179884848111</v>
      </c>
      <c r="AU106" s="319">
        <f ca="1">IF(AND($B107=0,AU$2&gt;1),AT106,(AU105+AU116+AU117)*$B107/Параметры!AU$30)</f>
        <v>1089.8794306148268</v>
      </c>
      <c r="AV106" s="319">
        <f ca="1">IF(AND($B107=0,AV$2&gt;1),AU106,(AV105+AV116+AV117)*$B107/Параметры!AV$30)</f>
        <v>1105.8721537220551</v>
      </c>
      <c r="AW106" s="180"/>
      <c r="AX106" s="87"/>
    </row>
    <row r="107" spans="1:50" hidden="1" outlineLevel="1" x14ac:dyDescent="0.2">
      <c r="A107" s="181" t="str">
        <f ca="1">Language!A$599</f>
        <v>средний период отсрочки платежа</v>
      </c>
      <c r="B107" s="320">
        <f>$B$618</f>
        <v>33</v>
      </c>
      <c r="C107" s="152" t="str">
        <f ca="1">Language!$A$1446</f>
        <v>дней</v>
      </c>
      <c r="D107" s="100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48"/>
      <c r="AX107" s="150"/>
    </row>
    <row r="108" spans="1:50" hidden="1" outlineLevel="1" x14ac:dyDescent="0.2">
      <c r="A108" s="179" t="str">
        <f ca="1">Language!A$600</f>
        <v xml:space="preserve">авансы полученные </v>
      </c>
      <c r="B108" s="82"/>
      <c r="C108" s="103" t="str">
        <f ca="1">CHOOSE(D108,CurName1,CurName2,CurName3)</f>
        <v>тыс. руб.</v>
      </c>
      <c r="D108" s="155">
        <f>D101</f>
        <v>1</v>
      </c>
      <c r="E108" s="57" t="s">
        <v>995</v>
      </c>
      <c r="F108" s="57" t="s">
        <v>754</v>
      </c>
      <c r="G108" s="316">
        <f ca="1">IF(AND($B109=0,G$2&gt;1),F108,(OFFSET(G105,0,1)+OFFSET(G116,0,1)+OFFSET(G117,0,1))*$B109/Параметры!G$30)</f>
        <v>0</v>
      </c>
      <c r="H108" s="316">
        <f ca="1">IF(AND($B109=0,H$2&gt;1),G108,(OFFSET(H105,0,1)+OFFSET(H116,0,1)+OFFSET(H117,0,1))*$B109/Параметры!H$30)</f>
        <v>0</v>
      </c>
      <c r="I108" s="316">
        <f ca="1">IF(AND($B109=0,I$2&gt;1),H108,(OFFSET(I105,0,1)+OFFSET(I116,0,1)+OFFSET(I117,0,1))*$B109/Параметры!I$30)</f>
        <v>0</v>
      </c>
      <c r="J108" s="316">
        <f ca="1">IF(AND($B109=0,J$2&gt;1),I108,(OFFSET(J105,0,1)+OFFSET(J116,0,1)+OFFSET(J117,0,1))*$B109/Параметры!J$30)</f>
        <v>0</v>
      </c>
      <c r="K108" s="316">
        <f ca="1">IF(AND($B109=0,K$2&gt;1),J108,(OFFSET(K105,0,1)+OFFSET(K116,0,1)+OFFSET(K117,0,1))*$B109/Параметры!K$30)</f>
        <v>0</v>
      </c>
      <c r="L108" s="316">
        <f ca="1">IF(AND($B109=0,L$2&gt;1),K108,(OFFSET(L105,0,1)+OFFSET(L116,0,1)+OFFSET(L117,0,1))*$B109/Параметры!L$30)</f>
        <v>0</v>
      </c>
      <c r="M108" s="316">
        <f ca="1">IF(AND($B109=0,M$2&gt;1),L108,(OFFSET(M105,0,1)+OFFSET(M116,0,1)+OFFSET(M117,0,1))*$B109/Параметры!M$30)</f>
        <v>0</v>
      </c>
      <c r="N108" s="316">
        <f ca="1">IF(AND($B109=0,N$2&gt;1),M108,(OFFSET(N105,0,1)+OFFSET(N116,0,1)+OFFSET(N117,0,1))*$B109/Параметры!N$30)</f>
        <v>0</v>
      </c>
      <c r="O108" s="316">
        <f ca="1">IF(AND($B109=0,O$2&gt;1),N108,(OFFSET(O105,0,1)+OFFSET(O116,0,1)+OFFSET(O117,0,1))*$B109/Параметры!O$30)</f>
        <v>0</v>
      </c>
      <c r="P108" s="316">
        <f ca="1">IF(AND($B109=0,P$2&gt;1),O108,(OFFSET(P105,0,1)+OFFSET(P116,0,1)+OFFSET(P117,0,1))*$B109/Параметры!P$30)</f>
        <v>0</v>
      </c>
      <c r="Q108" s="316">
        <f ca="1">IF(AND($B109=0,Q$2&gt;1),P108,(OFFSET(Q105,0,1)+OFFSET(Q116,0,1)+OFFSET(Q117,0,1))*$B109/Параметры!Q$30)</f>
        <v>0</v>
      </c>
      <c r="R108" s="316">
        <f ca="1">IF(AND($B109=0,R$2&gt;1),Q108,(OFFSET(R105,0,1)+OFFSET(R116,0,1)+OFFSET(R117,0,1))*$B109/Параметры!R$30)</f>
        <v>0</v>
      </c>
      <c r="S108" s="316">
        <f ca="1">IF(AND($B109=0,S$2&gt;1),R108,(OFFSET(S105,0,1)+OFFSET(S116,0,1)+OFFSET(S117,0,1))*$B109/Параметры!S$30)</f>
        <v>0</v>
      </c>
      <c r="T108" s="316">
        <f ca="1">IF(AND($B109=0,T$2&gt;1),S108,(OFFSET(T105,0,1)+OFFSET(T116,0,1)+OFFSET(T117,0,1))*$B109/Параметры!T$30)</f>
        <v>0</v>
      </c>
      <c r="U108" s="316">
        <f ca="1">IF(AND($B109=0,U$2&gt;1),T108,(OFFSET(U105,0,1)+OFFSET(U116,0,1)+OFFSET(U117,0,1))*$B109/Параметры!U$30)</f>
        <v>0</v>
      </c>
      <c r="V108" s="316">
        <f ca="1">IF(AND($B109=0,V$2&gt;1),U108,(OFFSET(V105,0,1)+OFFSET(V116,0,1)+OFFSET(V117,0,1))*$B109/Параметры!V$30)</f>
        <v>0</v>
      </c>
      <c r="W108" s="316">
        <f ca="1">IF(AND($B109=0,W$2&gt;1),V108,(OFFSET(W105,0,1)+OFFSET(W116,0,1)+OFFSET(W117,0,1))*$B109/Параметры!W$30)</f>
        <v>0</v>
      </c>
      <c r="X108" s="316">
        <f ca="1">IF(AND($B109=0,X$2&gt;1),W108,(OFFSET(X105,0,1)+OFFSET(X116,0,1)+OFFSET(X117,0,1))*$B109/Параметры!X$30)</f>
        <v>0</v>
      </c>
      <c r="Y108" s="316">
        <f ca="1">IF(AND($B109=0,Y$2&gt;1),X108,(OFFSET(Y105,0,1)+OFFSET(Y116,0,1)+OFFSET(Y117,0,1))*$B109/Параметры!Y$30)</f>
        <v>0</v>
      </c>
      <c r="Z108" s="316">
        <f ca="1">IF(AND($B109=0,Z$2&gt;1),Y108,(OFFSET(Z105,0,1)+OFFSET(Z116,0,1)+OFFSET(Z117,0,1))*$B109/Параметры!Z$30)</f>
        <v>0</v>
      </c>
      <c r="AA108" s="316">
        <f ca="1">IF(AND($B109=0,AA$2&gt;1),Z108,(OFFSET(AA105,0,1)+OFFSET(AA116,0,1)+OFFSET(AA117,0,1))*$B109/Параметры!AA$30)</f>
        <v>0</v>
      </c>
      <c r="AB108" s="316">
        <f ca="1">IF(AND($B109=0,AB$2&gt;1),AA108,(OFFSET(AB105,0,1)+OFFSET(AB116,0,1)+OFFSET(AB117,0,1))*$B109/Параметры!AB$30)</f>
        <v>0</v>
      </c>
      <c r="AC108" s="316">
        <f ca="1">IF(AND($B109=0,AC$2&gt;1),AB108,(OFFSET(AC105,0,1)+OFFSET(AC116,0,1)+OFFSET(AC117,0,1))*$B109/Параметры!AC$30)</f>
        <v>0</v>
      </c>
      <c r="AD108" s="316">
        <f ca="1">IF(AND($B109=0,AD$2&gt;1),AC108,(OFFSET(AD105,0,1)+OFFSET(AD116,0,1)+OFFSET(AD117,0,1))*$B109/Параметры!AD$30)</f>
        <v>0</v>
      </c>
      <c r="AE108" s="316">
        <f ca="1">IF(AND($B109=0,AE$2&gt;1),AD108,(OFFSET(AE105,0,1)+OFFSET(AE116,0,1)+OFFSET(AE117,0,1))*$B109/Параметры!AE$30)</f>
        <v>0</v>
      </c>
      <c r="AF108" s="316">
        <f ca="1">IF(AND($B109=0,AF$2&gt;1),AE108,(OFFSET(AF105,0,1)+OFFSET(AF116,0,1)+OFFSET(AF117,0,1))*$B109/Параметры!AF$30)</f>
        <v>0</v>
      </c>
      <c r="AG108" s="316">
        <f ca="1">IF(AND($B109=0,AG$2&gt;1),AF108,(OFFSET(AG105,0,1)+OFFSET(AG116,0,1)+OFFSET(AG117,0,1))*$B109/Параметры!AG$30)</f>
        <v>0</v>
      </c>
      <c r="AH108" s="316">
        <f ca="1">IF(AND($B109=0,AH$2&gt;1),AG108,(OFFSET(AH105,0,1)+OFFSET(AH116,0,1)+OFFSET(AH117,0,1))*$B109/Параметры!AH$30)</f>
        <v>0</v>
      </c>
      <c r="AI108" s="316">
        <f ca="1">IF(AND($B109=0,AI$2&gt;1),AH108,(OFFSET(AI105,0,1)+OFFSET(AI116,0,1)+OFFSET(AI117,0,1))*$B109/Параметры!AI$30)</f>
        <v>0</v>
      </c>
      <c r="AJ108" s="316">
        <f ca="1">IF(AND($B109=0,AJ$2&gt;1),AI108,(OFFSET(AJ105,0,1)+OFFSET(AJ116,0,1)+OFFSET(AJ117,0,1))*$B109/Параметры!AJ$30)</f>
        <v>0</v>
      </c>
      <c r="AK108" s="316">
        <f ca="1">IF(AND($B109=0,AK$2&gt;1),AJ108,(OFFSET(AK105,0,1)+OFFSET(AK116,0,1)+OFFSET(AK117,0,1))*$B109/Параметры!AK$30)</f>
        <v>0</v>
      </c>
      <c r="AL108" s="316">
        <f ca="1">IF(AND($B109=0,AL$2&gt;1),AK108,(OFFSET(AL105,0,1)+OFFSET(AL116,0,1)+OFFSET(AL117,0,1))*$B109/Параметры!AL$30)</f>
        <v>0</v>
      </c>
      <c r="AM108" s="316">
        <f ca="1">IF(AND($B109=0,AM$2&gt;1),AL108,(OFFSET(AM105,0,1)+OFFSET(AM116,0,1)+OFFSET(AM117,0,1))*$B109/Параметры!AM$30)</f>
        <v>0</v>
      </c>
      <c r="AN108" s="316">
        <f ca="1">IF(AND($B109=0,AN$2&gt;1),AM108,(OFFSET(AN105,0,1)+OFFSET(AN116,0,1)+OFFSET(AN117,0,1))*$B109/Параметры!AN$30)</f>
        <v>0</v>
      </c>
      <c r="AO108" s="316">
        <f ca="1">IF(AND($B109=0,AO$2&gt;1),AN108,(OFFSET(AO105,0,1)+OFFSET(AO116,0,1)+OFFSET(AO117,0,1))*$B109/Параметры!AO$30)</f>
        <v>0</v>
      </c>
      <c r="AP108" s="316">
        <f ca="1">IF(AND($B109=0,AP$2&gt;1),AO108,(OFFSET(AP105,0,1)+OFFSET(AP116,0,1)+OFFSET(AP117,0,1))*$B109/Параметры!AP$30)</f>
        <v>0</v>
      </c>
      <c r="AQ108" s="316">
        <f ca="1">IF(AND($B109=0,AQ$2&gt;1),AP108,(OFFSET(AQ105,0,1)+OFFSET(AQ116,0,1)+OFFSET(AQ117,0,1))*$B109/Параметры!AQ$30)</f>
        <v>0</v>
      </c>
      <c r="AR108" s="316">
        <f ca="1">IF(AND($B109=0,AR$2&gt;1),AQ108,(OFFSET(AR105,0,1)+OFFSET(AR116,0,1)+OFFSET(AR117,0,1))*$B109/Параметры!AR$30)</f>
        <v>0</v>
      </c>
      <c r="AS108" s="316">
        <f ca="1">IF(AND($B109=0,AS$2&gt;1),AR108,(OFFSET(AS105,0,1)+OFFSET(AS116,0,1)+OFFSET(AS117,0,1))*$B109/Параметры!AS$30)</f>
        <v>0</v>
      </c>
      <c r="AT108" s="316">
        <f ca="1">IF(AND($B109=0,AT$2&gt;1),AS108,(OFFSET(AT105,0,1)+OFFSET(AT116,0,1)+OFFSET(AT117,0,1))*$B109/Параметры!AT$30)</f>
        <v>0</v>
      </c>
      <c r="AU108" s="316">
        <f ca="1">IF(AND($B109=0,AU$2&gt;1),AT108,(OFFSET(AU105,0,1)+OFFSET(AU116,0,1)+OFFSET(AU117,0,1))*$B109/Параметры!AU$30)</f>
        <v>0</v>
      </c>
      <c r="AV108" s="316">
        <f ca="1">IF(AND($B109=0,AV$2&gt;1),AU108,(OFFSET(AV105,0,1)+OFFSET(AV116,0,1)+OFFSET(AV117,0,1))*$B109/Параметры!AV$30)</f>
        <v>0</v>
      </c>
      <c r="AW108" s="168"/>
      <c r="AX108" s="182"/>
    </row>
    <row r="109" spans="1:50" hidden="1" outlineLevel="1" x14ac:dyDescent="0.2">
      <c r="A109" s="181" t="str">
        <f ca="1">Language!A$601</f>
        <v>средний период предоплаты</v>
      </c>
      <c r="B109" s="320">
        <f>$B$624</f>
        <v>0</v>
      </c>
      <c r="C109" s="152" t="str">
        <f ca="1">Language!$A$1446</f>
        <v>дней</v>
      </c>
      <c r="D109" s="100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48"/>
      <c r="AX109" s="150"/>
    </row>
    <row r="110" spans="1:50" hidden="1" outlineLevel="1" x14ac:dyDescent="0.2">
      <c r="A110" s="179" t="str">
        <f ca="1">Language!A$602</f>
        <v>поступление денежных средств, с НДС</v>
      </c>
      <c r="B110" s="52"/>
      <c r="C110" s="103" t="str">
        <f ca="1">CHOOSE(D110,CurName1,CurName2,CurName3)</f>
        <v>тыс. руб.</v>
      </c>
      <c r="D110" s="155">
        <f>D101</f>
        <v>1</v>
      </c>
      <c r="E110" s="57" t="s">
        <v>993</v>
      </c>
      <c r="F110" s="57" t="s">
        <v>753</v>
      </c>
      <c r="G110" s="180">
        <f ca="1">G105+G116+G117-IF(G$2=1,G106,G106-F106)+IF(G$2=1,G108,G108-F108)</f>
        <v>778.16560022987483</v>
      </c>
      <c r="H110" s="180">
        <f t="shared" ref="H110" ca="1" si="325">H105+H116+H117-IF(H$2=1,H106,H106-G106)+IF(H$2=1,H108,H108-G108)</f>
        <v>1240.1012089902656</v>
      </c>
      <c r="I110" s="180">
        <f t="shared" ref="I110" ca="1" si="326">I105+I116+I117-IF(I$2=1,I106,I106-H106)+IF(I$2=1,I108,I108-H108)</f>
        <v>1322.8394216240245</v>
      </c>
      <c r="J110" s="180">
        <f t="shared" ref="J110" ca="1" si="327">J105+J116+J117-IF(J$2=1,J106,J106-I106)+IF(J$2=1,J108,J108-I108)</f>
        <v>1379.6164975319391</v>
      </c>
      <c r="K110" s="180">
        <f t="shared" ref="K110" ca="1" si="328">K105+K116+K117-IF(K$2=1,K106,K106-J106)+IF(K$2=1,K108,K108-J108)</f>
        <v>1399.8607777884672</v>
      </c>
      <c r="L110" s="180">
        <f t="shared" ref="L110" ca="1" si="329">L105+L116+L117-IF(L$2=1,L106,L106-K106)+IF(L$2=1,L108,L108-K108)</f>
        <v>1420.4021194992749</v>
      </c>
      <c r="M110" s="180">
        <f t="shared" ref="M110" ca="1" si="330">M105+M116+M117-IF(M$2=1,M106,M106-L106)+IF(M$2=1,M108,M108-L108)</f>
        <v>1492.1989786475433</v>
      </c>
      <c r="N110" s="180">
        <f t="shared" ref="N110" ca="1" si="331">N105+N116+N117-IF(N$2=1,N106,N106-M106)+IF(N$2=1,N108,N108-M108)</f>
        <v>1543.5950172521998</v>
      </c>
      <c r="O110" s="180">
        <f t="shared" ref="O110" ca="1" si="332">O105+O116+O117-IF(O$2=1,O106,O106-N106)+IF(O$2=1,O108,O108-N108)</f>
        <v>1566.2454930820677</v>
      </c>
      <c r="P110" s="180">
        <f t="shared" ref="P110" ca="1" si="333">P105+P116+P117-IF(P$2=1,P106,P106-O106)+IF(P$2=1,P108,P108-O108)</f>
        <v>1589.2283385099099</v>
      </c>
      <c r="Q110" s="180">
        <f t="shared" ref="Q110" ca="1" si="334">Q105+Q116+Q117-IF(Q$2=1,Q106,Q106-P106)+IF(Q$2=1,Q108,Q108-P108)</f>
        <v>1733.3440417839397</v>
      </c>
      <c r="R110" s="180">
        <f t="shared" ref="R110" ca="1" si="335">R105+R116+R117-IF(R$2=1,R106,R106-Q106)+IF(R$2=1,R108,R108-Q108)</f>
        <v>1828.7131667781491</v>
      </c>
      <c r="S110" s="180">
        <f t="shared" ref="S110" ca="1" si="336">S105+S116+S117-IF(S$2=1,S106,S106-R106)+IF(S$2=1,S108,S108-R108)</f>
        <v>1855.5474224740533</v>
      </c>
      <c r="T110" s="180">
        <f t="shared" ref="T110" ca="1" si="337">T105+T116+T117-IF(T$2=1,T106,T106-S106)+IF(T$2=1,T108,T108-S108)</f>
        <v>1882.77543991009</v>
      </c>
      <c r="U110" s="180">
        <f t="shared" ref="U110" ca="1" si="338">U105+U116+U117-IF(U$2=1,U106,U106-T106)+IF(U$2=1,U108,U108-T108)</f>
        <v>1971.2499089723237</v>
      </c>
      <c r="V110" s="180">
        <f t="shared" ref="V110" ca="1" si="339">V105+V116+V117-IF(V$2=1,V106,V106-U106)+IF(V$2=1,V108,V108-U108)</f>
        <v>2035.4028864100148</v>
      </c>
      <c r="W110" s="180">
        <f t="shared" ref="W110" ca="1" si="340">W105+W116+W117-IF(W$2=1,W106,W106-V106)+IF(W$2=1,W108,W108-V108)</f>
        <v>2065.2700752564406</v>
      </c>
      <c r="X110" s="180">
        <f t="shared" ref="X110" ca="1" si="341">X105+X116+X117-IF(X$2=1,X106,X106-W106)+IF(X$2=1,X108,X108-W108)</f>
        <v>2095.575530637489</v>
      </c>
      <c r="Y110" s="180">
        <f t="shared" ref="Y110" ca="1" si="342">Y105+Y116+Y117-IF(Y$2=1,Y106,Y106-X106)+IF(Y$2=1,Y108,Y108-X108)</f>
        <v>2136.4502743259673</v>
      </c>
      <c r="Z110" s="180">
        <f t="shared" ref="Z110" ca="1" si="343">Z105+Z116+Z117-IF(Z$2=1,Z106,Z106-Y106)+IF(Z$2=1,Z108,Z108-Y108)</f>
        <v>2173.6618221504204</v>
      </c>
      <c r="AA110" s="180">
        <f t="shared" ref="AA110" ca="1" si="344">AA105+AA116+AA117-IF(AA$2=1,AA106,AA106-Z106)+IF(AA$2=1,AA108,AA108-Z108)</f>
        <v>2205.5578013513432</v>
      </c>
      <c r="AB110" s="180">
        <f t="shared" ref="AB110" ca="1" si="345">AB105+AB116+AB117-IF(AB$2=1,AB106,AB106-AA106)+IF(AB$2=1,AB108,AB108-AA108)</f>
        <v>2237.9218172444594</v>
      </c>
      <c r="AC110" s="180">
        <f t="shared" ref="AC110" ca="1" si="346">AC105+AC116+AC117-IF(AC$2=1,AC106,AC106-AB106)+IF(AC$2=1,AC108,AC108-AB108)</f>
        <v>2277.7383485465707</v>
      </c>
      <c r="AD110" s="180">
        <f t="shared" ref="AD110" ca="1" si="347">AD105+AD116+AD117-IF(AD$2=1,AD106,AD106-AC106)+IF(AD$2=1,AD108,AD108-AC108)</f>
        <v>2315.2012001067656</v>
      </c>
      <c r="AE110" s="180">
        <f t="shared" ref="AE110" ca="1" si="348">AE105+AE116+AE117-IF(AE$2=1,AE106,AE106-AD106)+IF(AE$2=1,AE108,AE108-AD108)</f>
        <v>2349.1741063666277</v>
      </c>
      <c r="AF110" s="180">
        <f t="shared" ref="AF110" ca="1" si="349">AF105+AF116+AF117-IF(AF$2=1,AF106,AF106-AE106)+IF(AF$2=1,AF108,AF108-AE108)</f>
        <v>2383.6455258268497</v>
      </c>
      <c r="AG110" s="180">
        <f t="shared" ref="AG110" ca="1" si="350">AG105+AG116+AG117-IF(AG$2=1,AG106,AG106-AF106)+IF(AG$2=1,AG108,AG108-AF108)</f>
        <v>2417.5440246407115</v>
      </c>
      <c r="AH110" s="180">
        <f t="shared" ref="AH110" ca="1" si="351">AH105+AH116+AH117-IF(AH$2=1,AH106,AH106-AG106)+IF(AH$2=1,AH108,AH108-AG108)</f>
        <v>2452.3941548968778</v>
      </c>
      <c r="AI110" s="180">
        <f t="shared" ref="AI110" ca="1" si="352">AI105+AI116+AI117-IF(AI$2=1,AI106,AI106-AH106)+IF(AI$2=1,AI108,AI108-AH108)</f>
        <v>2488.3802094707539</v>
      </c>
      <c r="AJ110" s="180">
        <f t="shared" ref="AJ110" ca="1" si="353">AJ105+AJ116+AJ117-IF(AJ$2=1,AJ106,AJ106-AI106)+IF(AJ$2=1,AJ108,AJ108-AI108)</f>
        <v>2524.894317873664</v>
      </c>
      <c r="AK110" s="180">
        <f t="shared" ref="AK110" ca="1" si="354">AK105+AK116+AK117-IF(AK$2=1,AK106,AK106-AJ106)+IF(AK$2=1,AK108,AK108-AJ108)</f>
        <v>2559.6572809064669</v>
      </c>
      <c r="AL110" s="180">
        <f t="shared" ref="AL110" ca="1" si="355">AL105+AL116+AL117-IF(AL$2=1,AL106,AL106-AK106)+IF(AL$2=1,AL108,AL108-AK108)</f>
        <v>2595.8932756921467</v>
      </c>
      <c r="AM110" s="180">
        <f t="shared" ref="AM110" ca="1" si="356">AM105+AM116+AM117-IF(AM$2=1,AM106,AM106-AL106)+IF(AM$2=1,AM108,AM108-AL108)</f>
        <v>2633.9850142899104</v>
      </c>
      <c r="AN110" s="180">
        <f t="shared" ref="AN110" ca="1" si="357">AN105+AN116+AN117-IF(AN$2=1,AN106,AN106-AM106)+IF(AN$2=1,AN108,AN108-AM108)</f>
        <v>2672.6357052001545</v>
      </c>
      <c r="AO110" s="180">
        <f t="shared" ref="AO110" ca="1" si="358">AO105+AO116+AO117-IF(AO$2=1,AO106,AO106-AN106)+IF(AO$2=1,AO108,AO108-AN108)</f>
        <v>2711.3687174738106</v>
      </c>
      <c r="AP110" s="180">
        <f t="shared" ref="AP110" ca="1" si="359">AP105+AP116+AP117-IF(AP$2=1,AP106,AP106-AO106)+IF(AP$2=1,AP108,AP108-AO108)</f>
        <v>2750.8742321919849</v>
      </c>
      <c r="AQ110" s="180">
        <f t="shared" ref="AQ110" ca="1" si="360">AQ105+AQ116+AQ117-IF(AQ$2=1,AQ106,AQ106-AP106)+IF(AQ$2=1,AQ108,AQ108-AP108)</f>
        <v>2791.2401375044983</v>
      </c>
      <c r="AR110" s="180">
        <f t="shared" ref="AR110" ca="1" si="361">AR105+AR116+AR117-IF(AR$2=1,AR106,AR106-AQ106)+IF(AR$2=1,AR108,AR108-AQ108)</f>
        <v>2832.198365902027</v>
      </c>
      <c r="AS110" s="180">
        <f t="shared" ref="AS110" ca="1" si="362">AS105+AS116+AS117-IF(AS$2=1,AS106,AS106-AR106)+IF(AS$2=1,AS108,AS108-AR108)</f>
        <v>2872.4728017797111</v>
      </c>
      <c r="AT110" s="180">
        <f t="shared" ref="AT110" ca="1" si="363">AT105+AT116+AT117-IF(AT$2=1,AT106,AT106-AS106)+IF(AT$2=1,AT108,AT108-AS108)</f>
        <v>2913.8791900130218</v>
      </c>
      <c r="AU110" s="180">
        <f t="shared" ref="AU110" ca="1" si="364">AU105+AU116+AU117-IF(AU$2=1,AU106,AU106-AT106)+IF(AU$2=1,AU108,AU108-AT108)</f>
        <v>2956.6370050013302</v>
      </c>
      <c r="AV110" s="180">
        <f t="shared" ref="AV110" ca="1" si="365">AV105+AV116+AV117-IF(AV$2=1,AV106,AV106-AU106)+IF(AV$2=1,AV108,AV108-AU108)</f>
        <v>3000.0222415892858</v>
      </c>
      <c r="AW110" s="180"/>
      <c r="AX110" s="169">
        <f ca="1">SUM(G110:AW110)</f>
        <v>90453.559495723428</v>
      </c>
    </row>
    <row r="111" spans="1:50" hidden="1" outlineLevel="1" x14ac:dyDescent="0.2">
      <c r="A111" s="179" t="str">
        <f ca="1">Language!A$603</f>
        <v>темп изменения цен</v>
      </c>
      <c r="B111" s="84"/>
      <c r="C111" s="82" t="str">
        <f ca="1">Language!$A$471</f>
        <v>% в год</v>
      </c>
      <c r="D111" s="153"/>
      <c r="F111" s="57" t="s">
        <v>756</v>
      </c>
      <c r="G111" s="321">
        <f>CHOOSE($D101,Параметры!G$47,Параметры!G$56,Параметры!G$62)</f>
        <v>0.06</v>
      </c>
      <c r="H111" s="321">
        <f>CHOOSE($D101,Параметры!H$47,Параметры!H$56,Параметры!H$62)</f>
        <v>0.06</v>
      </c>
      <c r="I111" s="321">
        <f>CHOOSE($D101,Параметры!I$47,Параметры!I$56,Параметры!I$62)</f>
        <v>0.06</v>
      </c>
      <c r="J111" s="321">
        <f>CHOOSE($D101,Параметры!J$47,Параметры!J$56,Параметры!J$62)</f>
        <v>0.06</v>
      </c>
      <c r="K111" s="321">
        <f>CHOOSE($D101,Параметры!K$47,Параметры!K$56,Параметры!K$62)</f>
        <v>0.06</v>
      </c>
      <c r="L111" s="321">
        <f>CHOOSE($D101,Параметры!L$47,Параметры!L$56,Параметры!L$62)</f>
        <v>0.06</v>
      </c>
      <c r="M111" s="321">
        <f>CHOOSE($D101,Параметры!M$47,Параметры!M$56,Параметры!M$62)</f>
        <v>0.06</v>
      </c>
      <c r="N111" s="321">
        <f>CHOOSE($D101,Параметры!N$47,Параметры!N$56,Параметры!N$62)</f>
        <v>0.06</v>
      </c>
      <c r="O111" s="321">
        <f>CHOOSE($D101,Параметры!O$47,Параметры!O$56,Параметры!O$62)</f>
        <v>0.06</v>
      </c>
      <c r="P111" s="321">
        <f>CHOOSE($D101,Параметры!P$47,Параметры!P$56,Параметры!P$62)</f>
        <v>0.06</v>
      </c>
      <c r="Q111" s="321">
        <f>CHOOSE($D101,Параметры!Q$47,Параметры!Q$56,Параметры!Q$62)</f>
        <v>0.06</v>
      </c>
      <c r="R111" s="321">
        <f>CHOOSE($D101,Параметры!R$47,Параметры!R$56,Параметры!R$62)</f>
        <v>0.06</v>
      </c>
      <c r="S111" s="321">
        <f>CHOOSE($D101,Параметры!S$47,Параметры!S$56,Параметры!S$62)</f>
        <v>0.06</v>
      </c>
      <c r="T111" s="321">
        <f>CHOOSE($D101,Параметры!T$47,Параметры!T$56,Параметры!T$62)</f>
        <v>0.06</v>
      </c>
      <c r="U111" s="321">
        <f>CHOOSE($D101,Параметры!U$47,Параметры!U$56,Параметры!U$62)</f>
        <v>0.06</v>
      </c>
      <c r="V111" s="321">
        <f>CHOOSE($D101,Параметры!V$47,Параметры!V$56,Параметры!V$62)</f>
        <v>0.06</v>
      </c>
      <c r="W111" s="321">
        <f>CHOOSE($D101,Параметры!W$47,Параметры!W$56,Параметры!W$62)</f>
        <v>0.06</v>
      </c>
      <c r="X111" s="321">
        <f>CHOOSE($D101,Параметры!X$47,Параметры!X$56,Параметры!X$62)</f>
        <v>0.06</v>
      </c>
      <c r="Y111" s="321">
        <f>CHOOSE($D101,Параметры!Y$47,Параметры!Y$56,Параметры!Y$62)</f>
        <v>0.06</v>
      </c>
      <c r="Z111" s="321">
        <f>CHOOSE($D101,Параметры!Z$47,Параметры!Z$56,Параметры!Z$62)</f>
        <v>0.06</v>
      </c>
      <c r="AA111" s="321">
        <f>CHOOSE($D101,Параметры!AA$47,Параметры!AA$56,Параметры!AA$62)</f>
        <v>0.06</v>
      </c>
      <c r="AB111" s="321">
        <f>CHOOSE($D101,Параметры!AB$47,Параметры!AB$56,Параметры!AB$62)</f>
        <v>0.06</v>
      </c>
      <c r="AC111" s="321">
        <f>CHOOSE($D101,Параметры!AC$47,Параметры!AC$56,Параметры!AC$62)</f>
        <v>0.06</v>
      </c>
      <c r="AD111" s="321">
        <f>CHOOSE($D101,Параметры!AD$47,Параметры!AD$56,Параметры!AD$62)</f>
        <v>0.06</v>
      </c>
      <c r="AE111" s="321">
        <f>CHOOSE($D101,Параметры!AE$47,Параметры!AE$56,Параметры!AE$62)</f>
        <v>0.06</v>
      </c>
      <c r="AF111" s="321">
        <f>CHOOSE($D101,Параметры!AF$47,Параметры!AF$56,Параметры!AF$62)</f>
        <v>0.06</v>
      </c>
      <c r="AG111" s="321">
        <f>CHOOSE($D101,Параметры!AG$47,Параметры!AG$56,Параметры!AG$62)</f>
        <v>0.06</v>
      </c>
      <c r="AH111" s="321">
        <f>CHOOSE($D101,Параметры!AH$47,Параметры!AH$56,Параметры!AH$62)</f>
        <v>0.06</v>
      </c>
      <c r="AI111" s="321">
        <f>CHOOSE($D101,Параметры!AI$47,Параметры!AI$56,Параметры!AI$62)</f>
        <v>0.06</v>
      </c>
      <c r="AJ111" s="321">
        <f>CHOOSE($D101,Параметры!AJ$47,Параметры!AJ$56,Параметры!AJ$62)</f>
        <v>0.06</v>
      </c>
      <c r="AK111" s="321">
        <f>CHOOSE($D101,Параметры!AK$47,Параметры!AK$56,Параметры!AK$62)</f>
        <v>0.06</v>
      </c>
      <c r="AL111" s="321">
        <f>CHOOSE($D101,Параметры!AL$47,Параметры!AL$56,Параметры!AL$62)</f>
        <v>0.06</v>
      </c>
      <c r="AM111" s="321">
        <f>CHOOSE($D101,Параметры!AM$47,Параметры!AM$56,Параметры!AM$62)</f>
        <v>0.06</v>
      </c>
      <c r="AN111" s="321">
        <f>CHOOSE($D101,Параметры!AN$47,Параметры!AN$56,Параметры!AN$62)</f>
        <v>0.06</v>
      </c>
      <c r="AO111" s="321">
        <f>CHOOSE($D101,Параметры!AO$47,Параметры!AO$56,Параметры!AO$62)</f>
        <v>0.06</v>
      </c>
      <c r="AP111" s="321">
        <f>CHOOSE($D101,Параметры!AP$47,Параметры!AP$56,Параметры!AP$62)</f>
        <v>0.06</v>
      </c>
      <c r="AQ111" s="321">
        <f>CHOOSE($D101,Параметры!AQ$47,Параметры!AQ$56,Параметры!AQ$62)</f>
        <v>0.06</v>
      </c>
      <c r="AR111" s="321">
        <f>CHOOSE($D101,Параметры!AR$47,Параметры!AR$56,Параметры!AR$62)</f>
        <v>0.06</v>
      </c>
      <c r="AS111" s="321">
        <f>CHOOSE($D101,Параметры!AS$47,Параметры!AS$56,Параметры!AS$62)</f>
        <v>0.06</v>
      </c>
      <c r="AT111" s="321">
        <f>CHOOSE($D101,Параметры!AT$47,Параметры!AT$56,Параметры!AT$62)</f>
        <v>0.06</v>
      </c>
      <c r="AU111" s="321">
        <f>CHOOSE($D101,Параметры!AU$47,Параметры!AU$56,Параметры!AU$62)</f>
        <v>0.06</v>
      </c>
      <c r="AV111" s="321">
        <f>CHOOSE($D101,Параметры!AV$47,Параметры!AV$56,Параметры!AV$62)</f>
        <v>0.06</v>
      </c>
      <c r="AW111" s="183"/>
      <c r="AX111" s="184"/>
    </row>
    <row r="112" spans="1:50" hidden="1" outlineLevel="1" x14ac:dyDescent="0.2">
      <c r="A112" s="179" t="str">
        <f ca="1">Language!A$604</f>
        <v>ставка НДС</v>
      </c>
      <c r="B112" s="84"/>
      <c r="C112" s="82" t="s">
        <v>1</v>
      </c>
      <c r="D112" s="66"/>
      <c r="F112" s="57" t="s">
        <v>756</v>
      </c>
      <c r="G112" s="321">
        <f>Параметры!G$72*10/18</f>
        <v>9.9999999999999992E-2</v>
      </c>
      <c r="H112" s="321">
        <f>Параметры!H$72*10/18</f>
        <v>9.9999999999999992E-2</v>
      </c>
      <c r="I112" s="321">
        <f>Параметры!I$72*10/18</f>
        <v>9.9999999999999992E-2</v>
      </c>
      <c r="J112" s="321">
        <f>Параметры!J$72*10/18</f>
        <v>9.9999999999999992E-2</v>
      </c>
      <c r="K112" s="321">
        <f>Параметры!K$72*10/18</f>
        <v>9.9999999999999992E-2</v>
      </c>
      <c r="L112" s="321">
        <f>Параметры!L$72*10/18</f>
        <v>9.9999999999999992E-2</v>
      </c>
      <c r="M112" s="321">
        <f>Параметры!M$72*10/18</f>
        <v>9.9999999999999992E-2</v>
      </c>
      <c r="N112" s="321">
        <f>Параметры!N$72*10/18</f>
        <v>9.9999999999999992E-2</v>
      </c>
      <c r="O112" s="321">
        <f>Параметры!O$72*10/18</f>
        <v>9.9999999999999992E-2</v>
      </c>
      <c r="P112" s="321">
        <f>Параметры!P$72*10/18</f>
        <v>9.9999999999999992E-2</v>
      </c>
      <c r="Q112" s="321">
        <f>Параметры!Q$72*10/18</f>
        <v>9.9999999999999992E-2</v>
      </c>
      <c r="R112" s="321">
        <f>Параметры!R$72*10/18</f>
        <v>9.9999999999999992E-2</v>
      </c>
      <c r="S112" s="321">
        <f>Параметры!S$72*10/18</f>
        <v>9.9999999999999992E-2</v>
      </c>
      <c r="T112" s="321">
        <f>Параметры!T$72*10/18</f>
        <v>9.9999999999999992E-2</v>
      </c>
      <c r="U112" s="321">
        <f>Параметры!U$72*10/18</f>
        <v>9.9999999999999992E-2</v>
      </c>
      <c r="V112" s="321">
        <f>Параметры!V$72*10/18</f>
        <v>9.9999999999999992E-2</v>
      </c>
      <c r="W112" s="321">
        <f>Параметры!W$72*10/18</f>
        <v>9.9999999999999992E-2</v>
      </c>
      <c r="X112" s="321">
        <f>Параметры!X$72*10/18</f>
        <v>9.9999999999999992E-2</v>
      </c>
      <c r="Y112" s="321">
        <f>Параметры!Y$72*10/18</f>
        <v>9.9999999999999992E-2</v>
      </c>
      <c r="Z112" s="321">
        <f>Параметры!Z$72*10/18</f>
        <v>9.9999999999999992E-2</v>
      </c>
      <c r="AA112" s="321">
        <f>Параметры!AA$72*10/18</f>
        <v>9.9999999999999992E-2</v>
      </c>
      <c r="AB112" s="321">
        <f>Параметры!AB$72*10/18</f>
        <v>9.9999999999999992E-2</v>
      </c>
      <c r="AC112" s="321">
        <f>Параметры!AC$72*10/18</f>
        <v>9.9999999999999992E-2</v>
      </c>
      <c r="AD112" s="321">
        <f>Параметры!AD$72*10/18</f>
        <v>9.9999999999999992E-2</v>
      </c>
      <c r="AE112" s="321">
        <f>Параметры!AE$72*10/18</f>
        <v>9.9999999999999992E-2</v>
      </c>
      <c r="AF112" s="321">
        <f>Параметры!AF$72*10/18</f>
        <v>9.9999999999999992E-2</v>
      </c>
      <c r="AG112" s="321">
        <f>Параметры!AG$72*10/18</f>
        <v>9.9999999999999992E-2</v>
      </c>
      <c r="AH112" s="321">
        <f>Параметры!AH$72*10/18</f>
        <v>9.9999999999999992E-2</v>
      </c>
      <c r="AI112" s="321">
        <f>Параметры!AI$72*10/18</f>
        <v>9.9999999999999992E-2</v>
      </c>
      <c r="AJ112" s="321">
        <f>Параметры!AJ$72*10/18</f>
        <v>9.9999999999999992E-2</v>
      </c>
      <c r="AK112" s="321">
        <f>Параметры!AK$72*10/18</f>
        <v>9.9999999999999992E-2</v>
      </c>
      <c r="AL112" s="321">
        <f>Параметры!AL$72*10/18</f>
        <v>9.9999999999999992E-2</v>
      </c>
      <c r="AM112" s="321">
        <f>Параметры!AM$72*10/18</f>
        <v>9.9999999999999992E-2</v>
      </c>
      <c r="AN112" s="321">
        <f>Параметры!AN$72*10/18</f>
        <v>9.9999999999999992E-2</v>
      </c>
      <c r="AO112" s="321">
        <f>Параметры!AO$72*10/18</f>
        <v>9.9999999999999992E-2</v>
      </c>
      <c r="AP112" s="321">
        <f>Параметры!AP$72*10/18</f>
        <v>9.9999999999999992E-2</v>
      </c>
      <c r="AQ112" s="321">
        <f>Параметры!AQ$72*10/18</f>
        <v>9.9999999999999992E-2</v>
      </c>
      <c r="AR112" s="321">
        <f>Параметры!AR$72*10/18</f>
        <v>9.9999999999999992E-2</v>
      </c>
      <c r="AS112" s="321">
        <f>Параметры!AS$72*10/18</f>
        <v>9.9999999999999992E-2</v>
      </c>
      <c r="AT112" s="321">
        <f>Параметры!AT$72*10/18</f>
        <v>9.9999999999999992E-2</v>
      </c>
      <c r="AU112" s="321">
        <f>Параметры!AU$72*10/18</f>
        <v>9.9999999999999992E-2</v>
      </c>
      <c r="AV112" s="321">
        <f>Параметры!AV$72*10/18</f>
        <v>9.9999999999999992E-2</v>
      </c>
      <c r="AW112" s="183"/>
      <c r="AX112" s="87"/>
    </row>
    <row r="113" spans="1:50" hidden="1" outlineLevel="1" x14ac:dyDescent="0.2">
      <c r="A113" s="179" t="str">
        <f ca="1">Language!A$605</f>
        <v>акцизы, на единицу</v>
      </c>
      <c r="B113" s="66"/>
      <c r="C113" s="82" t="str">
        <f ca="1">CHOOSE(D113,CurName1,CurName2,CurName3)&amp;"/"&amp;C103</f>
        <v>тыс. руб./тн</v>
      </c>
      <c r="D113" s="66">
        <f>D101</f>
        <v>1</v>
      </c>
      <c r="F113" s="57" t="s">
        <v>756</v>
      </c>
      <c r="G113" s="319">
        <v>0</v>
      </c>
      <c r="H113" s="319">
        <f t="shared" ref="H113:H114" si="366">G113</f>
        <v>0</v>
      </c>
      <c r="I113" s="319">
        <f t="shared" ref="I113:I114" si="367">H113</f>
        <v>0</v>
      </c>
      <c r="J113" s="319">
        <f t="shared" ref="J113:J114" si="368">I113</f>
        <v>0</v>
      </c>
      <c r="K113" s="319">
        <f t="shared" ref="K113:K114" si="369">J113</f>
        <v>0</v>
      </c>
      <c r="L113" s="319">
        <f t="shared" ref="L113:L114" si="370">K113</f>
        <v>0</v>
      </c>
      <c r="M113" s="319">
        <f t="shared" ref="M113:M114" si="371">L113</f>
        <v>0</v>
      </c>
      <c r="N113" s="319">
        <f t="shared" ref="N113:N114" si="372">M113</f>
        <v>0</v>
      </c>
      <c r="O113" s="319">
        <f t="shared" ref="O113:O114" si="373">N113</f>
        <v>0</v>
      </c>
      <c r="P113" s="319">
        <f t="shared" ref="P113:P114" si="374">O113</f>
        <v>0</v>
      </c>
      <c r="Q113" s="319">
        <f t="shared" ref="Q113:Q114" si="375">P113</f>
        <v>0</v>
      </c>
      <c r="R113" s="319">
        <f t="shared" ref="R113:R114" si="376">Q113</f>
        <v>0</v>
      </c>
      <c r="S113" s="319">
        <f t="shared" ref="S113:S114" si="377">R113</f>
        <v>0</v>
      </c>
      <c r="T113" s="319">
        <f t="shared" ref="T113:T114" si="378">S113</f>
        <v>0</v>
      </c>
      <c r="U113" s="319">
        <f t="shared" ref="U113:U114" si="379">T113</f>
        <v>0</v>
      </c>
      <c r="V113" s="319">
        <f t="shared" ref="V113:V114" si="380">U113</f>
        <v>0</v>
      </c>
      <c r="W113" s="319">
        <f t="shared" ref="W113:W114" si="381">V113</f>
        <v>0</v>
      </c>
      <c r="X113" s="319">
        <f t="shared" ref="X113:X114" si="382">W113</f>
        <v>0</v>
      </c>
      <c r="Y113" s="319">
        <f t="shared" ref="Y113:Y114" si="383">X113</f>
        <v>0</v>
      </c>
      <c r="Z113" s="319">
        <f t="shared" ref="Z113:Z114" si="384">Y113</f>
        <v>0</v>
      </c>
      <c r="AA113" s="319">
        <f t="shared" ref="AA113:AA114" si="385">Z113</f>
        <v>0</v>
      </c>
      <c r="AB113" s="319">
        <f t="shared" ref="AB113:AB114" si="386">AA113</f>
        <v>0</v>
      </c>
      <c r="AC113" s="319">
        <f t="shared" ref="AC113:AC114" si="387">AB113</f>
        <v>0</v>
      </c>
      <c r="AD113" s="319">
        <f t="shared" ref="AD113:AD114" si="388">AC113</f>
        <v>0</v>
      </c>
      <c r="AE113" s="319">
        <f t="shared" ref="AE113:AE114" si="389">AD113</f>
        <v>0</v>
      </c>
      <c r="AF113" s="319">
        <f t="shared" ref="AF113:AF114" si="390">AE113</f>
        <v>0</v>
      </c>
      <c r="AG113" s="319">
        <f t="shared" ref="AG113:AG114" si="391">AF113</f>
        <v>0</v>
      </c>
      <c r="AH113" s="319">
        <f t="shared" ref="AH113:AH114" si="392">AG113</f>
        <v>0</v>
      </c>
      <c r="AI113" s="319">
        <f t="shared" ref="AI113:AI114" si="393">AH113</f>
        <v>0</v>
      </c>
      <c r="AJ113" s="319">
        <f t="shared" ref="AJ113:AJ114" si="394">AI113</f>
        <v>0</v>
      </c>
      <c r="AK113" s="319">
        <f t="shared" ref="AK113:AK114" si="395">AJ113</f>
        <v>0</v>
      </c>
      <c r="AL113" s="319">
        <f t="shared" ref="AL113:AL114" si="396">AK113</f>
        <v>0</v>
      </c>
      <c r="AM113" s="319">
        <f t="shared" ref="AM113:AM114" si="397">AL113</f>
        <v>0</v>
      </c>
      <c r="AN113" s="319">
        <f t="shared" ref="AN113:AN114" si="398">AM113</f>
        <v>0</v>
      </c>
      <c r="AO113" s="319">
        <f t="shared" ref="AO113:AO114" si="399">AN113</f>
        <v>0</v>
      </c>
      <c r="AP113" s="319">
        <f t="shared" ref="AP113:AP114" si="400">AO113</f>
        <v>0</v>
      </c>
      <c r="AQ113" s="319">
        <f t="shared" ref="AQ113:AQ114" si="401">AP113</f>
        <v>0</v>
      </c>
      <c r="AR113" s="319">
        <f t="shared" ref="AR113:AR114" si="402">AQ113</f>
        <v>0</v>
      </c>
      <c r="AS113" s="319">
        <f t="shared" ref="AS113:AS114" si="403">AR113</f>
        <v>0</v>
      </c>
      <c r="AT113" s="319">
        <f t="shared" ref="AT113:AT114" si="404">AS113</f>
        <v>0</v>
      </c>
      <c r="AU113" s="319">
        <f t="shared" ref="AU113:AU114" si="405">AT113</f>
        <v>0</v>
      </c>
      <c r="AV113" s="319">
        <f t="shared" ref="AV113:AV114" si="406">AU113</f>
        <v>0</v>
      </c>
      <c r="AW113" s="180"/>
      <c r="AX113" s="87"/>
    </row>
    <row r="114" spans="1:50" hidden="1" outlineLevel="1" x14ac:dyDescent="0.2">
      <c r="A114" s="179" t="str">
        <f ca="1">Language!A$606</f>
        <v>ставка акцизов, в процентах</v>
      </c>
      <c r="B114" s="84"/>
      <c r="C114" s="82" t="s">
        <v>1</v>
      </c>
      <c r="D114" s="66"/>
      <c r="F114" s="57" t="s">
        <v>756</v>
      </c>
      <c r="G114" s="321">
        <v>0</v>
      </c>
      <c r="H114" s="321">
        <f t="shared" si="366"/>
        <v>0</v>
      </c>
      <c r="I114" s="321">
        <f t="shared" si="367"/>
        <v>0</v>
      </c>
      <c r="J114" s="321">
        <f t="shared" si="368"/>
        <v>0</v>
      </c>
      <c r="K114" s="321">
        <f t="shared" si="369"/>
        <v>0</v>
      </c>
      <c r="L114" s="321">
        <f t="shared" si="370"/>
        <v>0</v>
      </c>
      <c r="M114" s="321">
        <f t="shared" si="371"/>
        <v>0</v>
      </c>
      <c r="N114" s="321">
        <f t="shared" si="372"/>
        <v>0</v>
      </c>
      <c r="O114" s="321">
        <f t="shared" si="373"/>
        <v>0</v>
      </c>
      <c r="P114" s="321">
        <f t="shared" si="374"/>
        <v>0</v>
      </c>
      <c r="Q114" s="321">
        <f t="shared" si="375"/>
        <v>0</v>
      </c>
      <c r="R114" s="321">
        <f t="shared" si="376"/>
        <v>0</v>
      </c>
      <c r="S114" s="321">
        <f t="shared" si="377"/>
        <v>0</v>
      </c>
      <c r="T114" s="321">
        <f t="shared" si="378"/>
        <v>0</v>
      </c>
      <c r="U114" s="321">
        <f t="shared" si="379"/>
        <v>0</v>
      </c>
      <c r="V114" s="321">
        <f t="shared" si="380"/>
        <v>0</v>
      </c>
      <c r="W114" s="321">
        <f t="shared" si="381"/>
        <v>0</v>
      </c>
      <c r="X114" s="321">
        <f t="shared" si="382"/>
        <v>0</v>
      </c>
      <c r="Y114" s="321">
        <f t="shared" si="383"/>
        <v>0</v>
      </c>
      <c r="Z114" s="321">
        <f t="shared" si="384"/>
        <v>0</v>
      </c>
      <c r="AA114" s="321">
        <f t="shared" si="385"/>
        <v>0</v>
      </c>
      <c r="AB114" s="321">
        <f t="shared" si="386"/>
        <v>0</v>
      </c>
      <c r="AC114" s="321">
        <f t="shared" si="387"/>
        <v>0</v>
      </c>
      <c r="AD114" s="321">
        <f t="shared" si="388"/>
        <v>0</v>
      </c>
      <c r="AE114" s="321">
        <f t="shared" si="389"/>
        <v>0</v>
      </c>
      <c r="AF114" s="321">
        <f t="shared" si="390"/>
        <v>0</v>
      </c>
      <c r="AG114" s="321">
        <f t="shared" si="391"/>
        <v>0</v>
      </c>
      <c r="AH114" s="321">
        <f t="shared" si="392"/>
        <v>0</v>
      </c>
      <c r="AI114" s="321">
        <f t="shared" si="393"/>
        <v>0</v>
      </c>
      <c r="AJ114" s="321">
        <f t="shared" si="394"/>
        <v>0</v>
      </c>
      <c r="AK114" s="321">
        <f t="shared" si="395"/>
        <v>0</v>
      </c>
      <c r="AL114" s="321">
        <f t="shared" si="396"/>
        <v>0</v>
      </c>
      <c r="AM114" s="321">
        <f t="shared" si="397"/>
        <v>0</v>
      </c>
      <c r="AN114" s="321">
        <f t="shared" si="398"/>
        <v>0</v>
      </c>
      <c r="AO114" s="321">
        <f t="shared" si="399"/>
        <v>0</v>
      </c>
      <c r="AP114" s="321">
        <f t="shared" si="400"/>
        <v>0</v>
      </c>
      <c r="AQ114" s="321">
        <f t="shared" si="401"/>
        <v>0</v>
      </c>
      <c r="AR114" s="321">
        <f t="shared" si="402"/>
        <v>0</v>
      </c>
      <c r="AS114" s="321">
        <f t="shared" si="403"/>
        <v>0</v>
      </c>
      <c r="AT114" s="321">
        <f t="shared" si="404"/>
        <v>0</v>
      </c>
      <c r="AU114" s="321">
        <f t="shared" si="405"/>
        <v>0</v>
      </c>
      <c r="AV114" s="321">
        <f t="shared" si="406"/>
        <v>0</v>
      </c>
      <c r="AW114" s="183"/>
      <c r="AX114" s="87"/>
    </row>
    <row r="115" spans="1:50" hidden="1" outlineLevel="1" x14ac:dyDescent="0.2">
      <c r="A115" s="179" t="str">
        <f ca="1">Language!A$607</f>
        <v>коэффициент прироста цен к предыдущему периоду</v>
      </c>
      <c r="B115" s="84"/>
      <c r="C115" s="82" t="str">
        <f ca="1">Language!$A$1449</f>
        <v>раз</v>
      </c>
      <c r="D115" s="66"/>
      <c r="F115" s="57" t="s">
        <v>756</v>
      </c>
      <c r="G115" s="86">
        <f ca="1">IF(G$2=1,1,IF(Prj_Inflation=1,POWER(1+OFFSET(G111,0,-1),Параметры!G$30/360),1))</f>
        <v>1</v>
      </c>
      <c r="H115" s="86">
        <f ca="1">IF(H$2=1,1,IF(Prj_Inflation=1,POWER(1+OFFSET(H111,0,-1),Параметры!H$30/360),1))</f>
        <v>1.0146738461686593</v>
      </c>
      <c r="I115" s="86">
        <f ca="1">IF(I$2=1,1,IF(Prj_Inflation=1,POWER(1+OFFSET(I111,0,-1),Параметры!I$30/360),1))</f>
        <v>1.0146738461686593</v>
      </c>
      <c r="J115" s="86">
        <f ca="1">IF(J$2=1,1,IF(Prj_Inflation=1,POWER(1+OFFSET(J111,0,-1),Параметры!J$30/360),1))</f>
        <v>1.0146738461686593</v>
      </c>
      <c r="K115" s="86">
        <f ca="1">IF(K$2=1,1,IF(Prj_Inflation=1,POWER(1+OFFSET(K111,0,-1),Параметры!K$30/360),1))</f>
        <v>1.0146738461686593</v>
      </c>
      <c r="L115" s="86">
        <f ca="1">IF(L$2=1,1,IF(Prj_Inflation=1,POWER(1+OFFSET(L111,0,-1),Параметры!L$30/360),1))</f>
        <v>1.0146738461686593</v>
      </c>
      <c r="M115" s="86">
        <f ca="1">IF(M$2=1,1,IF(Prj_Inflation=1,POWER(1+OFFSET(M111,0,-1),Параметры!M$30/360),1))</f>
        <v>1.0146738461686593</v>
      </c>
      <c r="N115" s="86">
        <f ca="1">IF(N$2=1,1,IF(Prj_Inflation=1,POWER(1+OFFSET(N111,0,-1),Параметры!N$30/360),1))</f>
        <v>1.0146738461686593</v>
      </c>
      <c r="O115" s="86">
        <f ca="1">IF(O$2=1,1,IF(Prj_Inflation=1,POWER(1+OFFSET(O111,0,-1),Параметры!O$30/360),1))</f>
        <v>1.0146738461686593</v>
      </c>
      <c r="P115" s="86">
        <f ca="1">IF(P$2=1,1,IF(Prj_Inflation=1,POWER(1+OFFSET(P111,0,-1),Параметры!P$30/360),1))</f>
        <v>1.0146738461686593</v>
      </c>
      <c r="Q115" s="86">
        <f ca="1">IF(Q$2=1,1,IF(Prj_Inflation=1,POWER(1+OFFSET(Q111,0,-1),Параметры!Q$30/360),1))</f>
        <v>1.0146738461686593</v>
      </c>
      <c r="R115" s="86">
        <f ca="1">IF(R$2=1,1,IF(Prj_Inflation=1,POWER(1+OFFSET(R111,0,-1),Параметры!R$30/360),1))</f>
        <v>1.0146738461686593</v>
      </c>
      <c r="S115" s="86">
        <f ca="1">IF(S$2=1,1,IF(Prj_Inflation=1,POWER(1+OFFSET(S111,0,-1),Параметры!S$30/360),1))</f>
        <v>1.0146738461686593</v>
      </c>
      <c r="T115" s="86">
        <f ca="1">IF(T$2=1,1,IF(Prj_Inflation=1,POWER(1+OFFSET(T111,0,-1),Параметры!T$30/360),1))</f>
        <v>1.0146738461686593</v>
      </c>
      <c r="U115" s="86">
        <f ca="1">IF(U$2=1,1,IF(Prj_Inflation=1,POWER(1+OFFSET(U111,0,-1),Параметры!U$30/360),1))</f>
        <v>1.0146738461686593</v>
      </c>
      <c r="V115" s="86">
        <f ca="1">IF(V$2=1,1,IF(Prj_Inflation=1,POWER(1+OFFSET(V111,0,-1),Параметры!V$30/360),1))</f>
        <v>1.0146738461686593</v>
      </c>
      <c r="W115" s="86">
        <f ca="1">IF(W$2=1,1,IF(Prj_Inflation=1,POWER(1+OFFSET(W111,0,-1),Параметры!W$30/360),1))</f>
        <v>1.0146738461686593</v>
      </c>
      <c r="X115" s="86">
        <f ca="1">IF(X$2=1,1,IF(Prj_Inflation=1,POWER(1+OFFSET(X111,0,-1),Параметры!X$30/360),1))</f>
        <v>1.0146738461686593</v>
      </c>
      <c r="Y115" s="86">
        <f ca="1">IF(Y$2=1,1,IF(Prj_Inflation=1,POWER(1+OFFSET(Y111,0,-1),Параметры!Y$30/360),1))</f>
        <v>1.0146738461686593</v>
      </c>
      <c r="Z115" s="86">
        <f ca="1">IF(Z$2=1,1,IF(Prj_Inflation=1,POWER(1+OFFSET(Z111,0,-1),Параметры!Z$30/360),1))</f>
        <v>1.0146738461686593</v>
      </c>
      <c r="AA115" s="86">
        <f ca="1">IF(AA$2=1,1,IF(Prj_Inflation=1,POWER(1+OFFSET(AA111,0,-1),Параметры!AA$30/360),1))</f>
        <v>1.0146738461686593</v>
      </c>
      <c r="AB115" s="86">
        <f ca="1">IF(AB$2=1,1,IF(Prj_Inflation=1,POWER(1+OFFSET(AB111,0,-1),Параметры!AB$30/360),1))</f>
        <v>1.0146738461686593</v>
      </c>
      <c r="AC115" s="86">
        <f ca="1">IF(AC$2=1,1,IF(Prj_Inflation=1,POWER(1+OFFSET(AC111,0,-1),Параметры!AC$30/360),1))</f>
        <v>1.0146738461686593</v>
      </c>
      <c r="AD115" s="86">
        <f ca="1">IF(AD$2=1,1,IF(Prj_Inflation=1,POWER(1+OFFSET(AD111,0,-1),Параметры!AD$30/360),1))</f>
        <v>1.0146738461686593</v>
      </c>
      <c r="AE115" s="86">
        <f ca="1">IF(AE$2=1,1,IF(Prj_Inflation=1,POWER(1+OFFSET(AE111,0,-1),Параметры!AE$30/360),1))</f>
        <v>1.0146738461686593</v>
      </c>
      <c r="AF115" s="86">
        <f ca="1">IF(AF$2=1,1,IF(Prj_Inflation=1,POWER(1+OFFSET(AF111,0,-1),Параметры!AF$30/360),1))</f>
        <v>1.0146738461686593</v>
      </c>
      <c r="AG115" s="86">
        <f ca="1">IF(AG$2=1,1,IF(Prj_Inflation=1,POWER(1+OFFSET(AG111,0,-1),Параметры!AG$30/360),1))</f>
        <v>1.0146738461686593</v>
      </c>
      <c r="AH115" s="86">
        <f ca="1">IF(AH$2=1,1,IF(Prj_Inflation=1,POWER(1+OFFSET(AH111,0,-1),Параметры!AH$30/360),1))</f>
        <v>1.0146738461686593</v>
      </c>
      <c r="AI115" s="86">
        <f ca="1">IF(AI$2=1,1,IF(Prj_Inflation=1,POWER(1+OFFSET(AI111,0,-1),Параметры!AI$30/360),1))</f>
        <v>1.0146738461686593</v>
      </c>
      <c r="AJ115" s="86">
        <f ca="1">IF(AJ$2=1,1,IF(Prj_Inflation=1,POWER(1+OFFSET(AJ111,0,-1),Параметры!AJ$30/360),1))</f>
        <v>1.0146738461686593</v>
      </c>
      <c r="AK115" s="86">
        <f ca="1">IF(AK$2=1,1,IF(Prj_Inflation=1,POWER(1+OFFSET(AK111,0,-1),Параметры!AK$30/360),1))</f>
        <v>1.0146738461686593</v>
      </c>
      <c r="AL115" s="86">
        <f ca="1">IF(AL$2=1,1,IF(Prj_Inflation=1,POWER(1+OFFSET(AL111,0,-1),Параметры!AL$30/360),1))</f>
        <v>1.0146738461686593</v>
      </c>
      <c r="AM115" s="86">
        <f ca="1">IF(AM$2=1,1,IF(Prj_Inflation=1,POWER(1+OFFSET(AM111,0,-1),Параметры!AM$30/360),1))</f>
        <v>1.0146738461686593</v>
      </c>
      <c r="AN115" s="86">
        <f ca="1">IF(AN$2=1,1,IF(Prj_Inflation=1,POWER(1+OFFSET(AN111,0,-1),Параметры!AN$30/360),1))</f>
        <v>1.0146738461686593</v>
      </c>
      <c r="AO115" s="86">
        <f ca="1">IF(AO$2=1,1,IF(Prj_Inflation=1,POWER(1+OFFSET(AO111,0,-1),Параметры!AO$30/360),1))</f>
        <v>1.0146738461686593</v>
      </c>
      <c r="AP115" s="86">
        <f ca="1">IF(AP$2=1,1,IF(Prj_Inflation=1,POWER(1+OFFSET(AP111,0,-1),Параметры!AP$30/360),1))</f>
        <v>1.0146738461686593</v>
      </c>
      <c r="AQ115" s="86">
        <f ca="1">IF(AQ$2=1,1,IF(Prj_Inflation=1,POWER(1+OFFSET(AQ111,0,-1),Параметры!AQ$30/360),1))</f>
        <v>1.0146738461686593</v>
      </c>
      <c r="AR115" s="86">
        <f ca="1">IF(AR$2=1,1,IF(Prj_Inflation=1,POWER(1+OFFSET(AR111,0,-1),Параметры!AR$30/360),1))</f>
        <v>1.0146738461686593</v>
      </c>
      <c r="AS115" s="86">
        <f ca="1">IF(AS$2=1,1,IF(Prj_Inflation=1,POWER(1+OFFSET(AS111,0,-1),Параметры!AS$30/360),1))</f>
        <v>1.0146738461686593</v>
      </c>
      <c r="AT115" s="86">
        <f ca="1">IF(AT$2=1,1,IF(Prj_Inflation=1,POWER(1+OFFSET(AT111,0,-1),Параметры!AT$30/360),1))</f>
        <v>1.0146738461686593</v>
      </c>
      <c r="AU115" s="86">
        <f ca="1">IF(AU$2=1,1,IF(Prj_Inflation=1,POWER(1+OFFSET(AU111,0,-1),Параметры!AU$30/360),1))</f>
        <v>1.0146738461686593</v>
      </c>
      <c r="AV115" s="86">
        <f ca="1">IF(AV$2=1,1,IF(Prj_Inflation=1,POWER(1+OFFSET(AV111,0,-1),Параметры!AV$30/360),1))</f>
        <v>1.0146738461686593</v>
      </c>
      <c r="AW115" s="86"/>
      <c r="AX115" s="87"/>
    </row>
    <row r="116" spans="1:50" hidden="1" outlineLevel="1" x14ac:dyDescent="0.2">
      <c r="A116" s="179" t="str">
        <f ca="1">Language!A$608</f>
        <v>акцизы начисленные</v>
      </c>
      <c r="B116" s="66"/>
      <c r="C116" s="82" t="str">
        <f ca="1">CHOOSE(D116,CurName1,CurName2,CurName3)</f>
        <v>тыс. руб.</v>
      </c>
      <c r="D116" s="155">
        <f>D101</f>
        <v>1</v>
      </c>
      <c r="E116" s="57" t="s">
        <v>996</v>
      </c>
      <c r="F116" s="57" t="s">
        <v>753</v>
      </c>
      <c r="G116" s="185">
        <f t="shared" ref="G116:AV116" ca="1" si="407">G105*G114+G103*G113</f>
        <v>0</v>
      </c>
      <c r="H116" s="185">
        <f t="shared" ca="1" si="407"/>
        <v>0</v>
      </c>
      <c r="I116" s="185">
        <f t="shared" ca="1" si="407"/>
        <v>0</v>
      </c>
      <c r="J116" s="185">
        <f t="shared" ca="1" si="407"/>
        <v>0</v>
      </c>
      <c r="K116" s="185">
        <f t="shared" ca="1" si="407"/>
        <v>0</v>
      </c>
      <c r="L116" s="185">
        <f t="shared" ca="1" si="407"/>
        <v>0</v>
      </c>
      <c r="M116" s="185">
        <f t="shared" ca="1" si="407"/>
        <v>0</v>
      </c>
      <c r="N116" s="185">
        <f t="shared" ca="1" si="407"/>
        <v>0</v>
      </c>
      <c r="O116" s="185">
        <f t="shared" ca="1" si="407"/>
        <v>0</v>
      </c>
      <c r="P116" s="185">
        <f t="shared" ca="1" si="407"/>
        <v>0</v>
      </c>
      <c r="Q116" s="185">
        <f t="shared" ca="1" si="407"/>
        <v>0</v>
      </c>
      <c r="R116" s="185">
        <f t="shared" ca="1" si="407"/>
        <v>0</v>
      </c>
      <c r="S116" s="185">
        <f t="shared" ca="1" si="407"/>
        <v>0</v>
      </c>
      <c r="T116" s="185">
        <f t="shared" ca="1" si="407"/>
        <v>0</v>
      </c>
      <c r="U116" s="185">
        <f t="shared" ca="1" si="407"/>
        <v>0</v>
      </c>
      <c r="V116" s="185">
        <f t="shared" ca="1" si="407"/>
        <v>0</v>
      </c>
      <c r="W116" s="185">
        <f t="shared" ca="1" si="407"/>
        <v>0</v>
      </c>
      <c r="X116" s="185">
        <f t="shared" ca="1" si="407"/>
        <v>0</v>
      </c>
      <c r="Y116" s="185">
        <f t="shared" ca="1" si="407"/>
        <v>0</v>
      </c>
      <c r="Z116" s="185">
        <f t="shared" ca="1" si="407"/>
        <v>0</v>
      </c>
      <c r="AA116" s="185">
        <f t="shared" ca="1" si="407"/>
        <v>0</v>
      </c>
      <c r="AB116" s="185">
        <f t="shared" ca="1" si="407"/>
        <v>0</v>
      </c>
      <c r="AC116" s="185">
        <f t="shared" ca="1" si="407"/>
        <v>0</v>
      </c>
      <c r="AD116" s="185">
        <f t="shared" ca="1" si="407"/>
        <v>0</v>
      </c>
      <c r="AE116" s="185">
        <f t="shared" ca="1" si="407"/>
        <v>0</v>
      </c>
      <c r="AF116" s="185">
        <f t="shared" ca="1" si="407"/>
        <v>0</v>
      </c>
      <c r="AG116" s="185">
        <f t="shared" ca="1" si="407"/>
        <v>0</v>
      </c>
      <c r="AH116" s="185">
        <f t="shared" ca="1" si="407"/>
        <v>0</v>
      </c>
      <c r="AI116" s="185">
        <f t="shared" ca="1" si="407"/>
        <v>0</v>
      </c>
      <c r="AJ116" s="185">
        <f t="shared" ca="1" si="407"/>
        <v>0</v>
      </c>
      <c r="AK116" s="185">
        <f t="shared" ca="1" si="407"/>
        <v>0</v>
      </c>
      <c r="AL116" s="185">
        <f t="shared" ca="1" si="407"/>
        <v>0</v>
      </c>
      <c r="AM116" s="185">
        <f t="shared" ca="1" si="407"/>
        <v>0</v>
      </c>
      <c r="AN116" s="185">
        <f t="shared" ca="1" si="407"/>
        <v>0</v>
      </c>
      <c r="AO116" s="185">
        <f t="shared" ca="1" si="407"/>
        <v>0</v>
      </c>
      <c r="AP116" s="185">
        <f t="shared" ca="1" si="407"/>
        <v>0</v>
      </c>
      <c r="AQ116" s="185">
        <f t="shared" ca="1" si="407"/>
        <v>0</v>
      </c>
      <c r="AR116" s="185">
        <f t="shared" ca="1" si="407"/>
        <v>0</v>
      </c>
      <c r="AS116" s="185">
        <f t="shared" ca="1" si="407"/>
        <v>0</v>
      </c>
      <c r="AT116" s="185">
        <f t="shared" ca="1" si="407"/>
        <v>0</v>
      </c>
      <c r="AU116" s="185">
        <f t="shared" ca="1" si="407"/>
        <v>0</v>
      </c>
      <c r="AV116" s="185">
        <f t="shared" ca="1" si="407"/>
        <v>0</v>
      </c>
      <c r="AW116" s="180"/>
      <c r="AX116" s="169">
        <f ca="1">SUM(G116:AW116)</f>
        <v>0</v>
      </c>
    </row>
    <row r="117" spans="1:50" hidden="1" outlineLevel="1" x14ac:dyDescent="0.2">
      <c r="A117" s="179" t="str">
        <f ca="1">Language!A$609</f>
        <v>НДС начисленный</v>
      </c>
      <c r="B117" s="66"/>
      <c r="C117" s="82" t="str">
        <f ca="1">CHOOSE(D117,CurName1,CurName2,CurName3)</f>
        <v>тыс. руб.</v>
      </c>
      <c r="D117" s="155">
        <f>D101</f>
        <v>1</v>
      </c>
      <c r="E117" s="57" t="s">
        <v>789</v>
      </c>
      <c r="F117" s="57" t="s">
        <v>753</v>
      </c>
      <c r="G117" s="185">
        <f t="shared" ref="G117:AV117" ca="1" si="408">(G105+G116)*G112</f>
        <v>111.69841151624998</v>
      </c>
      <c r="H117" s="185">
        <f t="shared" ca="1" si="408"/>
        <v>113.33745682412304</v>
      </c>
      <c r="I117" s="185">
        <f t="shared" ca="1" si="408"/>
        <v>124.26483432058298</v>
      </c>
      <c r="J117" s="185">
        <f t="shared" ca="1" si="408"/>
        <v>126.08827738357716</v>
      </c>
      <c r="K117" s="185">
        <f t="shared" ca="1" si="408"/>
        <v>127.93847736957501</v>
      </c>
      <c r="L117" s="185">
        <f t="shared" ca="1" si="408"/>
        <v>129.81582690554865</v>
      </c>
      <c r="M117" s="185">
        <f t="shared" ca="1" si="408"/>
        <v>139.03470958782256</v>
      </c>
      <c r="N117" s="185">
        <f t="shared" ca="1" si="408"/>
        <v>141.07488352841847</v>
      </c>
      <c r="O117" s="185">
        <f t="shared" ca="1" si="408"/>
        <v>143.14499466757604</v>
      </c>
      <c r="P117" s="185">
        <f t="shared" ca="1" si="408"/>
        <v>145.2454822991416</v>
      </c>
      <c r="Q117" s="185">
        <f t="shared" ca="1" si="408"/>
        <v>164.71587509723474</v>
      </c>
      <c r="R117" s="185">
        <f t="shared" ca="1" si="408"/>
        <v>167.13289050994766</v>
      </c>
      <c r="S117" s="185">
        <f t="shared" ca="1" si="408"/>
        <v>169.58537283501403</v>
      </c>
      <c r="T117" s="185">
        <f t="shared" ca="1" si="408"/>
        <v>172.07384250844973</v>
      </c>
      <c r="U117" s="185">
        <f t="shared" ca="1" si="408"/>
        <v>183.33283409400619</v>
      </c>
      <c r="V117" s="185">
        <f t="shared" ca="1" si="408"/>
        <v>186.02303189916597</v>
      </c>
      <c r="W117" s="185">
        <f t="shared" ca="1" si="408"/>
        <v>188.75270525308196</v>
      </c>
      <c r="X117" s="185">
        <f t="shared" ca="1" si="408"/>
        <v>191.52243341388393</v>
      </c>
      <c r="Y117" s="185">
        <f t="shared" ca="1" si="408"/>
        <v>195.78609467320123</v>
      </c>
      <c r="Z117" s="185">
        <f t="shared" ca="1" si="408"/>
        <v>198.65902970839838</v>
      </c>
      <c r="AA117" s="185">
        <f t="shared" ca="1" si="408"/>
        <v>201.57412175035452</v>
      </c>
      <c r="AB117" s="185">
        <f t="shared" ca="1" si="408"/>
        <v>204.53198940450181</v>
      </c>
      <c r="AC117" s="185">
        <f t="shared" ca="1" si="408"/>
        <v>208.53483128446118</v>
      </c>
      <c r="AD117" s="185">
        <f t="shared" ca="1" si="408"/>
        <v>211.59483931953667</v>
      </c>
      <c r="AE117" s="185">
        <f t="shared" ca="1" si="408"/>
        <v>214.69974944179373</v>
      </c>
      <c r="AF117" s="185">
        <f t="shared" ca="1" si="408"/>
        <v>217.85022053755236</v>
      </c>
      <c r="AG117" s="185">
        <f t="shared" ca="1" si="408"/>
        <v>220.89207681424645</v>
      </c>
      <c r="AH117" s="185">
        <f t="shared" ca="1" si="408"/>
        <v>224.13341316929436</v>
      </c>
      <c r="AI117" s="185">
        <f t="shared" ca="1" si="408"/>
        <v>227.42231239539714</v>
      </c>
      <c r="AJ117" s="185">
        <f t="shared" ca="1" si="408"/>
        <v>230.75947242280799</v>
      </c>
      <c r="AK117" s="185">
        <f t="shared" ca="1" si="408"/>
        <v>233.81733140686237</v>
      </c>
      <c r="AL117" s="185">
        <f t="shared" ca="1" si="408"/>
        <v>237.24833095949305</v>
      </c>
      <c r="AM117" s="185">
        <f t="shared" ca="1" si="408"/>
        <v>240.72967647176381</v>
      </c>
      <c r="AN117" s="185">
        <f t="shared" ca="1" si="408"/>
        <v>244.26210671254165</v>
      </c>
      <c r="AO117" s="185">
        <f t="shared" ca="1" si="408"/>
        <v>247.7767780478315</v>
      </c>
      <c r="AP117" s="185">
        <f t="shared" ca="1" si="408"/>
        <v>251.41261637307142</v>
      </c>
      <c r="AQ117" s="185">
        <f t="shared" ca="1" si="408"/>
        <v>255.10180643058999</v>
      </c>
      <c r="AR117" s="185">
        <f t="shared" ca="1" si="408"/>
        <v>258.8451310954996</v>
      </c>
      <c r="AS117" s="185">
        <f t="shared" ca="1" si="408"/>
        <v>262.45896263557836</v>
      </c>
      <c r="AT117" s="185">
        <f t="shared" ca="1" si="408"/>
        <v>266.31024507887878</v>
      </c>
      <c r="AU117" s="185">
        <f t="shared" ca="1" si="408"/>
        <v>270.21804064830417</v>
      </c>
      <c r="AV117" s="185">
        <f t="shared" ca="1" si="408"/>
        <v>274.18317860877397</v>
      </c>
      <c r="AW117" s="180"/>
      <c r="AX117" s="169">
        <f ca="1">SUM(G117:AW117)</f>
        <v>8323.5846954041335</v>
      </c>
    </row>
    <row r="118" spans="1:50" hidden="1" outlineLevel="1" x14ac:dyDescent="0.2">
      <c r="A118" s="179" t="str">
        <f ca="1">Language!A$610</f>
        <v>НДС полученный с авансов</v>
      </c>
      <c r="B118" s="66"/>
      <c r="C118" s="82" t="str">
        <f ca="1">CHOOSE(D118,CurName1,CurName2,CurName3)</f>
        <v>тыс. руб.</v>
      </c>
      <c r="D118" s="155">
        <f>D101</f>
        <v>1</v>
      </c>
      <c r="E118" s="57" t="s">
        <v>1450</v>
      </c>
      <c r="F118" s="57" t="s">
        <v>753</v>
      </c>
      <c r="G118" s="185">
        <f ca="1">G108*G112/(1+G112)</f>
        <v>0</v>
      </c>
      <c r="H118" s="185">
        <f t="shared" ref="H118:AV118" ca="1" si="409">H108*H112/(1+H112)</f>
        <v>0</v>
      </c>
      <c r="I118" s="185">
        <f t="shared" ca="1" si="409"/>
        <v>0</v>
      </c>
      <c r="J118" s="185">
        <f t="shared" ca="1" si="409"/>
        <v>0</v>
      </c>
      <c r="K118" s="185">
        <f t="shared" ca="1" si="409"/>
        <v>0</v>
      </c>
      <c r="L118" s="185">
        <f t="shared" ca="1" si="409"/>
        <v>0</v>
      </c>
      <c r="M118" s="185">
        <f t="shared" ca="1" si="409"/>
        <v>0</v>
      </c>
      <c r="N118" s="185">
        <f t="shared" ca="1" si="409"/>
        <v>0</v>
      </c>
      <c r="O118" s="185">
        <f t="shared" ca="1" si="409"/>
        <v>0</v>
      </c>
      <c r="P118" s="185">
        <f t="shared" ca="1" si="409"/>
        <v>0</v>
      </c>
      <c r="Q118" s="185">
        <f t="shared" ca="1" si="409"/>
        <v>0</v>
      </c>
      <c r="R118" s="185">
        <f t="shared" ca="1" si="409"/>
        <v>0</v>
      </c>
      <c r="S118" s="185">
        <f t="shared" ca="1" si="409"/>
        <v>0</v>
      </c>
      <c r="T118" s="185">
        <f t="shared" ca="1" si="409"/>
        <v>0</v>
      </c>
      <c r="U118" s="185">
        <f t="shared" ca="1" si="409"/>
        <v>0</v>
      </c>
      <c r="V118" s="185">
        <f t="shared" ca="1" si="409"/>
        <v>0</v>
      </c>
      <c r="W118" s="185">
        <f t="shared" ca="1" si="409"/>
        <v>0</v>
      </c>
      <c r="X118" s="185">
        <f t="shared" ca="1" si="409"/>
        <v>0</v>
      </c>
      <c r="Y118" s="185">
        <f t="shared" ca="1" si="409"/>
        <v>0</v>
      </c>
      <c r="Z118" s="185">
        <f t="shared" ca="1" si="409"/>
        <v>0</v>
      </c>
      <c r="AA118" s="185">
        <f t="shared" ca="1" si="409"/>
        <v>0</v>
      </c>
      <c r="AB118" s="185">
        <f t="shared" ca="1" si="409"/>
        <v>0</v>
      </c>
      <c r="AC118" s="185">
        <f t="shared" ca="1" si="409"/>
        <v>0</v>
      </c>
      <c r="AD118" s="185">
        <f t="shared" ca="1" si="409"/>
        <v>0</v>
      </c>
      <c r="AE118" s="185">
        <f t="shared" ca="1" si="409"/>
        <v>0</v>
      </c>
      <c r="AF118" s="185">
        <f t="shared" ca="1" si="409"/>
        <v>0</v>
      </c>
      <c r="AG118" s="185">
        <f t="shared" ca="1" si="409"/>
        <v>0</v>
      </c>
      <c r="AH118" s="185">
        <f t="shared" ca="1" si="409"/>
        <v>0</v>
      </c>
      <c r="AI118" s="185">
        <f t="shared" ca="1" si="409"/>
        <v>0</v>
      </c>
      <c r="AJ118" s="185">
        <f t="shared" ca="1" si="409"/>
        <v>0</v>
      </c>
      <c r="AK118" s="185">
        <f t="shared" ca="1" si="409"/>
        <v>0</v>
      </c>
      <c r="AL118" s="185">
        <f t="shared" ca="1" si="409"/>
        <v>0</v>
      </c>
      <c r="AM118" s="185">
        <f t="shared" ca="1" si="409"/>
        <v>0</v>
      </c>
      <c r="AN118" s="185">
        <f t="shared" ca="1" si="409"/>
        <v>0</v>
      </c>
      <c r="AO118" s="185">
        <f t="shared" ca="1" si="409"/>
        <v>0</v>
      </c>
      <c r="AP118" s="185">
        <f t="shared" ca="1" si="409"/>
        <v>0</v>
      </c>
      <c r="AQ118" s="185">
        <f t="shared" ca="1" si="409"/>
        <v>0</v>
      </c>
      <c r="AR118" s="185">
        <f t="shared" ca="1" si="409"/>
        <v>0</v>
      </c>
      <c r="AS118" s="185">
        <f t="shared" ca="1" si="409"/>
        <v>0</v>
      </c>
      <c r="AT118" s="185">
        <f t="shared" ca="1" si="409"/>
        <v>0</v>
      </c>
      <c r="AU118" s="185">
        <f t="shared" ca="1" si="409"/>
        <v>0</v>
      </c>
      <c r="AV118" s="185">
        <f t="shared" ca="1" si="409"/>
        <v>0</v>
      </c>
      <c r="AW118" s="180"/>
      <c r="AX118" s="169">
        <f ca="1">SUM(G118:AW118)</f>
        <v>0</v>
      </c>
    </row>
    <row r="119" spans="1:50" x14ac:dyDescent="0.2">
      <c r="A119" s="317" t="s">
        <v>2265</v>
      </c>
      <c r="B119" s="102"/>
      <c r="C119" s="166"/>
      <c r="D119" s="158">
        <v>1</v>
      </c>
      <c r="F119" s="57" t="s">
        <v>2261</v>
      </c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150"/>
    </row>
    <row r="120" spans="1:50" hidden="1" x14ac:dyDescent="0.2">
      <c r="A120" s="172" t="str">
        <f ca="1">Language!A$594</f>
        <v>коэффициент загрузки</v>
      </c>
      <c r="B120" s="173"/>
      <c r="C120" s="173"/>
      <c r="D120" s="174"/>
      <c r="F120" s="57" t="s">
        <v>756</v>
      </c>
      <c r="G120" s="318">
        <f t="shared" ref="G120:AV120" si="410">IF(G$2&gt;Prj_Invest,1,0)</f>
        <v>1</v>
      </c>
      <c r="H120" s="318">
        <f t="shared" si="410"/>
        <v>1</v>
      </c>
      <c r="I120" s="318">
        <f t="shared" si="410"/>
        <v>1</v>
      </c>
      <c r="J120" s="318">
        <f t="shared" si="410"/>
        <v>1</v>
      </c>
      <c r="K120" s="318">
        <f t="shared" si="410"/>
        <v>1</v>
      </c>
      <c r="L120" s="318">
        <f t="shared" si="410"/>
        <v>1</v>
      </c>
      <c r="M120" s="318">
        <f t="shared" si="410"/>
        <v>1</v>
      </c>
      <c r="N120" s="318">
        <f t="shared" si="410"/>
        <v>1</v>
      </c>
      <c r="O120" s="318">
        <f t="shared" si="410"/>
        <v>1</v>
      </c>
      <c r="P120" s="318">
        <f t="shared" si="410"/>
        <v>1</v>
      </c>
      <c r="Q120" s="318">
        <f t="shared" si="410"/>
        <v>1</v>
      </c>
      <c r="R120" s="318">
        <f t="shared" si="410"/>
        <v>1</v>
      </c>
      <c r="S120" s="318">
        <f t="shared" si="410"/>
        <v>1</v>
      </c>
      <c r="T120" s="318">
        <f t="shared" si="410"/>
        <v>1</v>
      </c>
      <c r="U120" s="318">
        <f t="shared" si="410"/>
        <v>1</v>
      </c>
      <c r="V120" s="318">
        <f t="shared" si="410"/>
        <v>1</v>
      </c>
      <c r="W120" s="318">
        <f t="shared" si="410"/>
        <v>1</v>
      </c>
      <c r="X120" s="318">
        <f t="shared" si="410"/>
        <v>1</v>
      </c>
      <c r="Y120" s="318">
        <f t="shared" si="410"/>
        <v>1</v>
      </c>
      <c r="Z120" s="318">
        <f t="shared" si="410"/>
        <v>1</v>
      </c>
      <c r="AA120" s="318">
        <f t="shared" si="410"/>
        <v>1</v>
      </c>
      <c r="AB120" s="318">
        <f t="shared" si="410"/>
        <v>1</v>
      </c>
      <c r="AC120" s="318">
        <f t="shared" si="410"/>
        <v>1</v>
      </c>
      <c r="AD120" s="318">
        <f t="shared" si="410"/>
        <v>1</v>
      </c>
      <c r="AE120" s="318">
        <f t="shared" si="410"/>
        <v>1</v>
      </c>
      <c r="AF120" s="318">
        <f t="shared" si="410"/>
        <v>1</v>
      </c>
      <c r="AG120" s="318">
        <f t="shared" si="410"/>
        <v>1</v>
      </c>
      <c r="AH120" s="318">
        <f t="shared" si="410"/>
        <v>1</v>
      </c>
      <c r="AI120" s="318">
        <f t="shared" si="410"/>
        <v>1</v>
      </c>
      <c r="AJ120" s="318">
        <f t="shared" si="410"/>
        <v>1</v>
      </c>
      <c r="AK120" s="318">
        <f t="shared" si="410"/>
        <v>1</v>
      </c>
      <c r="AL120" s="318">
        <f t="shared" si="410"/>
        <v>1</v>
      </c>
      <c r="AM120" s="318">
        <f t="shared" si="410"/>
        <v>1</v>
      </c>
      <c r="AN120" s="318">
        <f t="shared" si="410"/>
        <v>1</v>
      </c>
      <c r="AO120" s="318">
        <f t="shared" si="410"/>
        <v>1</v>
      </c>
      <c r="AP120" s="318">
        <f t="shared" si="410"/>
        <v>1</v>
      </c>
      <c r="AQ120" s="318">
        <f t="shared" si="410"/>
        <v>1</v>
      </c>
      <c r="AR120" s="318">
        <f t="shared" si="410"/>
        <v>1</v>
      </c>
      <c r="AS120" s="318">
        <f t="shared" si="410"/>
        <v>1</v>
      </c>
      <c r="AT120" s="318">
        <f t="shared" si="410"/>
        <v>1</v>
      </c>
      <c r="AU120" s="318">
        <f t="shared" si="410"/>
        <v>1</v>
      </c>
      <c r="AV120" s="318">
        <f t="shared" si="410"/>
        <v>1</v>
      </c>
      <c r="AW120" s="175"/>
      <c r="AX120" s="117"/>
    </row>
    <row r="121" spans="1:50" x14ac:dyDescent="0.2">
      <c r="A121" s="172" t="str">
        <f ca="1">Language!A$595</f>
        <v>объем продаж за период</v>
      </c>
      <c r="B121" s="337"/>
      <c r="C121" s="313" t="s">
        <v>2259</v>
      </c>
      <c r="D121" s="174"/>
      <c r="E121" s="57" t="s">
        <v>950</v>
      </c>
      <c r="F121" s="57" t="s">
        <v>753</v>
      </c>
      <c r="G121" s="336">
        <f t="shared" ref="G121:AV121" si="411">G12</f>
        <v>17.745000000000001</v>
      </c>
      <c r="H121" s="336">
        <f t="shared" si="411"/>
        <v>17.745000000000001</v>
      </c>
      <c r="I121" s="336">
        <f t="shared" ca="1" si="411"/>
        <v>20.355</v>
      </c>
      <c r="J121" s="336">
        <f t="shared" ca="1" si="411"/>
        <v>20.355</v>
      </c>
      <c r="K121" s="336">
        <f t="shared" ca="1" si="411"/>
        <v>20.355</v>
      </c>
      <c r="L121" s="336">
        <f t="shared" ca="1" si="411"/>
        <v>20.355</v>
      </c>
      <c r="M121" s="336">
        <f t="shared" ca="1" si="411"/>
        <v>19.95</v>
      </c>
      <c r="N121" s="336">
        <f t="shared" ca="1" si="411"/>
        <v>19.95</v>
      </c>
      <c r="O121" s="336">
        <f t="shared" ca="1" si="411"/>
        <v>19.95</v>
      </c>
      <c r="P121" s="336">
        <f t="shared" ca="1" si="411"/>
        <v>19.95</v>
      </c>
      <c r="Q121" s="336">
        <f t="shared" ca="1" si="411"/>
        <v>22.545000000000002</v>
      </c>
      <c r="R121" s="336">
        <f t="shared" ca="1" si="411"/>
        <v>22.545000000000002</v>
      </c>
      <c r="S121" s="336">
        <f t="shared" ca="1" si="411"/>
        <v>22.545000000000002</v>
      </c>
      <c r="T121" s="336">
        <f t="shared" ca="1" si="411"/>
        <v>22.545000000000002</v>
      </c>
      <c r="U121" s="336">
        <f t="shared" ca="1" si="411"/>
        <v>24.84</v>
      </c>
      <c r="V121" s="336">
        <f t="shared" ca="1" si="411"/>
        <v>24.84</v>
      </c>
      <c r="W121" s="336">
        <f t="shared" ca="1" si="411"/>
        <v>24.84</v>
      </c>
      <c r="X121" s="336">
        <f t="shared" ca="1" si="411"/>
        <v>24.84</v>
      </c>
      <c r="Y121" s="336">
        <f t="shared" ca="1" si="411"/>
        <v>25.065000000000001</v>
      </c>
      <c r="Z121" s="336">
        <f t="shared" ca="1" si="411"/>
        <v>25.065000000000001</v>
      </c>
      <c r="AA121" s="336">
        <f t="shared" ca="1" si="411"/>
        <v>25.065000000000001</v>
      </c>
      <c r="AB121" s="336">
        <f t="shared" ca="1" si="411"/>
        <v>25.065000000000001</v>
      </c>
      <c r="AC121" s="336">
        <f t="shared" ca="1" si="411"/>
        <v>25.425000000000001</v>
      </c>
      <c r="AD121" s="336">
        <f t="shared" ca="1" si="411"/>
        <v>25.425000000000001</v>
      </c>
      <c r="AE121" s="336">
        <f t="shared" ca="1" si="411"/>
        <v>25.425000000000001</v>
      </c>
      <c r="AF121" s="336">
        <f t="shared" ca="1" si="411"/>
        <v>25.425000000000001</v>
      </c>
      <c r="AG121" s="336">
        <f t="shared" ca="1" si="411"/>
        <v>25.395</v>
      </c>
      <c r="AH121" s="336">
        <f t="shared" ca="1" si="411"/>
        <v>25.395</v>
      </c>
      <c r="AI121" s="336">
        <f t="shared" ca="1" si="411"/>
        <v>25.395</v>
      </c>
      <c r="AJ121" s="336">
        <f t="shared" ca="1" si="411"/>
        <v>25.395</v>
      </c>
      <c r="AK121" s="336">
        <f t="shared" ca="1" si="411"/>
        <v>25.38</v>
      </c>
      <c r="AL121" s="336">
        <f t="shared" ca="1" si="411"/>
        <v>25.38</v>
      </c>
      <c r="AM121" s="336">
        <f t="shared" ca="1" si="411"/>
        <v>25.38</v>
      </c>
      <c r="AN121" s="336">
        <f t="shared" ca="1" si="411"/>
        <v>25.38</v>
      </c>
      <c r="AO121" s="336">
        <f t="shared" ca="1" si="411"/>
        <v>25.335000000000001</v>
      </c>
      <c r="AP121" s="336">
        <f t="shared" ca="1" si="411"/>
        <v>25.335000000000001</v>
      </c>
      <c r="AQ121" s="336">
        <f t="shared" ca="1" si="411"/>
        <v>25.335000000000001</v>
      </c>
      <c r="AR121" s="336">
        <f t="shared" ca="1" si="411"/>
        <v>25.335000000000001</v>
      </c>
      <c r="AS121" s="336">
        <f t="shared" ca="1" si="411"/>
        <v>25.364999999999998</v>
      </c>
      <c r="AT121" s="336">
        <f t="shared" ca="1" si="411"/>
        <v>25.364999999999998</v>
      </c>
      <c r="AU121" s="336">
        <f t="shared" ca="1" si="411"/>
        <v>25.364999999999998</v>
      </c>
      <c r="AV121" s="336">
        <f t="shared" ca="1" si="411"/>
        <v>25.364999999999998</v>
      </c>
      <c r="AW121" s="148"/>
      <c r="AX121" s="171">
        <f ca="1">SUM(G121:AW121)</f>
        <v>994.1099999999999</v>
      </c>
    </row>
    <row r="122" spans="1:50" x14ac:dyDescent="0.2">
      <c r="A122" s="83" t="str">
        <f ca="1">Language!A$596 &amp; C121 &amp; Language!A$1457</f>
        <v>цена за единицу (тн), без НДС</v>
      </c>
      <c r="B122" s="322">
        <v>110</v>
      </c>
      <c r="C122" s="146" t="str">
        <f ca="1">CHOOSE(D119,CurName1,CurName2,CurName3)</f>
        <v>тыс. руб.</v>
      </c>
      <c r="E122" s="57" t="s">
        <v>848</v>
      </c>
      <c r="F122" s="57" t="s">
        <v>756</v>
      </c>
      <c r="G122" s="323">
        <f t="shared" ref="G122" ca="1" si="412">IF(G$2=1,$B122,F122)*G133</f>
        <v>110</v>
      </c>
      <c r="H122" s="323">
        <f t="shared" ref="H122" ca="1" si="413">IF(H$2=1,$B122,G122)*H133</f>
        <v>111.61412307855252</v>
      </c>
      <c r="I122" s="323">
        <f t="shared" ref="I122" ca="1" si="414">IF(I$2=1,$B122,H122)*I133</f>
        <v>113.25193155085701</v>
      </c>
      <c r="J122" s="323">
        <f t="shared" ref="J122" ca="1" si="415">IF(J$2=1,$B122,I122)*J133</f>
        <v>114.91377297273782</v>
      </c>
      <c r="K122" s="323">
        <f t="shared" ref="K122" ca="1" si="416">IF(K$2=1,$B122,J122)*K133</f>
        <v>116.60000000000001</v>
      </c>
      <c r="L122" s="323">
        <f t="shared" ref="L122" ca="1" si="417">IF(L$2=1,$B122,K122)*L133</f>
        <v>118.31097046326569</v>
      </c>
      <c r="M122" s="323">
        <f t="shared" ref="M122" ca="1" si="418">IF(M$2=1,$B122,L122)*M133</f>
        <v>120.04704744390844</v>
      </c>
      <c r="N122" s="323">
        <f t="shared" ref="N122" ca="1" si="419">IF(N$2=1,$B122,M122)*N133</f>
        <v>121.8085993511021</v>
      </c>
      <c r="O122" s="323">
        <f t="shared" ref="O122" ca="1" si="420">IF(O$2=1,$B122,N122)*O133</f>
        <v>123.59600000000003</v>
      </c>
      <c r="P122" s="323">
        <f t="shared" ref="P122" ca="1" si="421">IF(P$2=1,$B122,O122)*P133</f>
        <v>125.40962869106164</v>
      </c>
      <c r="Q122" s="323">
        <f t="shared" ref="Q122" ca="1" si="422">IF(Q$2=1,$B122,P122)*Q133</f>
        <v>127.24987029054296</v>
      </c>
      <c r="R122" s="323">
        <f t="shared" ref="R122" ca="1" si="423">IF(R$2=1,$B122,Q122)*R133</f>
        <v>129.11711531216824</v>
      </c>
      <c r="S122" s="323">
        <f t="shared" ref="S122" ca="1" si="424">IF(S$2=1,$B122,R122)*S133</f>
        <v>131.01176000000004</v>
      </c>
      <c r="T122" s="323">
        <f t="shared" ref="T122" ca="1" si="425">IF(T$2=1,$B122,S122)*T133</f>
        <v>132.93420641252536</v>
      </c>
      <c r="U122" s="323">
        <f t="shared" ref="U122" ca="1" si="426">IF(U$2=1,$B122,T122)*U133</f>
        <v>134.88486250797555</v>
      </c>
      <c r="V122" s="323">
        <f t="shared" ref="V122" ca="1" si="427">IF(V$2=1,$B122,U122)*V133</f>
        <v>136.86414223089835</v>
      </c>
      <c r="W122" s="323">
        <f t="shared" ref="W122" ca="1" si="428">IF(W$2=1,$B122,V122)*W133</f>
        <v>138.87246560000006</v>
      </c>
      <c r="X122" s="323">
        <f t="shared" ref="X122" ca="1" si="429">IF(X$2=1,$B122,W122)*X133</f>
        <v>140.9102587972769</v>
      </c>
      <c r="Y122" s="323">
        <f t="shared" ref="Y122" ca="1" si="430">IF(Y$2=1,$B122,X122)*Y133</f>
        <v>142.9779542584541</v>
      </c>
      <c r="Z122" s="323">
        <f t="shared" ref="Z122" ca="1" si="431">IF(Z$2=1,$B122,Y122)*Z133</f>
        <v>145.07599076475228</v>
      </c>
      <c r="AA122" s="323">
        <f t="shared" ref="AA122" ca="1" si="432">IF(AA$2=1,$B122,Z122)*AA133</f>
        <v>147.2048135360001</v>
      </c>
      <c r="AB122" s="323">
        <f t="shared" ref="AB122" ca="1" si="433">IF(AB$2=1,$B122,AA122)*AB133</f>
        <v>149.36487432511353</v>
      </c>
      <c r="AC122" s="323">
        <f t="shared" ref="AC122" ca="1" si="434">IF(AC$2=1,$B122,AB122)*AC133</f>
        <v>151.55663151396138</v>
      </c>
      <c r="AD122" s="323">
        <f t="shared" ref="AD122" ca="1" si="435">IF(AD$2=1,$B122,AC122)*AD133</f>
        <v>153.78055021063744</v>
      </c>
      <c r="AE122" s="323">
        <f t="shared" ref="AE122" ca="1" si="436">IF(AE$2=1,$B122,AD122)*AE133</f>
        <v>156.03710234816012</v>
      </c>
      <c r="AF122" s="323">
        <f t="shared" ref="AF122" ca="1" si="437">IF(AF$2=1,$B122,AE122)*AF133</f>
        <v>158.32676678462036</v>
      </c>
      <c r="AG122" s="323">
        <f t="shared" ref="AG122" ca="1" si="438">IF(AG$2=1,$B122,AF122)*AG133</f>
        <v>160.65002940479908</v>
      </c>
      <c r="AH122" s="323">
        <f t="shared" ref="AH122" ca="1" si="439">IF(AH$2=1,$B122,AG122)*AH133</f>
        <v>163.0073832232757</v>
      </c>
      <c r="AI122" s="323">
        <f t="shared" ref="AI122" ca="1" si="440">IF(AI$2=1,$B122,AH122)*AI133</f>
        <v>165.39932848904974</v>
      </c>
      <c r="AJ122" s="323">
        <f t="shared" ref="AJ122" ca="1" si="441">IF(AJ$2=1,$B122,AI122)*AJ133</f>
        <v>167.82637279169759</v>
      </c>
      <c r="AK122" s="323">
        <f t="shared" ref="AK122" ca="1" si="442">IF(AK$2=1,$B122,AJ122)*AK133</f>
        <v>170.28903116908702</v>
      </c>
      <c r="AL122" s="323">
        <f t="shared" ref="AL122" ca="1" si="443">IF(AL$2=1,$B122,AK122)*AL133</f>
        <v>172.78782621667224</v>
      </c>
      <c r="AM122" s="323">
        <f t="shared" ref="AM122" ca="1" si="444">IF(AM$2=1,$B122,AL122)*AM133</f>
        <v>175.32328819839273</v>
      </c>
      <c r="AN122" s="323">
        <f t="shared" ref="AN122" ca="1" si="445">IF(AN$2=1,$B122,AM122)*AN133</f>
        <v>177.89595515919947</v>
      </c>
      <c r="AO122" s="323">
        <f t="shared" ref="AO122" ca="1" si="446">IF(AO$2=1,$B122,AN122)*AO133</f>
        <v>180.50637303923227</v>
      </c>
      <c r="AP122" s="323">
        <f t="shared" ref="AP122" ca="1" si="447">IF(AP$2=1,$B122,AO122)*AP133</f>
        <v>183.1550957896726</v>
      </c>
      <c r="AQ122" s="323">
        <f t="shared" ref="AQ122" ca="1" si="448">IF(AQ$2=1,$B122,AP122)*AQ133</f>
        <v>185.8426854902963</v>
      </c>
      <c r="AR122" s="323">
        <f t="shared" ref="AR122" ca="1" si="449">IF(AR$2=1,$B122,AQ122)*AR133</f>
        <v>188.56971246875145</v>
      </c>
      <c r="AS122" s="323">
        <f t="shared" ref="AS122" ca="1" si="450">IF(AS$2=1,$B122,AR122)*AS133</f>
        <v>191.33675542158622</v>
      </c>
      <c r="AT122" s="323">
        <f t="shared" ref="AT122" ca="1" si="451">IF(AT$2=1,$B122,AS122)*AT133</f>
        <v>194.14440153705297</v>
      </c>
      <c r="AU122" s="323">
        <f t="shared" ref="AU122" ca="1" si="452">IF(AU$2=1,$B122,AT122)*AU133</f>
        <v>196.99324661971411</v>
      </c>
      <c r="AV122" s="323">
        <f t="shared" ref="AV122" ca="1" si="453">IF(AV$2=1,$B122,AU122)*AV133</f>
        <v>199.88389521687657</v>
      </c>
      <c r="AW122" s="148"/>
      <c r="AX122" s="117"/>
    </row>
    <row r="123" spans="1:50" collapsed="1" x14ac:dyDescent="0.2">
      <c r="A123" s="83" t="str">
        <f ca="1">Language!A$597</f>
        <v>выручка от реализации, без НДС</v>
      </c>
      <c r="B123" s="157"/>
      <c r="C123" s="146" t="str">
        <f t="shared" ref="C123" ca="1" si="454">CHOOSE(D123,CurName1,CurName2,CurName3)</f>
        <v>тыс. руб.</v>
      </c>
      <c r="D123" s="155">
        <f>D119</f>
        <v>1</v>
      </c>
      <c r="E123" s="57" t="s">
        <v>992</v>
      </c>
      <c r="F123" s="57" t="s">
        <v>753</v>
      </c>
      <c r="G123" s="176">
        <f t="shared" ref="G123:AV123" ca="1" si="455">G121*G122</f>
        <v>1951.95</v>
      </c>
      <c r="H123" s="176">
        <f t="shared" ca="1" si="455"/>
        <v>1980.5926140289146</v>
      </c>
      <c r="I123" s="176">
        <f t="shared" ca="1" si="455"/>
        <v>2305.2430667176945</v>
      </c>
      <c r="J123" s="176">
        <f t="shared" ca="1" si="455"/>
        <v>2339.0698488600783</v>
      </c>
      <c r="K123" s="176">
        <f t="shared" ca="1" si="455"/>
        <v>2373.393</v>
      </c>
      <c r="L123" s="176">
        <f t="shared" ca="1" si="455"/>
        <v>2408.219803779773</v>
      </c>
      <c r="M123" s="176">
        <f t="shared" ca="1" si="455"/>
        <v>2394.9385965059732</v>
      </c>
      <c r="N123" s="176">
        <f t="shared" ca="1" si="455"/>
        <v>2430.0815570544869</v>
      </c>
      <c r="O123" s="176">
        <f t="shared" ca="1" si="455"/>
        <v>2465.7402000000006</v>
      </c>
      <c r="P123" s="176">
        <f t="shared" ca="1" si="455"/>
        <v>2501.9220923866797</v>
      </c>
      <c r="Q123" s="176">
        <f t="shared" ca="1" si="455"/>
        <v>2868.8483257002913</v>
      </c>
      <c r="R123" s="176">
        <f t="shared" ca="1" si="455"/>
        <v>2910.945364712833</v>
      </c>
      <c r="S123" s="176">
        <f t="shared" ca="1" si="455"/>
        <v>2953.6601292000009</v>
      </c>
      <c r="T123" s="176">
        <f t="shared" ca="1" si="455"/>
        <v>2997.0016835703846</v>
      </c>
      <c r="U123" s="176">
        <f t="shared" ca="1" si="455"/>
        <v>3350.5399846981127</v>
      </c>
      <c r="V123" s="176">
        <f t="shared" ca="1" si="455"/>
        <v>3399.7052930155151</v>
      </c>
      <c r="W123" s="176">
        <f t="shared" ca="1" si="455"/>
        <v>3449.5920455040014</v>
      </c>
      <c r="X123" s="176">
        <f t="shared" ca="1" si="455"/>
        <v>3500.210828524358</v>
      </c>
      <c r="Y123" s="176">
        <f t="shared" ca="1" si="455"/>
        <v>3583.7424234881523</v>
      </c>
      <c r="Z123" s="176">
        <f t="shared" ca="1" si="455"/>
        <v>3636.3297085185159</v>
      </c>
      <c r="AA123" s="176">
        <f t="shared" ca="1" si="455"/>
        <v>3689.6886512798428</v>
      </c>
      <c r="AB123" s="176">
        <f t="shared" ca="1" si="455"/>
        <v>3743.8305749589708</v>
      </c>
      <c r="AC123" s="176">
        <f t="shared" ca="1" si="455"/>
        <v>3853.3273562424683</v>
      </c>
      <c r="AD123" s="176">
        <f t="shared" ca="1" si="455"/>
        <v>3909.8704891054572</v>
      </c>
      <c r="AE123" s="176">
        <f t="shared" ca="1" si="455"/>
        <v>3967.2433272019712</v>
      </c>
      <c r="AF123" s="176">
        <f t="shared" ca="1" si="455"/>
        <v>4025.4580454989728</v>
      </c>
      <c r="AG123" s="176">
        <f t="shared" ca="1" si="455"/>
        <v>4079.7074967348726</v>
      </c>
      <c r="AH123" s="176">
        <f t="shared" ca="1" si="455"/>
        <v>4139.5724969550865</v>
      </c>
      <c r="AI123" s="176">
        <f t="shared" ca="1" si="455"/>
        <v>4200.3159469794182</v>
      </c>
      <c r="AJ123" s="176">
        <f t="shared" ca="1" si="455"/>
        <v>4261.9507370451602</v>
      </c>
      <c r="AK123" s="176">
        <f t="shared" ca="1" si="455"/>
        <v>4321.9356110714289</v>
      </c>
      <c r="AL123" s="176">
        <f t="shared" ca="1" si="455"/>
        <v>4385.3550293791413</v>
      </c>
      <c r="AM123" s="176">
        <f t="shared" ca="1" si="455"/>
        <v>4449.7050544752074</v>
      </c>
      <c r="AN123" s="176">
        <f t="shared" ca="1" si="455"/>
        <v>4514.9993419404827</v>
      </c>
      <c r="AO123" s="176">
        <f t="shared" ca="1" si="455"/>
        <v>4573.1289609489495</v>
      </c>
      <c r="AP123" s="176">
        <f t="shared" ca="1" si="455"/>
        <v>4640.2343518313555</v>
      </c>
      <c r="AQ123" s="176">
        <f t="shared" ca="1" si="455"/>
        <v>4708.3244368966571</v>
      </c>
      <c r="AR123" s="176">
        <f t="shared" ca="1" si="455"/>
        <v>4777.4136653958185</v>
      </c>
      <c r="AS123" s="176">
        <f t="shared" ca="1" si="455"/>
        <v>4853.2568012685342</v>
      </c>
      <c r="AT123" s="176">
        <f t="shared" ca="1" si="455"/>
        <v>4924.4727449873481</v>
      </c>
      <c r="AU123" s="176">
        <f t="shared" ca="1" si="455"/>
        <v>4996.7337005090485</v>
      </c>
      <c r="AV123" s="176">
        <f t="shared" ca="1" si="455"/>
        <v>5070.0550021760737</v>
      </c>
      <c r="AW123" s="177"/>
      <c r="AX123" s="178">
        <f ca="1">SUM(G123:AW123)</f>
        <v>151888.30638914803</v>
      </c>
    </row>
    <row r="124" spans="1:50" hidden="1" outlineLevel="1" x14ac:dyDescent="0.2">
      <c r="A124" s="179" t="str">
        <f ca="1">Language!A$598</f>
        <v>дебиторская задолженность</v>
      </c>
      <c r="B124" s="82"/>
      <c r="C124" s="82" t="str">
        <f ca="1">CHOOSE(D124,CurName1,CurName2,CurName3)</f>
        <v>тыс. руб.</v>
      </c>
      <c r="D124" s="155">
        <f>D119</f>
        <v>1</v>
      </c>
      <c r="E124" s="57" t="s">
        <v>994</v>
      </c>
      <c r="F124" s="57" t="s">
        <v>754</v>
      </c>
      <c r="G124" s="319">
        <f ca="1">IF(AND($B125=0,G$2&gt;1),F124,(G123+G134+G135)*$B125/Параметры!G$30)</f>
        <v>787.28650000000005</v>
      </c>
      <c r="H124" s="319">
        <f ca="1">IF(AND($B125=0,H$2&gt;1),G124,(H123+H134+H135)*$B125/Параметры!H$30)</f>
        <v>798.83902099166221</v>
      </c>
      <c r="I124" s="319">
        <f ca="1">IF(AND($B125=0,I$2&gt;1),H124,(I123+I134+I135)*$B125/Параметры!I$30)</f>
        <v>929.7813702428034</v>
      </c>
      <c r="J124" s="319">
        <f ca="1">IF(AND($B125=0,J$2&gt;1),I124,(J123+J134+J135)*$B125/Параметры!J$30)</f>
        <v>943.42483904023152</v>
      </c>
      <c r="K124" s="319">
        <f ca="1">IF(AND($B125=0,K$2&gt;1),J124,(K123+K134+K135)*$B125/Параметры!K$30)</f>
        <v>957.26851000000011</v>
      </c>
      <c r="L124" s="319">
        <f ca="1">IF(AND($B125=0,L$2&gt;1),K124,(L123+L134+L135)*$B125/Параметры!L$30)</f>
        <v>971.31532085784158</v>
      </c>
      <c r="M124" s="319">
        <f ca="1">IF(AND($B125=0,M$2&gt;1),L124,(M123+M134+M135)*$B125/Параметры!M$30)</f>
        <v>965.95856725740919</v>
      </c>
      <c r="N124" s="319">
        <f ca="1">IF(AND($B125=0,N$2&gt;1),M124,(N123+N134+N135)*$B125/Параметры!N$30)</f>
        <v>980.13289467864297</v>
      </c>
      <c r="O124" s="319">
        <f ca="1">IF(AND($B125=0,O$2&gt;1),N124,(O123+O134+O135)*$B125/Параметры!O$30)</f>
        <v>994.51521400000024</v>
      </c>
      <c r="P124" s="319">
        <f ca="1">IF(AND($B125=0,P$2&gt;1),O124,(P123+P134+P135)*$B125/Параметры!P$30)</f>
        <v>1009.1085772626275</v>
      </c>
      <c r="Q124" s="319">
        <f ca="1">IF(AND($B125=0,Q$2&gt;1),P124,(Q123+Q134+Q135)*$B125/Параметры!Q$30)</f>
        <v>1157.1021580324509</v>
      </c>
      <c r="R124" s="319">
        <f ca="1">IF(AND($B125=0,R$2&gt;1),Q124,(R123+R134+R135)*$B125/Параметры!R$30)</f>
        <v>1174.0812971008427</v>
      </c>
      <c r="S124" s="319">
        <f ca="1">IF(AND($B125=0,S$2&gt;1),R124,(S123+S134+S135)*$B125/Параметры!S$30)</f>
        <v>1191.3095854440003</v>
      </c>
      <c r="T124" s="319">
        <f ca="1">IF(AND($B125=0,T$2&gt;1),S124,(T123+T134+T135)*$B125/Параметры!T$30)</f>
        <v>1208.7906790400552</v>
      </c>
      <c r="U124" s="319">
        <f ca="1">IF(AND($B125=0,U$2&gt;1),T124,(U123+U134+U135)*$B125/Параметры!U$30)</f>
        <v>1351.3844604949054</v>
      </c>
      <c r="V124" s="319">
        <f ca="1">IF(AND($B125=0,V$2&gt;1),U124,(V123+V134+V135)*$B125/Параметры!V$30)</f>
        <v>1371.2144681829243</v>
      </c>
      <c r="W124" s="319">
        <f ca="1">IF(AND($B125=0,W$2&gt;1),V124,(W123+W134+W135)*$B125/Параметры!W$30)</f>
        <v>1391.3354583532805</v>
      </c>
      <c r="X124" s="319">
        <f ca="1">IF(AND($B125=0,X$2&gt;1),W124,(X123+X134+X135)*$B125/Параметры!X$30)</f>
        <v>1411.7517008381578</v>
      </c>
      <c r="Y124" s="319">
        <f ca="1">IF(AND($B125=0,Y$2&gt;1),X124,(Y123+Y134+Y135)*$B125/Параметры!Y$30)</f>
        <v>1445.4427774735548</v>
      </c>
      <c r="Z124" s="319">
        <f ca="1">IF(AND($B125=0,Z$2&gt;1),Y124,(Z123+Z134+Z135)*$B125/Параметры!Z$30)</f>
        <v>1466.6529824358013</v>
      </c>
      <c r="AA124" s="319">
        <f ca="1">IF(AND($B125=0,AA$2&gt;1),Z124,(AA123+AA134+AA135)*$B125/Параметры!AA$30)</f>
        <v>1488.17442268287</v>
      </c>
      <c r="AB124" s="319">
        <f ca="1">IF(AND($B125=0,AB$2&gt;1),AA124,(AB123+AB134+AB135)*$B125/Параметры!AB$30)</f>
        <v>1510.0116652334516</v>
      </c>
      <c r="AC124" s="319">
        <f ca="1">IF(AND($B125=0,AC$2&gt;1),AB124,(AC123+AC134+AC135)*$B125/Параметры!AC$30)</f>
        <v>1554.1753670177957</v>
      </c>
      <c r="AD124" s="319">
        <f ca="1">IF(AND($B125=0,AD$2&gt;1),AC124,(AD123+AD134+AD135)*$B125/Параметры!AD$30)</f>
        <v>1576.9810972725343</v>
      </c>
      <c r="AE124" s="319">
        <f ca="1">IF(AND($B125=0,AE$2&gt;1),AD124,(AE123+AE134+AE135)*$B125/Параметры!AE$30)</f>
        <v>1600.121475304795</v>
      </c>
      <c r="AF124" s="319">
        <f ca="1">IF(AND($B125=0,AF$2&gt;1),AE124,(AF123+AF134+AF135)*$B125/Параметры!AF$30)</f>
        <v>1623.6014116845856</v>
      </c>
      <c r="AG124" s="319">
        <f ca="1">IF(AND($B125=0,AG$2&gt;1),AF124,(AG123+AG134+AG135)*$B125/Параметры!AG$30)</f>
        <v>1645.4820236830651</v>
      </c>
      <c r="AH124" s="319">
        <f ca="1">IF(AND($B125=0,AH$2&gt;1),AG124,(AH123+AH134+AH135)*$B125/Параметры!AH$30)</f>
        <v>1669.627573771885</v>
      </c>
      <c r="AI124" s="319">
        <f ca="1">IF(AND($B125=0,AI$2&gt;1),AH124,(AI123+AI134+AI135)*$B125/Параметры!AI$30)</f>
        <v>1694.1274319483653</v>
      </c>
      <c r="AJ124" s="319">
        <f ca="1">IF(AND($B125=0,AJ$2&gt;1),AI124,(AJ123+AJ134+AJ135)*$B125/Параметры!AJ$30)</f>
        <v>1718.9867972748814</v>
      </c>
      <c r="AK124" s="319">
        <f ca="1">IF(AND($B125=0,AK$2&gt;1),AJ124,(AK123+AK134+AK135)*$B125/Параметры!AK$30)</f>
        <v>1743.1806964654763</v>
      </c>
      <c r="AL124" s="319">
        <f ca="1">IF(AND($B125=0,AL$2&gt;1),AK124,(AL123+AL134+AL135)*$B125/Параметры!AL$30)</f>
        <v>1768.759861849587</v>
      </c>
      <c r="AM124" s="319">
        <f ca="1">IF(AND($B125=0,AM$2&gt;1),AL124,(AM123+AM134+AM135)*$B125/Параметры!AM$30)</f>
        <v>1794.7143719716671</v>
      </c>
      <c r="AN124" s="319">
        <f ca="1">IF(AND($B125=0,AN$2&gt;1),AM124,(AN123+AN134+AN135)*$B125/Параметры!AN$30)</f>
        <v>1821.0497345826614</v>
      </c>
      <c r="AO124" s="319">
        <f ca="1">IF(AND($B125=0,AO$2&gt;1),AN124,(AO123+AO134+AO135)*$B125/Параметры!AO$30)</f>
        <v>1844.4953475827433</v>
      </c>
      <c r="AP124" s="319">
        <f ca="1">IF(AND($B125=0,AP$2&gt;1),AO124,(AP123+AP134+AP135)*$B125/Параметры!AP$30)</f>
        <v>1871.5611885719804</v>
      </c>
      <c r="AQ124" s="319">
        <f ca="1">IF(AND($B125=0,AQ$2&gt;1),AP124,(AQ123+AQ134+AQ135)*$B125/Параметры!AQ$30)</f>
        <v>1899.0241895483182</v>
      </c>
      <c r="AR124" s="319">
        <f ca="1">IF(AND($B125=0,AR$2&gt;1),AQ124,(AR123+AR134+AR135)*$B125/Параметры!AR$30)</f>
        <v>1926.8901783763133</v>
      </c>
      <c r="AS124" s="319">
        <f ca="1">IF(AND($B125=0,AS$2&gt;1),AR124,(AS123+AS134+AS135)*$B125/Параметры!AS$30)</f>
        <v>1957.4802431783089</v>
      </c>
      <c r="AT124" s="319">
        <f ca="1">IF(AND($B125=0,AT$2&gt;1),AS124,(AT123+AT134+AT135)*$B125/Параметры!AT$30)</f>
        <v>1986.2040071448971</v>
      </c>
      <c r="AU124" s="319">
        <f ca="1">IF(AND($B125=0,AU$2&gt;1),AT124,(AU123+AU134+AU135)*$B125/Параметры!AU$30)</f>
        <v>2015.3492592053162</v>
      </c>
      <c r="AV124" s="319">
        <f ca="1">IF(AND($B125=0,AV$2&gt;1),AU124,(AV123+AV134+AV135)*$B125/Параметры!AV$30)</f>
        <v>2044.9221842110167</v>
      </c>
      <c r="AW124" s="180"/>
      <c r="AX124" s="87"/>
    </row>
    <row r="125" spans="1:50" hidden="1" outlineLevel="1" x14ac:dyDescent="0.2">
      <c r="A125" s="181" t="str">
        <f ca="1">Language!A$599</f>
        <v>средний период отсрочки платежа</v>
      </c>
      <c r="B125" s="320">
        <f>$B$618</f>
        <v>33</v>
      </c>
      <c r="C125" s="152" t="str">
        <f ca="1">Language!$A$1446</f>
        <v>дней</v>
      </c>
      <c r="D125" s="100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48"/>
      <c r="AX125" s="150"/>
    </row>
    <row r="126" spans="1:50" hidden="1" outlineLevel="1" x14ac:dyDescent="0.2">
      <c r="A126" s="179" t="str">
        <f ca="1">Language!A$600</f>
        <v xml:space="preserve">авансы полученные </v>
      </c>
      <c r="B126" s="82"/>
      <c r="C126" s="103" t="str">
        <f ca="1">CHOOSE(D126,CurName1,CurName2,CurName3)</f>
        <v>тыс. руб.</v>
      </c>
      <c r="D126" s="155">
        <f>D119</f>
        <v>1</v>
      </c>
      <c r="E126" s="57" t="s">
        <v>995</v>
      </c>
      <c r="F126" s="57" t="s">
        <v>754</v>
      </c>
      <c r="G126" s="316">
        <f ca="1">IF(AND($B127=0,G$2&gt;1),F126,(OFFSET(G123,0,1)+OFFSET(G134,0,1)+OFFSET(G135,0,1))*$B127/Параметры!G$30)</f>
        <v>0</v>
      </c>
      <c r="H126" s="316">
        <f ca="1">IF(AND($B127=0,H$2&gt;1),G126,(OFFSET(H123,0,1)+OFFSET(H134,0,1)+OFFSET(H135,0,1))*$B127/Параметры!H$30)</f>
        <v>0</v>
      </c>
      <c r="I126" s="316">
        <f ca="1">IF(AND($B127=0,I$2&gt;1),H126,(OFFSET(I123,0,1)+OFFSET(I134,0,1)+OFFSET(I135,0,1))*$B127/Параметры!I$30)</f>
        <v>0</v>
      </c>
      <c r="J126" s="316">
        <f ca="1">IF(AND($B127=0,J$2&gt;1),I126,(OFFSET(J123,0,1)+OFFSET(J134,0,1)+OFFSET(J135,0,1))*$B127/Параметры!J$30)</f>
        <v>0</v>
      </c>
      <c r="K126" s="316">
        <f ca="1">IF(AND($B127=0,K$2&gt;1),J126,(OFFSET(K123,0,1)+OFFSET(K134,0,1)+OFFSET(K135,0,1))*$B127/Параметры!K$30)</f>
        <v>0</v>
      </c>
      <c r="L126" s="316">
        <f ca="1">IF(AND($B127=0,L$2&gt;1),K126,(OFFSET(L123,0,1)+OFFSET(L134,0,1)+OFFSET(L135,0,1))*$B127/Параметры!L$30)</f>
        <v>0</v>
      </c>
      <c r="M126" s="316">
        <f ca="1">IF(AND($B127=0,M$2&gt;1),L126,(OFFSET(M123,0,1)+OFFSET(M134,0,1)+OFFSET(M135,0,1))*$B127/Параметры!M$30)</f>
        <v>0</v>
      </c>
      <c r="N126" s="316">
        <f ca="1">IF(AND($B127=0,N$2&gt;1),M126,(OFFSET(N123,0,1)+OFFSET(N134,0,1)+OFFSET(N135,0,1))*$B127/Параметры!N$30)</f>
        <v>0</v>
      </c>
      <c r="O126" s="316">
        <f ca="1">IF(AND($B127=0,O$2&gt;1),N126,(OFFSET(O123,0,1)+OFFSET(O134,0,1)+OFFSET(O135,0,1))*$B127/Параметры!O$30)</f>
        <v>0</v>
      </c>
      <c r="P126" s="316">
        <f ca="1">IF(AND($B127=0,P$2&gt;1),O126,(OFFSET(P123,0,1)+OFFSET(P134,0,1)+OFFSET(P135,0,1))*$B127/Параметры!P$30)</f>
        <v>0</v>
      </c>
      <c r="Q126" s="316">
        <f ca="1">IF(AND($B127=0,Q$2&gt;1),P126,(OFFSET(Q123,0,1)+OFFSET(Q134,0,1)+OFFSET(Q135,0,1))*$B127/Параметры!Q$30)</f>
        <v>0</v>
      </c>
      <c r="R126" s="316">
        <f ca="1">IF(AND($B127=0,R$2&gt;1),Q126,(OFFSET(R123,0,1)+OFFSET(R134,0,1)+OFFSET(R135,0,1))*$B127/Параметры!R$30)</f>
        <v>0</v>
      </c>
      <c r="S126" s="316">
        <f ca="1">IF(AND($B127=0,S$2&gt;1),R126,(OFFSET(S123,0,1)+OFFSET(S134,0,1)+OFFSET(S135,0,1))*$B127/Параметры!S$30)</f>
        <v>0</v>
      </c>
      <c r="T126" s="316">
        <f ca="1">IF(AND($B127=0,T$2&gt;1),S126,(OFFSET(T123,0,1)+OFFSET(T134,0,1)+OFFSET(T135,0,1))*$B127/Параметры!T$30)</f>
        <v>0</v>
      </c>
      <c r="U126" s="316">
        <f ca="1">IF(AND($B127=0,U$2&gt;1),T126,(OFFSET(U123,0,1)+OFFSET(U134,0,1)+OFFSET(U135,0,1))*$B127/Параметры!U$30)</f>
        <v>0</v>
      </c>
      <c r="V126" s="316">
        <f ca="1">IF(AND($B127=0,V$2&gt;1),U126,(OFFSET(V123,0,1)+OFFSET(V134,0,1)+OFFSET(V135,0,1))*$B127/Параметры!V$30)</f>
        <v>0</v>
      </c>
      <c r="W126" s="316">
        <f ca="1">IF(AND($B127=0,W$2&gt;1),V126,(OFFSET(W123,0,1)+OFFSET(W134,0,1)+OFFSET(W135,0,1))*$B127/Параметры!W$30)</f>
        <v>0</v>
      </c>
      <c r="X126" s="316">
        <f ca="1">IF(AND($B127=0,X$2&gt;1),W126,(OFFSET(X123,0,1)+OFFSET(X134,0,1)+OFFSET(X135,0,1))*$B127/Параметры!X$30)</f>
        <v>0</v>
      </c>
      <c r="Y126" s="316">
        <f ca="1">IF(AND($B127=0,Y$2&gt;1),X126,(OFFSET(Y123,0,1)+OFFSET(Y134,0,1)+OFFSET(Y135,0,1))*$B127/Параметры!Y$30)</f>
        <v>0</v>
      </c>
      <c r="Z126" s="316">
        <f ca="1">IF(AND($B127=0,Z$2&gt;1),Y126,(OFFSET(Z123,0,1)+OFFSET(Z134,0,1)+OFFSET(Z135,0,1))*$B127/Параметры!Z$30)</f>
        <v>0</v>
      </c>
      <c r="AA126" s="316">
        <f ca="1">IF(AND($B127=0,AA$2&gt;1),Z126,(OFFSET(AA123,0,1)+OFFSET(AA134,0,1)+OFFSET(AA135,0,1))*$B127/Параметры!AA$30)</f>
        <v>0</v>
      </c>
      <c r="AB126" s="316">
        <f ca="1">IF(AND($B127=0,AB$2&gt;1),AA126,(OFFSET(AB123,0,1)+OFFSET(AB134,0,1)+OFFSET(AB135,0,1))*$B127/Параметры!AB$30)</f>
        <v>0</v>
      </c>
      <c r="AC126" s="316">
        <f ca="1">IF(AND($B127=0,AC$2&gt;1),AB126,(OFFSET(AC123,0,1)+OFFSET(AC134,0,1)+OFFSET(AC135,0,1))*$B127/Параметры!AC$30)</f>
        <v>0</v>
      </c>
      <c r="AD126" s="316">
        <f ca="1">IF(AND($B127=0,AD$2&gt;1),AC126,(OFFSET(AD123,0,1)+OFFSET(AD134,0,1)+OFFSET(AD135,0,1))*$B127/Параметры!AD$30)</f>
        <v>0</v>
      </c>
      <c r="AE126" s="316">
        <f ca="1">IF(AND($B127=0,AE$2&gt;1),AD126,(OFFSET(AE123,0,1)+OFFSET(AE134,0,1)+OFFSET(AE135,0,1))*$B127/Параметры!AE$30)</f>
        <v>0</v>
      </c>
      <c r="AF126" s="316">
        <f ca="1">IF(AND($B127=0,AF$2&gt;1),AE126,(OFFSET(AF123,0,1)+OFFSET(AF134,0,1)+OFFSET(AF135,0,1))*$B127/Параметры!AF$30)</f>
        <v>0</v>
      </c>
      <c r="AG126" s="316">
        <f ca="1">IF(AND($B127=0,AG$2&gt;1),AF126,(OFFSET(AG123,0,1)+OFFSET(AG134,0,1)+OFFSET(AG135,0,1))*$B127/Параметры!AG$30)</f>
        <v>0</v>
      </c>
      <c r="AH126" s="316">
        <f ca="1">IF(AND($B127=0,AH$2&gt;1),AG126,(OFFSET(AH123,0,1)+OFFSET(AH134,0,1)+OFFSET(AH135,0,1))*$B127/Параметры!AH$30)</f>
        <v>0</v>
      </c>
      <c r="AI126" s="316">
        <f ca="1">IF(AND($B127=0,AI$2&gt;1),AH126,(OFFSET(AI123,0,1)+OFFSET(AI134,0,1)+OFFSET(AI135,0,1))*$B127/Параметры!AI$30)</f>
        <v>0</v>
      </c>
      <c r="AJ126" s="316">
        <f ca="1">IF(AND($B127=0,AJ$2&gt;1),AI126,(OFFSET(AJ123,0,1)+OFFSET(AJ134,0,1)+OFFSET(AJ135,0,1))*$B127/Параметры!AJ$30)</f>
        <v>0</v>
      </c>
      <c r="AK126" s="316">
        <f ca="1">IF(AND($B127=0,AK$2&gt;1),AJ126,(OFFSET(AK123,0,1)+OFFSET(AK134,0,1)+OFFSET(AK135,0,1))*$B127/Параметры!AK$30)</f>
        <v>0</v>
      </c>
      <c r="AL126" s="316">
        <f ca="1">IF(AND($B127=0,AL$2&gt;1),AK126,(OFFSET(AL123,0,1)+OFFSET(AL134,0,1)+OFFSET(AL135,0,1))*$B127/Параметры!AL$30)</f>
        <v>0</v>
      </c>
      <c r="AM126" s="316">
        <f ca="1">IF(AND($B127=0,AM$2&gt;1),AL126,(OFFSET(AM123,0,1)+OFFSET(AM134,0,1)+OFFSET(AM135,0,1))*$B127/Параметры!AM$30)</f>
        <v>0</v>
      </c>
      <c r="AN126" s="316">
        <f ca="1">IF(AND($B127=0,AN$2&gt;1),AM126,(OFFSET(AN123,0,1)+OFFSET(AN134,0,1)+OFFSET(AN135,0,1))*$B127/Параметры!AN$30)</f>
        <v>0</v>
      </c>
      <c r="AO126" s="316">
        <f ca="1">IF(AND($B127=0,AO$2&gt;1),AN126,(OFFSET(AO123,0,1)+OFFSET(AO134,0,1)+OFFSET(AO135,0,1))*$B127/Параметры!AO$30)</f>
        <v>0</v>
      </c>
      <c r="AP126" s="316">
        <f ca="1">IF(AND($B127=0,AP$2&gt;1),AO126,(OFFSET(AP123,0,1)+OFFSET(AP134,0,1)+OFFSET(AP135,0,1))*$B127/Параметры!AP$30)</f>
        <v>0</v>
      </c>
      <c r="AQ126" s="316">
        <f ca="1">IF(AND($B127=0,AQ$2&gt;1),AP126,(OFFSET(AQ123,0,1)+OFFSET(AQ134,0,1)+OFFSET(AQ135,0,1))*$B127/Параметры!AQ$30)</f>
        <v>0</v>
      </c>
      <c r="AR126" s="316">
        <f ca="1">IF(AND($B127=0,AR$2&gt;1),AQ126,(OFFSET(AR123,0,1)+OFFSET(AR134,0,1)+OFFSET(AR135,0,1))*$B127/Параметры!AR$30)</f>
        <v>0</v>
      </c>
      <c r="AS126" s="316">
        <f ca="1">IF(AND($B127=0,AS$2&gt;1),AR126,(OFFSET(AS123,0,1)+OFFSET(AS134,0,1)+OFFSET(AS135,0,1))*$B127/Параметры!AS$30)</f>
        <v>0</v>
      </c>
      <c r="AT126" s="316">
        <f ca="1">IF(AND($B127=0,AT$2&gt;1),AS126,(OFFSET(AT123,0,1)+OFFSET(AT134,0,1)+OFFSET(AT135,0,1))*$B127/Параметры!AT$30)</f>
        <v>0</v>
      </c>
      <c r="AU126" s="316">
        <f ca="1">IF(AND($B127=0,AU$2&gt;1),AT126,(OFFSET(AU123,0,1)+OFFSET(AU134,0,1)+OFFSET(AU135,0,1))*$B127/Параметры!AU$30)</f>
        <v>0</v>
      </c>
      <c r="AV126" s="316">
        <f ca="1">IF(AND($B127=0,AV$2&gt;1),AU126,(OFFSET(AV123,0,1)+OFFSET(AV134,0,1)+OFFSET(AV135,0,1))*$B127/Параметры!AV$30)</f>
        <v>0</v>
      </c>
      <c r="AW126" s="168"/>
      <c r="AX126" s="182"/>
    </row>
    <row r="127" spans="1:50" hidden="1" outlineLevel="1" x14ac:dyDescent="0.2">
      <c r="A127" s="181" t="str">
        <f ca="1">Language!A$601</f>
        <v>средний период предоплаты</v>
      </c>
      <c r="B127" s="320">
        <f>$B$624</f>
        <v>0</v>
      </c>
      <c r="C127" s="152" t="str">
        <f ca="1">Language!$A$1446</f>
        <v>дней</v>
      </c>
      <c r="D127" s="100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48"/>
      <c r="AX127" s="150"/>
    </row>
    <row r="128" spans="1:50" hidden="1" outlineLevel="1" x14ac:dyDescent="0.2">
      <c r="A128" s="179" t="str">
        <f ca="1">Language!A$602</f>
        <v>поступление денежных средств, с НДС</v>
      </c>
      <c r="B128" s="52"/>
      <c r="C128" s="103" t="str">
        <f ca="1">CHOOSE(D128,CurName1,CurName2,CurName3)</f>
        <v>тыс. руб.</v>
      </c>
      <c r="D128" s="155">
        <f>D119</f>
        <v>1</v>
      </c>
      <c r="E128" s="57" t="s">
        <v>993</v>
      </c>
      <c r="F128" s="57" t="s">
        <v>753</v>
      </c>
      <c r="G128" s="180">
        <f ca="1">G123+G134+G135-IF(G$2=1,G124,G124-F124)+IF(G$2=1,G126,G126-F126)</f>
        <v>1359.8584999999998</v>
      </c>
      <c r="H128" s="180">
        <f t="shared" ref="H128" ca="1" si="456">H123+H134+H135-IF(H$2=1,H124,H124-G124)+IF(H$2=1,H126,H126-G126)</f>
        <v>2167.0993544401435</v>
      </c>
      <c r="I128" s="180">
        <f t="shared" ref="I128" ca="1" si="457">I123+I134+I135-IF(I$2=1,I124,I124-H124)+IF(I$2=1,I126,I126-H126)</f>
        <v>2404.825024138323</v>
      </c>
      <c r="J128" s="180">
        <f t="shared" ref="J128" ca="1" si="458">J123+J134+J135-IF(J$2=1,J124,J124-I124)+IF(J$2=1,J126,J126-I126)</f>
        <v>2559.3333649486576</v>
      </c>
      <c r="K128" s="180">
        <f t="shared" ref="K128" ca="1" si="459">K123+K134+K135-IF(K$2=1,K124,K124-J124)+IF(K$2=1,K126,K126-J126)</f>
        <v>2596.8886290402315</v>
      </c>
      <c r="L128" s="180">
        <f t="shared" ref="L128" ca="1" si="460">L123+L134+L135-IF(L$2=1,L124,L124-K124)+IF(L$2=1,L126,L126-K126)</f>
        <v>2634.9949732999085</v>
      </c>
      <c r="M128" s="180">
        <f t="shared" ref="M128" ca="1" si="461">M123+M134+M135-IF(M$2=1,M124,M124-L124)+IF(M$2=1,M126,M126-L126)</f>
        <v>2639.7892097570029</v>
      </c>
      <c r="N128" s="180">
        <f t="shared" ref="N128" ca="1" si="462">N123+N134+N135-IF(N$2=1,N124,N124-M124)+IF(N$2=1,N126,N126-M126)</f>
        <v>2658.9153853387015</v>
      </c>
      <c r="O128" s="180">
        <f t="shared" ref="O128" ca="1" si="463">O123+O134+O135-IF(O$2=1,O124,O124-N124)+IF(O$2=1,O126,O126-N126)</f>
        <v>2697.9319006786436</v>
      </c>
      <c r="P128" s="180">
        <f t="shared" ref="P128" ca="1" si="464">P123+P134+P135-IF(P$2=1,P124,P124-O124)+IF(P$2=1,P126,P126-O126)</f>
        <v>2737.5209383627207</v>
      </c>
      <c r="Q128" s="180">
        <f t="shared" ref="Q128" ca="1" si="465">Q123+Q134+Q135-IF(Q$2=1,Q124,Q124-P124)+IF(Q$2=1,Q126,Q126-P126)</f>
        <v>3007.739577500497</v>
      </c>
      <c r="R128" s="180">
        <f t="shared" ref="R128" ca="1" si="466">R123+R134+R135-IF(R$2=1,R124,R124-Q124)+IF(R$2=1,R126,R126-Q126)</f>
        <v>3185.0607621157246</v>
      </c>
      <c r="S128" s="180">
        <f t="shared" ref="S128" ca="1" si="467">S123+S134+S135-IF(S$2=1,S124,S124-R124)+IF(S$2=1,S126,S126-R126)</f>
        <v>3231.7978537768436</v>
      </c>
      <c r="T128" s="180">
        <f t="shared" ref="T128" ca="1" si="468">T123+T134+T135-IF(T$2=1,T124,T124-S124)+IF(T$2=1,T126,T126-S126)</f>
        <v>3279.220758331368</v>
      </c>
      <c r="U128" s="180">
        <f t="shared" ref="U128" ca="1" si="469">U123+U134+U135-IF(U$2=1,U124,U124-T124)+IF(U$2=1,U126,U126-T126)</f>
        <v>3543.0002017130737</v>
      </c>
      <c r="V128" s="180">
        <f t="shared" ref="V128" ca="1" si="470">V123+V134+V135-IF(V$2=1,V124,V124-U124)+IF(V$2=1,V126,V126-U126)</f>
        <v>3719.8458146290477</v>
      </c>
      <c r="W128" s="180">
        <f t="shared" ref="W128" ca="1" si="471">W123+W134+W135-IF(W$2=1,W124,W124-V124)+IF(W$2=1,W126,W126-V126)</f>
        <v>3774.430259884045</v>
      </c>
      <c r="X128" s="180">
        <f t="shared" ref="X128" ca="1" si="472">X123+X134+X135-IF(X$2=1,X124,X124-W124)+IF(X$2=1,X126,X126-W126)</f>
        <v>3829.8156688919166</v>
      </c>
      <c r="Y128" s="180">
        <f t="shared" ref="Y128" ca="1" si="473">Y123+Y134+Y135-IF(Y$2=1,Y124,Y124-X124)+IF(Y$2=1,Y126,Y126-X126)</f>
        <v>3908.4255892015708</v>
      </c>
      <c r="Z128" s="180">
        <f t="shared" ref="Z128" ca="1" si="474">Z123+Z134+Z135-IF(Z$2=1,Z124,Z124-Y124)+IF(Z$2=1,Z126,Z126-Y126)</f>
        <v>3978.7524744081211</v>
      </c>
      <c r="AA128" s="180">
        <f t="shared" ref="AA128" ca="1" si="475">AA123+AA134+AA135-IF(AA$2=1,AA124,AA124-Z124)+IF(AA$2=1,AA126,AA126-Z126)</f>
        <v>4037.1360761607584</v>
      </c>
      <c r="AB128" s="180">
        <f t="shared" ref="AB128" ca="1" si="476">AB123+AB134+AB135-IF(AB$2=1,AB124,AB124-AA124)+IF(AB$2=1,AB126,AB126-AA126)</f>
        <v>4096.376389904287</v>
      </c>
      <c r="AC128" s="180">
        <f t="shared" ref="AC128" ca="1" si="477">AC123+AC134+AC135-IF(AC$2=1,AC124,AC124-AB124)+IF(AC$2=1,AC126,AC126-AB126)</f>
        <v>4194.4963900823714</v>
      </c>
      <c r="AD128" s="180">
        <f t="shared" ref="AD128" ca="1" si="478">AD123+AD134+AD135-IF(AD$2=1,AD124,AD124-AC124)+IF(AD$2=1,AD126,AD126-AC126)</f>
        <v>4278.0518077612642</v>
      </c>
      <c r="AE128" s="180">
        <f t="shared" ref="AE128" ca="1" si="479">AE123+AE134+AE135-IF(AE$2=1,AE124,AE124-AD124)+IF(AE$2=1,AE126,AE126-AD126)</f>
        <v>4340.8272818899077</v>
      </c>
      <c r="AF128" s="180">
        <f t="shared" ref="AF128" ca="1" si="480">AF123+AF134+AF135-IF(AF$2=1,AF124,AF124-AE124)+IF(AF$2=1,AF126,AF126-AE126)</f>
        <v>4404.5239136690798</v>
      </c>
      <c r="AG128" s="180">
        <f t="shared" ref="AG128" ca="1" si="481">AG123+AG134+AG135-IF(AG$2=1,AG124,AG124-AF124)+IF(AG$2=1,AG126,AG126-AF126)</f>
        <v>4465.7976344098806</v>
      </c>
      <c r="AH128" s="180">
        <f t="shared" ref="AH128" ca="1" si="482">AH123+AH134+AH135-IF(AH$2=1,AH124,AH124-AG124)+IF(AH$2=1,AH126,AH126-AG126)</f>
        <v>4529.3841965617758</v>
      </c>
      <c r="AI128" s="180">
        <f t="shared" ref="AI128" ca="1" si="483">AI123+AI134+AI135-IF(AI$2=1,AI124,AI124-AH124)+IF(AI$2=1,AI126,AI126-AH126)</f>
        <v>4595.8476835008796</v>
      </c>
      <c r="AJ128" s="180">
        <f t="shared" ref="AJ128" ca="1" si="484">AJ123+AJ134+AJ135-IF(AJ$2=1,AJ124,AJ124-AI124)+IF(AJ$2=1,AJ126,AJ126-AI126)</f>
        <v>4663.2864454231603</v>
      </c>
      <c r="AK128" s="180">
        <f t="shared" ref="AK128" ca="1" si="485">AK123+AK134+AK135-IF(AK$2=1,AK124,AK124-AJ124)+IF(AK$2=1,AK126,AK126-AJ126)</f>
        <v>4729.9352729879774</v>
      </c>
      <c r="AL128" s="180">
        <f t="shared" ref="AL128" ca="1" si="486">AL123+AL134+AL135-IF(AL$2=1,AL124,AL124-AK124)+IF(AL$2=1,AL126,AL126-AK126)</f>
        <v>4798.311366932945</v>
      </c>
      <c r="AM128" s="180">
        <f t="shared" ref="AM128" ca="1" si="487">AM123+AM134+AM135-IF(AM$2=1,AM124,AM124-AL124)+IF(AM$2=1,AM126,AM126-AL126)</f>
        <v>4868.721049800648</v>
      </c>
      <c r="AN128" s="180">
        <f t="shared" ref="AN128" ca="1" si="488">AN123+AN134+AN135-IF(AN$2=1,AN124,AN124-AM124)+IF(AN$2=1,AN126,AN126-AM126)</f>
        <v>4940.1639135235364</v>
      </c>
      <c r="AO128" s="180">
        <f t="shared" ref="AO128" ca="1" si="489">AO123+AO134+AO135-IF(AO$2=1,AO124,AO124-AN124)+IF(AO$2=1,AO126,AO126-AN126)</f>
        <v>5006.996244043763</v>
      </c>
      <c r="AP128" s="180">
        <f t="shared" ref="AP128" ca="1" si="490">AP123+AP134+AP135-IF(AP$2=1,AP124,AP124-AO124)+IF(AP$2=1,AP126,AP126-AO126)</f>
        <v>5077.1919460252539</v>
      </c>
      <c r="AQ128" s="180">
        <f t="shared" ref="AQ128" ca="1" si="491">AQ123+AQ134+AQ135-IF(AQ$2=1,AQ124,AQ124-AP124)+IF(AQ$2=1,AQ126,AQ126-AP126)</f>
        <v>5151.6938796099848</v>
      </c>
      <c r="AR128" s="180">
        <f t="shared" ref="AR128" ca="1" si="492">AR123+AR134+AR135-IF(AR$2=1,AR124,AR124-AQ124)+IF(AR$2=1,AR126,AR126-AQ126)</f>
        <v>5227.2890431074047</v>
      </c>
      <c r="AS128" s="180">
        <f t="shared" ref="AS128" ca="1" si="493">AS123+AS134+AS135-IF(AS$2=1,AS124,AS124-AR124)+IF(AS$2=1,AS126,AS126-AR126)</f>
        <v>5307.9924165933917</v>
      </c>
      <c r="AT128" s="180">
        <f t="shared" ref="AT128" ca="1" si="494">AT123+AT134+AT135-IF(AT$2=1,AT124,AT124-AS124)+IF(AT$2=1,AT126,AT126-AS126)</f>
        <v>5388.196255519495</v>
      </c>
      <c r="AU128" s="180">
        <f t="shared" ref="AU128" ca="1" si="495">AU123+AU134+AU135-IF(AU$2=1,AU124,AU124-AT124)+IF(AU$2=1,AU126,AU126-AT126)</f>
        <v>5467.2618184995345</v>
      </c>
      <c r="AV128" s="180">
        <f t="shared" ref="AV128" ca="1" si="496">AV123+AV134+AV135-IF(AV$2=1,AV124,AV124-AU124)+IF(AV$2=1,AV126,AV126-AU126)</f>
        <v>5547.4875773879812</v>
      </c>
      <c r="AW128" s="180"/>
      <c r="AX128" s="169">
        <f ca="1">SUM(G128:AW128)</f>
        <v>165032.21484385183</v>
      </c>
    </row>
    <row r="129" spans="1:50" hidden="1" outlineLevel="1" x14ac:dyDescent="0.2">
      <c r="A129" s="179" t="str">
        <f ca="1">Language!A$603</f>
        <v>темп изменения цен</v>
      </c>
      <c r="B129" s="84"/>
      <c r="C129" s="82" t="str">
        <f ca="1">Language!$A$471</f>
        <v>% в год</v>
      </c>
      <c r="D129" s="153"/>
      <c r="F129" s="57" t="s">
        <v>756</v>
      </c>
      <c r="G129" s="321">
        <f>CHOOSE($D119,Параметры!G$47,Параметры!G$56,Параметры!G$62)</f>
        <v>0.06</v>
      </c>
      <c r="H129" s="321">
        <f>CHOOSE($D119,Параметры!H$47,Параметры!H$56,Параметры!H$62)</f>
        <v>0.06</v>
      </c>
      <c r="I129" s="321">
        <f>CHOOSE($D119,Параметры!I$47,Параметры!I$56,Параметры!I$62)</f>
        <v>0.06</v>
      </c>
      <c r="J129" s="321">
        <f>CHOOSE($D119,Параметры!J$47,Параметры!J$56,Параметры!J$62)</f>
        <v>0.06</v>
      </c>
      <c r="K129" s="321">
        <f>CHOOSE($D119,Параметры!K$47,Параметры!K$56,Параметры!K$62)</f>
        <v>0.06</v>
      </c>
      <c r="L129" s="321">
        <f>CHOOSE($D119,Параметры!L$47,Параметры!L$56,Параметры!L$62)</f>
        <v>0.06</v>
      </c>
      <c r="M129" s="321">
        <f>CHOOSE($D119,Параметры!M$47,Параметры!M$56,Параметры!M$62)</f>
        <v>0.06</v>
      </c>
      <c r="N129" s="321">
        <f>CHOOSE($D119,Параметры!N$47,Параметры!N$56,Параметры!N$62)</f>
        <v>0.06</v>
      </c>
      <c r="O129" s="321">
        <f>CHOOSE($D119,Параметры!O$47,Параметры!O$56,Параметры!O$62)</f>
        <v>0.06</v>
      </c>
      <c r="P129" s="321">
        <f>CHOOSE($D119,Параметры!P$47,Параметры!P$56,Параметры!P$62)</f>
        <v>0.06</v>
      </c>
      <c r="Q129" s="321">
        <f>CHOOSE($D119,Параметры!Q$47,Параметры!Q$56,Параметры!Q$62)</f>
        <v>0.06</v>
      </c>
      <c r="R129" s="321">
        <f>CHOOSE($D119,Параметры!R$47,Параметры!R$56,Параметры!R$62)</f>
        <v>0.06</v>
      </c>
      <c r="S129" s="321">
        <f>CHOOSE($D119,Параметры!S$47,Параметры!S$56,Параметры!S$62)</f>
        <v>0.06</v>
      </c>
      <c r="T129" s="321">
        <f>CHOOSE($D119,Параметры!T$47,Параметры!T$56,Параметры!T$62)</f>
        <v>0.06</v>
      </c>
      <c r="U129" s="321">
        <f>CHOOSE($D119,Параметры!U$47,Параметры!U$56,Параметры!U$62)</f>
        <v>0.06</v>
      </c>
      <c r="V129" s="321">
        <f>CHOOSE($D119,Параметры!V$47,Параметры!V$56,Параметры!V$62)</f>
        <v>0.06</v>
      </c>
      <c r="W129" s="321">
        <f>CHOOSE($D119,Параметры!W$47,Параметры!W$56,Параметры!W$62)</f>
        <v>0.06</v>
      </c>
      <c r="X129" s="321">
        <f>CHOOSE($D119,Параметры!X$47,Параметры!X$56,Параметры!X$62)</f>
        <v>0.06</v>
      </c>
      <c r="Y129" s="321">
        <f>CHOOSE($D119,Параметры!Y$47,Параметры!Y$56,Параметры!Y$62)</f>
        <v>0.06</v>
      </c>
      <c r="Z129" s="321">
        <f>CHOOSE($D119,Параметры!Z$47,Параметры!Z$56,Параметры!Z$62)</f>
        <v>0.06</v>
      </c>
      <c r="AA129" s="321">
        <f>CHOOSE($D119,Параметры!AA$47,Параметры!AA$56,Параметры!AA$62)</f>
        <v>0.06</v>
      </c>
      <c r="AB129" s="321">
        <f>CHOOSE($D119,Параметры!AB$47,Параметры!AB$56,Параметры!AB$62)</f>
        <v>0.06</v>
      </c>
      <c r="AC129" s="321">
        <f>CHOOSE($D119,Параметры!AC$47,Параметры!AC$56,Параметры!AC$62)</f>
        <v>0.06</v>
      </c>
      <c r="AD129" s="321">
        <f>CHOOSE($D119,Параметры!AD$47,Параметры!AD$56,Параметры!AD$62)</f>
        <v>0.06</v>
      </c>
      <c r="AE129" s="321">
        <f>CHOOSE($D119,Параметры!AE$47,Параметры!AE$56,Параметры!AE$62)</f>
        <v>0.06</v>
      </c>
      <c r="AF129" s="321">
        <f>CHOOSE($D119,Параметры!AF$47,Параметры!AF$56,Параметры!AF$62)</f>
        <v>0.06</v>
      </c>
      <c r="AG129" s="321">
        <f>CHOOSE($D119,Параметры!AG$47,Параметры!AG$56,Параметры!AG$62)</f>
        <v>0.06</v>
      </c>
      <c r="AH129" s="321">
        <f>CHOOSE($D119,Параметры!AH$47,Параметры!AH$56,Параметры!AH$62)</f>
        <v>0.06</v>
      </c>
      <c r="AI129" s="321">
        <f>CHOOSE($D119,Параметры!AI$47,Параметры!AI$56,Параметры!AI$62)</f>
        <v>0.06</v>
      </c>
      <c r="AJ129" s="321">
        <f>CHOOSE($D119,Параметры!AJ$47,Параметры!AJ$56,Параметры!AJ$62)</f>
        <v>0.06</v>
      </c>
      <c r="AK129" s="321">
        <f>CHOOSE($D119,Параметры!AK$47,Параметры!AK$56,Параметры!AK$62)</f>
        <v>0.06</v>
      </c>
      <c r="AL129" s="321">
        <f>CHOOSE($D119,Параметры!AL$47,Параметры!AL$56,Параметры!AL$62)</f>
        <v>0.06</v>
      </c>
      <c r="AM129" s="321">
        <f>CHOOSE($D119,Параметры!AM$47,Параметры!AM$56,Параметры!AM$62)</f>
        <v>0.06</v>
      </c>
      <c r="AN129" s="321">
        <f>CHOOSE($D119,Параметры!AN$47,Параметры!AN$56,Параметры!AN$62)</f>
        <v>0.06</v>
      </c>
      <c r="AO129" s="321">
        <f>CHOOSE($D119,Параметры!AO$47,Параметры!AO$56,Параметры!AO$62)</f>
        <v>0.06</v>
      </c>
      <c r="AP129" s="321">
        <f>CHOOSE($D119,Параметры!AP$47,Параметры!AP$56,Параметры!AP$62)</f>
        <v>0.06</v>
      </c>
      <c r="AQ129" s="321">
        <f>CHOOSE($D119,Параметры!AQ$47,Параметры!AQ$56,Параметры!AQ$62)</f>
        <v>0.06</v>
      </c>
      <c r="AR129" s="321">
        <f>CHOOSE($D119,Параметры!AR$47,Параметры!AR$56,Параметры!AR$62)</f>
        <v>0.06</v>
      </c>
      <c r="AS129" s="321">
        <f>CHOOSE($D119,Параметры!AS$47,Параметры!AS$56,Параметры!AS$62)</f>
        <v>0.06</v>
      </c>
      <c r="AT129" s="321">
        <f>CHOOSE($D119,Параметры!AT$47,Параметры!AT$56,Параметры!AT$62)</f>
        <v>0.06</v>
      </c>
      <c r="AU129" s="321">
        <f>CHOOSE($D119,Параметры!AU$47,Параметры!AU$56,Параметры!AU$62)</f>
        <v>0.06</v>
      </c>
      <c r="AV129" s="321">
        <f>CHOOSE($D119,Параметры!AV$47,Параметры!AV$56,Параметры!AV$62)</f>
        <v>0.06</v>
      </c>
      <c r="AW129" s="183"/>
      <c r="AX129" s="184"/>
    </row>
    <row r="130" spans="1:50" hidden="1" outlineLevel="1" x14ac:dyDescent="0.2">
      <c r="A130" s="179" t="str">
        <f ca="1">Language!A$604</f>
        <v>ставка НДС</v>
      </c>
      <c r="B130" s="84"/>
      <c r="C130" s="82" t="s">
        <v>1</v>
      </c>
      <c r="D130" s="66"/>
      <c r="F130" s="57" t="s">
        <v>756</v>
      </c>
      <c r="G130" s="321">
        <f>Параметры!G$72*10/18</f>
        <v>9.9999999999999992E-2</v>
      </c>
      <c r="H130" s="321">
        <f>Параметры!H$72*10/18</f>
        <v>9.9999999999999992E-2</v>
      </c>
      <c r="I130" s="321">
        <f>Параметры!I$72*10/18</f>
        <v>9.9999999999999992E-2</v>
      </c>
      <c r="J130" s="321">
        <f>Параметры!J$72*10/18</f>
        <v>9.9999999999999992E-2</v>
      </c>
      <c r="K130" s="321">
        <f>Параметры!K$72*10/18</f>
        <v>9.9999999999999992E-2</v>
      </c>
      <c r="L130" s="321">
        <f>Параметры!L$72*10/18</f>
        <v>9.9999999999999992E-2</v>
      </c>
      <c r="M130" s="321">
        <f>Параметры!M$72*10/18</f>
        <v>9.9999999999999992E-2</v>
      </c>
      <c r="N130" s="321">
        <f>Параметры!N$72*10/18</f>
        <v>9.9999999999999992E-2</v>
      </c>
      <c r="O130" s="321">
        <f>Параметры!O$72*10/18</f>
        <v>9.9999999999999992E-2</v>
      </c>
      <c r="P130" s="321">
        <f>Параметры!P$72*10/18</f>
        <v>9.9999999999999992E-2</v>
      </c>
      <c r="Q130" s="321">
        <f>Параметры!Q$72*10/18</f>
        <v>9.9999999999999992E-2</v>
      </c>
      <c r="R130" s="321">
        <f>Параметры!R$72*10/18</f>
        <v>9.9999999999999992E-2</v>
      </c>
      <c r="S130" s="321">
        <f>Параметры!S$72*10/18</f>
        <v>9.9999999999999992E-2</v>
      </c>
      <c r="T130" s="321">
        <f>Параметры!T$72*10/18</f>
        <v>9.9999999999999992E-2</v>
      </c>
      <c r="U130" s="321">
        <f>Параметры!U$72*10/18</f>
        <v>9.9999999999999992E-2</v>
      </c>
      <c r="V130" s="321">
        <f>Параметры!V$72*10/18</f>
        <v>9.9999999999999992E-2</v>
      </c>
      <c r="W130" s="321">
        <f>Параметры!W$72*10/18</f>
        <v>9.9999999999999992E-2</v>
      </c>
      <c r="X130" s="321">
        <f>Параметры!X$72*10/18</f>
        <v>9.9999999999999992E-2</v>
      </c>
      <c r="Y130" s="321">
        <f>Параметры!Y$72*10/18</f>
        <v>9.9999999999999992E-2</v>
      </c>
      <c r="Z130" s="321">
        <f>Параметры!Z$72*10/18</f>
        <v>9.9999999999999992E-2</v>
      </c>
      <c r="AA130" s="321">
        <f>Параметры!AA$72*10/18</f>
        <v>9.9999999999999992E-2</v>
      </c>
      <c r="AB130" s="321">
        <f>Параметры!AB$72*10/18</f>
        <v>9.9999999999999992E-2</v>
      </c>
      <c r="AC130" s="321">
        <f>Параметры!AC$72*10/18</f>
        <v>9.9999999999999992E-2</v>
      </c>
      <c r="AD130" s="321">
        <f>Параметры!AD$72*10/18</f>
        <v>9.9999999999999992E-2</v>
      </c>
      <c r="AE130" s="321">
        <f>Параметры!AE$72*10/18</f>
        <v>9.9999999999999992E-2</v>
      </c>
      <c r="AF130" s="321">
        <f>Параметры!AF$72*10/18</f>
        <v>9.9999999999999992E-2</v>
      </c>
      <c r="AG130" s="321">
        <f>Параметры!AG$72*10/18</f>
        <v>9.9999999999999992E-2</v>
      </c>
      <c r="AH130" s="321">
        <f>Параметры!AH$72*10/18</f>
        <v>9.9999999999999992E-2</v>
      </c>
      <c r="AI130" s="321">
        <f>Параметры!AI$72*10/18</f>
        <v>9.9999999999999992E-2</v>
      </c>
      <c r="AJ130" s="321">
        <f>Параметры!AJ$72*10/18</f>
        <v>9.9999999999999992E-2</v>
      </c>
      <c r="AK130" s="321">
        <f>Параметры!AK$72*10/18</f>
        <v>9.9999999999999992E-2</v>
      </c>
      <c r="AL130" s="321">
        <f>Параметры!AL$72*10/18</f>
        <v>9.9999999999999992E-2</v>
      </c>
      <c r="AM130" s="321">
        <f>Параметры!AM$72*10/18</f>
        <v>9.9999999999999992E-2</v>
      </c>
      <c r="AN130" s="321">
        <f>Параметры!AN$72*10/18</f>
        <v>9.9999999999999992E-2</v>
      </c>
      <c r="AO130" s="321">
        <f>Параметры!AO$72*10/18</f>
        <v>9.9999999999999992E-2</v>
      </c>
      <c r="AP130" s="321">
        <f>Параметры!AP$72*10/18</f>
        <v>9.9999999999999992E-2</v>
      </c>
      <c r="AQ130" s="321">
        <f>Параметры!AQ$72*10/18</f>
        <v>9.9999999999999992E-2</v>
      </c>
      <c r="AR130" s="321">
        <f>Параметры!AR$72*10/18</f>
        <v>9.9999999999999992E-2</v>
      </c>
      <c r="AS130" s="321">
        <f>Параметры!AS$72*10/18</f>
        <v>9.9999999999999992E-2</v>
      </c>
      <c r="AT130" s="321">
        <f>Параметры!AT$72*10/18</f>
        <v>9.9999999999999992E-2</v>
      </c>
      <c r="AU130" s="321">
        <f>Параметры!AU$72*10/18</f>
        <v>9.9999999999999992E-2</v>
      </c>
      <c r="AV130" s="321">
        <f>Параметры!AV$72*10/18</f>
        <v>9.9999999999999992E-2</v>
      </c>
      <c r="AW130" s="183"/>
      <c r="AX130" s="87"/>
    </row>
    <row r="131" spans="1:50" hidden="1" outlineLevel="1" x14ac:dyDescent="0.2">
      <c r="A131" s="179" t="str">
        <f ca="1">Language!A$605</f>
        <v>акцизы, на единицу</v>
      </c>
      <c r="B131" s="66"/>
      <c r="C131" s="82" t="str">
        <f ca="1">CHOOSE(D131,CurName1,CurName2,CurName3)&amp;"/"&amp;C121</f>
        <v>тыс. руб./тн</v>
      </c>
      <c r="D131" s="66">
        <f>D119</f>
        <v>1</v>
      </c>
      <c r="F131" s="57" t="s">
        <v>756</v>
      </c>
      <c r="G131" s="319">
        <v>0</v>
      </c>
      <c r="H131" s="319">
        <f t="shared" ref="H131:H132" si="497">G131</f>
        <v>0</v>
      </c>
      <c r="I131" s="319">
        <f t="shared" ref="I131:I132" si="498">H131</f>
        <v>0</v>
      </c>
      <c r="J131" s="319">
        <f t="shared" ref="J131:J132" si="499">I131</f>
        <v>0</v>
      </c>
      <c r="K131" s="319">
        <f t="shared" ref="K131:K132" si="500">J131</f>
        <v>0</v>
      </c>
      <c r="L131" s="319">
        <f t="shared" ref="L131:L132" si="501">K131</f>
        <v>0</v>
      </c>
      <c r="M131" s="319">
        <f t="shared" ref="M131:M132" si="502">L131</f>
        <v>0</v>
      </c>
      <c r="N131" s="319">
        <f t="shared" ref="N131:N132" si="503">M131</f>
        <v>0</v>
      </c>
      <c r="O131" s="319">
        <f t="shared" ref="O131:O132" si="504">N131</f>
        <v>0</v>
      </c>
      <c r="P131" s="319">
        <f t="shared" ref="P131:P132" si="505">O131</f>
        <v>0</v>
      </c>
      <c r="Q131" s="319">
        <f t="shared" ref="Q131:Q132" si="506">P131</f>
        <v>0</v>
      </c>
      <c r="R131" s="319">
        <f t="shared" ref="R131:R132" si="507">Q131</f>
        <v>0</v>
      </c>
      <c r="S131" s="319">
        <f t="shared" ref="S131:S132" si="508">R131</f>
        <v>0</v>
      </c>
      <c r="T131" s="319">
        <f t="shared" ref="T131:T132" si="509">S131</f>
        <v>0</v>
      </c>
      <c r="U131" s="319">
        <f t="shared" ref="U131:U132" si="510">T131</f>
        <v>0</v>
      </c>
      <c r="V131" s="319">
        <f t="shared" ref="V131:V132" si="511">U131</f>
        <v>0</v>
      </c>
      <c r="W131" s="319">
        <f t="shared" ref="W131:W132" si="512">V131</f>
        <v>0</v>
      </c>
      <c r="X131" s="319">
        <f t="shared" ref="X131:X132" si="513">W131</f>
        <v>0</v>
      </c>
      <c r="Y131" s="319">
        <f t="shared" ref="Y131:Y132" si="514">X131</f>
        <v>0</v>
      </c>
      <c r="Z131" s="319">
        <f t="shared" ref="Z131:Z132" si="515">Y131</f>
        <v>0</v>
      </c>
      <c r="AA131" s="319">
        <f t="shared" ref="AA131:AA132" si="516">Z131</f>
        <v>0</v>
      </c>
      <c r="AB131" s="319">
        <f t="shared" ref="AB131:AB132" si="517">AA131</f>
        <v>0</v>
      </c>
      <c r="AC131" s="319">
        <f t="shared" ref="AC131:AC132" si="518">AB131</f>
        <v>0</v>
      </c>
      <c r="AD131" s="319">
        <f t="shared" ref="AD131:AD132" si="519">AC131</f>
        <v>0</v>
      </c>
      <c r="AE131" s="319">
        <f t="shared" ref="AE131:AE132" si="520">AD131</f>
        <v>0</v>
      </c>
      <c r="AF131" s="319">
        <f t="shared" ref="AF131:AF132" si="521">AE131</f>
        <v>0</v>
      </c>
      <c r="AG131" s="319">
        <f t="shared" ref="AG131:AG132" si="522">AF131</f>
        <v>0</v>
      </c>
      <c r="AH131" s="319">
        <f t="shared" ref="AH131:AH132" si="523">AG131</f>
        <v>0</v>
      </c>
      <c r="AI131" s="319">
        <f t="shared" ref="AI131:AI132" si="524">AH131</f>
        <v>0</v>
      </c>
      <c r="AJ131" s="319">
        <f t="shared" ref="AJ131:AJ132" si="525">AI131</f>
        <v>0</v>
      </c>
      <c r="AK131" s="319">
        <f t="shared" ref="AK131:AK132" si="526">AJ131</f>
        <v>0</v>
      </c>
      <c r="AL131" s="319">
        <f t="shared" ref="AL131:AL132" si="527">AK131</f>
        <v>0</v>
      </c>
      <c r="AM131" s="319">
        <f t="shared" ref="AM131:AM132" si="528">AL131</f>
        <v>0</v>
      </c>
      <c r="AN131" s="319">
        <f t="shared" ref="AN131:AN132" si="529">AM131</f>
        <v>0</v>
      </c>
      <c r="AO131" s="319">
        <f t="shared" ref="AO131:AO132" si="530">AN131</f>
        <v>0</v>
      </c>
      <c r="AP131" s="319">
        <f t="shared" ref="AP131:AP132" si="531">AO131</f>
        <v>0</v>
      </c>
      <c r="AQ131" s="319">
        <f t="shared" ref="AQ131:AQ132" si="532">AP131</f>
        <v>0</v>
      </c>
      <c r="AR131" s="319">
        <f t="shared" ref="AR131:AR132" si="533">AQ131</f>
        <v>0</v>
      </c>
      <c r="AS131" s="319">
        <f t="shared" ref="AS131:AS132" si="534">AR131</f>
        <v>0</v>
      </c>
      <c r="AT131" s="319">
        <f t="shared" ref="AT131:AT132" si="535">AS131</f>
        <v>0</v>
      </c>
      <c r="AU131" s="319">
        <f t="shared" ref="AU131:AU132" si="536">AT131</f>
        <v>0</v>
      </c>
      <c r="AV131" s="319">
        <f t="shared" ref="AV131:AV132" si="537">AU131</f>
        <v>0</v>
      </c>
      <c r="AW131" s="180"/>
      <c r="AX131" s="87"/>
    </row>
    <row r="132" spans="1:50" hidden="1" outlineLevel="1" x14ac:dyDescent="0.2">
      <c r="A132" s="179" t="str">
        <f ca="1">Language!A$606</f>
        <v>ставка акцизов, в процентах</v>
      </c>
      <c r="B132" s="84"/>
      <c r="C132" s="82" t="s">
        <v>1</v>
      </c>
      <c r="D132" s="66"/>
      <c r="F132" s="57" t="s">
        <v>756</v>
      </c>
      <c r="G132" s="321">
        <v>0</v>
      </c>
      <c r="H132" s="321">
        <f t="shared" si="497"/>
        <v>0</v>
      </c>
      <c r="I132" s="321">
        <f t="shared" si="498"/>
        <v>0</v>
      </c>
      <c r="J132" s="321">
        <f t="shared" si="499"/>
        <v>0</v>
      </c>
      <c r="K132" s="321">
        <f t="shared" si="500"/>
        <v>0</v>
      </c>
      <c r="L132" s="321">
        <f t="shared" si="501"/>
        <v>0</v>
      </c>
      <c r="M132" s="321">
        <f t="shared" si="502"/>
        <v>0</v>
      </c>
      <c r="N132" s="321">
        <f t="shared" si="503"/>
        <v>0</v>
      </c>
      <c r="O132" s="321">
        <f t="shared" si="504"/>
        <v>0</v>
      </c>
      <c r="P132" s="321">
        <f t="shared" si="505"/>
        <v>0</v>
      </c>
      <c r="Q132" s="321">
        <f t="shared" si="506"/>
        <v>0</v>
      </c>
      <c r="R132" s="321">
        <f t="shared" si="507"/>
        <v>0</v>
      </c>
      <c r="S132" s="321">
        <f t="shared" si="508"/>
        <v>0</v>
      </c>
      <c r="T132" s="321">
        <f t="shared" si="509"/>
        <v>0</v>
      </c>
      <c r="U132" s="321">
        <f t="shared" si="510"/>
        <v>0</v>
      </c>
      <c r="V132" s="321">
        <f t="shared" si="511"/>
        <v>0</v>
      </c>
      <c r="W132" s="321">
        <f t="shared" si="512"/>
        <v>0</v>
      </c>
      <c r="X132" s="321">
        <f t="shared" si="513"/>
        <v>0</v>
      </c>
      <c r="Y132" s="321">
        <f t="shared" si="514"/>
        <v>0</v>
      </c>
      <c r="Z132" s="321">
        <f t="shared" si="515"/>
        <v>0</v>
      </c>
      <c r="AA132" s="321">
        <f t="shared" si="516"/>
        <v>0</v>
      </c>
      <c r="AB132" s="321">
        <f t="shared" si="517"/>
        <v>0</v>
      </c>
      <c r="AC132" s="321">
        <f t="shared" si="518"/>
        <v>0</v>
      </c>
      <c r="AD132" s="321">
        <f t="shared" si="519"/>
        <v>0</v>
      </c>
      <c r="AE132" s="321">
        <f t="shared" si="520"/>
        <v>0</v>
      </c>
      <c r="AF132" s="321">
        <f t="shared" si="521"/>
        <v>0</v>
      </c>
      <c r="AG132" s="321">
        <f t="shared" si="522"/>
        <v>0</v>
      </c>
      <c r="AH132" s="321">
        <f t="shared" si="523"/>
        <v>0</v>
      </c>
      <c r="AI132" s="321">
        <f t="shared" si="524"/>
        <v>0</v>
      </c>
      <c r="AJ132" s="321">
        <f t="shared" si="525"/>
        <v>0</v>
      </c>
      <c r="AK132" s="321">
        <f t="shared" si="526"/>
        <v>0</v>
      </c>
      <c r="AL132" s="321">
        <f t="shared" si="527"/>
        <v>0</v>
      </c>
      <c r="AM132" s="321">
        <f t="shared" si="528"/>
        <v>0</v>
      </c>
      <c r="AN132" s="321">
        <f t="shared" si="529"/>
        <v>0</v>
      </c>
      <c r="AO132" s="321">
        <f t="shared" si="530"/>
        <v>0</v>
      </c>
      <c r="AP132" s="321">
        <f t="shared" si="531"/>
        <v>0</v>
      </c>
      <c r="AQ132" s="321">
        <f t="shared" si="532"/>
        <v>0</v>
      </c>
      <c r="AR132" s="321">
        <f t="shared" si="533"/>
        <v>0</v>
      </c>
      <c r="AS132" s="321">
        <f t="shared" si="534"/>
        <v>0</v>
      </c>
      <c r="AT132" s="321">
        <f t="shared" si="535"/>
        <v>0</v>
      </c>
      <c r="AU132" s="321">
        <f t="shared" si="536"/>
        <v>0</v>
      </c>
      <c r="AV132" s="321">
        <f t="shared" si="537"/>
        <v>0</v>
      </c>
      <c r="AW132" s="183"/>
      <c r="AX132" s="87"/>
    </row>
    <row r="133" spans="1:50" hidden="1" outlineLevel="1" x14ac:dyDescent="0.2">
      <c r="A133" s="179" t="str">
        <f ca="1">Language!A$607</f>
        <v>коэффициент прироста цен к предыдущему периоду</v>
      </c>
      <c r="B133" s="84"/>
      <c r="C133" s="82" t="str">
        <f ca="1">Language!$A$1449</f>
        <v>раз</v>
      </c>
      <c r="D133" s="66"/>
      <c r="F133" s="57" t="s">
        <v>756</v>
      </c>
      <c r="G133" s="86">
        <f ca="1">IF(G$2=1,1,IF(Prj_Inflation=1,POWER(1+OFFSET(G129,0,-1),Параметры!G$30/360),1))</f>
        <v>1</v>
      </c>
      <c r="H133" s="86">
        <f ca="1">IF(H$2=1,1,IF(Prj_Inflation=1,POWER(1+OFFSET(H129,0,-1),Параметры!H$30/360),1))</f>
        <v>1.0146738461686593</v>
      </c>
      <c r="I133" s="86">
        <f ca="1">IF(I$2=1,1,IF(Prj_Inflation=1,POWER(1+OFFSET(I129,0,-1),Параметры!I$30/360),1))</f>
        <v>1.0146738461686593</v>
      </c>
      <c r="J133" s="86">
        <f ca="1">IF(J$2=1,1,IF(Prj_Inflation=1,POWER(1+OFFSET(J129,0,-1),Параметры!J$30/360),1))</f>
        <v>1.0146738461686593</v>
      </c>
      <c r="K133" s="86">
        <f ca="1">IF(K$2=1,1,IF(Prj_Inflation=1,POWER(1+OFFSET(K129,0,-1),Параметры!K$30/360),1))</f>
        <v>1.0146738461686593</v>
      </c>
      <c r="L133" s="86">
        <f ca="1">IF(L$2=1,1,IF(Prj_Inflation=1,POWER(1+OFFSET(L129,0,-1),Параметры!L$30/360),1))</f>
        <v>1.0146738461686593</v>
      </c>
      <c r="M133" s="86">
        <f ca="1">IF(M$2=1,1,IF(Prj_Inflation=1,POWER(1+OFFSET(M129,0,-1),Параметры!M$30/360),1))</f>
        <v>1.0146738461686593</v>
      </c>
      <c r="N133" s="86">
        <f ca="1">IF(N$2=1,1,IF(Prj_Inflation=1,POWER(1+OFFSET(N129,0,-1),Параметры!N$30/360),1))</f>
        <v>1.0146738461686593</v>
      </c>
      <c r="O133" s="86">
        <f ca="1">IF(O$2=1,1,IF(Prj_Inflation=1,POWER(1+OFFSET(O129,0,-1),Параметры!O$30/360),1))</f>
        <v>1.0146738461686593</v>
      </c>
      <c r="P133" s="86">
        <f ca="1">IF(P$2=1,1,IF(Prj_Inflation=1,POWER(1+OFFSET(P129,0,-1),Параметры!P$30/360),1))</f>
        <v>1.0146738461686593</v>
      </c>
      <c r="Q133" s="86">
        <f ca="1">IF(Q$2=1,1,IF(Prj_Inflation=1,POWER(1+OFFSET(Q129,0,-1),Параметры!Q$30/360),1))</f>
        <v>1.0146738461686593</v>
      </c>
      <c r="R133" s="86">
        <f ca="1">IF(R$2=1,1,IF(Prj_Inflation=1,POWER(1+OFFSET(R129,0,-1),Параметры!R$30/360),1))</f>
        <v>1.0146738461686593</v>
      </c>
      <c r="S133" s="86">
        <f ca="1">IF(S$2=1,1,IF(Prj_Inflation=1,POWER(1+OFFSET(S129,0,-1),Параметры!S$30/360),1))</f>
        <v>1.0146738461686593</v>
      </c>
      <c r="T133" s="86">
        <f ca="1">IF(T$2=1,1,IF(Prj_Inflation=1,POWER(1+OFFSET(T129,0,-1),Параметры!T$30/360),1))</f>
        <v>1.0146738461686593</v>
      </c>
      <c r="U133" s="86">
        <f ca="1">IF(U$2=1,1,IF(Prj_Inflation=1,POWER(1+OFFSET(U129,0,-1),Параметры!U$30/360),1))</f>
        <v>1.0146738461686593</v>
      </c>
      <c r="V133" s="86">
        <f ca="1">IF(V$2=1,1,IF(Prj_Inflation=1,POWER(1+OFFSET(V129,0,-1),Параметры!V$30/360),1))</f>
        <v>1.0146738461686593</v>
      </c>
      <c r="W133" s="86">
        <f ca="1">IF(W$2=1,1,IF(Prj_Inflation=1,POWER(1+OFFSET(W129,0,-1),Параметры!W$30/360),1))</f>
        <v>1.0146738461686593</v>
      </c>
      <c r="X133" s="86">
        <f ca="1">IF(X$2=1,1,IF(Prj_Inflation=1,POWER(1+OFFSET(X129,0,-1),Параметры!X$30/360),1))</f>
        <v>1.0146738461686593</v>
      </c>
      <c r="Y133" s="86">
        <f ca="1">IF(Y$2=1,1,IF(Prj_Inflation=1,POWER(1+OFFSET(Y129,0,-1),Параметры!Y$30/360),1))</f>
        <v>1.0146738461686593</v>
      </c>
      <c r="Z133" s="86">
        <f ca="1">IF(Z$2=1,1,IF(Prj_Inflation=1,POWER(1+OFFSET(Z129,0,-1),Параметры!Z$30/360),1))</f>
        <v>1.0146738461686593</v>
      </c>
      <c r="AA133" s="86">
        <f ca="1">IF(AA$2=1,1,IF(Prj_Inflation=1,POWER(1+OFFSET(AA129,0,-1),Параметры!AA$30/360),1))</f>
        <v>1.0146738461686593</v>
      </c>
      <c r="AB133" s="86">
        <f ca="1">IF(AB$2=1,1,IF(Prj_Inflation=1,POWER(1+OFFSET(AB129,0,-1),Параметры!AB$30/360),1))</f>
        <v>1.0146738461686593</v>
      </c>
      <c r="AC133" s="86">
        <f ca="1">IF(AC$2=1,1,IF(Prj_Inflation=1,POWER(1+OFFSET(AC129,0,-1),Параметры!AC$30/360),1))</f>
        <v>1.0146738461686593</v>
      </c>
      <c r="AD133" s="86">
        <f ca="1">IF(AD$2=1,1,IF(Prj_Inflation=1,POWER(1+OFFSET(AD129,0,-1),Параметры!AD$30/360),1))</f>
        <v>1.0146738461686593</v>
      </c>
      <c r="AE133" s="86">
        <f ca="1">IF(AE$2=1,1,IF(Prj_Inflation=1,POWER(1+OFFSET(AE129,0,-1),Параметры!AE$30/360),1))</f>
        <v>1.0146738461686593</v>
      </c>
      <c r="AF133" s="86">
        <f ca="1">IF(AF$2=1,1,IF(Prj_Inflation=1,POWER(1+OFFSET(AF129,0,-1),Параметры!AF$30/360),1))</f>
        <v>1.0146738461686593</v>
      </c>
      <c r="AG133" s="86">
        <f ca="1">IF(AG$2=1,1,IF(Prj_Inflation=1,POWER(1+OFFSET(AG129,0,-1),Параметры!AG$30/360),1))</f>
        <v>1.0146738461686593</v>
      </c>
      <c r="AH133" s="86">
        <f ca="1">IF(AH$2=1,1,IF(Prj_Inflation=1,POWER(1+OFFSET(AH129,0,-1),Параметры!AH$30/360),1))</f>
        <v>1.0146738461686593</v>
      </c>
      <c r="AI133" s="86">
        <f ca="1">IF(AI$2=1,1,IF(Prj_Inflation=1,POWER(1+OFFSET(AI129,0,-1),Параметры!AI$30/360),1))</f>
        <v>1.0146738461686593</v>
      </c>
      <c r="AJ133" s="86">
        <f ca="1">IF(AJ$2=1,1,IF(Prj_Inflation=1,POWER(1+OFFSET(AJ129,0,-1),Параметры!AJ$30/360),1))</f>
        <v>1.0146738461686593</v>
      </c>
      <c r="AK133" s="86">
        <f ca="1">IF(AK$2=1,1,IF(Prj_Inflation=1,POWER(1+OFFSET(AK129,0,-1),Параметры!AK$30/360),1))</f>
        <v>1.0146738461686593</v>
      </c>
      <c r="AL133" s="86">
        <f ca="1">IF(AL$2=1,1,IF(Prj_Inflation=1,POWER(1+OFFSET(AL129,0,-1),Параметры!AL$30/360),1))</f>
        <v>1.0146738461686593</v>
      </c>
      <c r="AM133" s="86">
        <f ca="1">IF(AM$2=1,1,IF(Prj_Inflation=1,POWER(1+OFFSET(AM129,0,-1),Параметры!AM$30/360),1))</f>
        <v>1.0146738461686593</v>
      </c>
      <c r="AN133" s="86">
        <f ca="1">IF(AN$2=1,1,IF(Prj_Inflation=1,POWER(1+OFFSET(AN129,0,-1),Параметры!AN$30/360),1))</f>
        <v>1.0146738461686593</v>
      </c>
      <c r="AO133" s="86">
        <f ca="1">IF(AO$2=1,1,IF(Prj_Inflation=1,POWER(1+OFFSET(AO129,0,-1),Параметры!AO$30/360),1))</f>
        <v>1.0146738461686593</v>
      </c>
      <c r="AP133" s="86">
        <f ca="1">IF(AP$2=1,1,IF(Prj_Inflation=1,POWER(1+OFFSET(AP129,0,-1),Параметры!AP$30/360),1))</f>
        <v>1.0146738461686593</v>
      </c>
      <c r="AQ133" s="86">
        <f ca="1">IF(AQ$2=1,1,IF(Prj_Inflation=1,POWER(1+OFFSET(AQ129,0,-1),Параметры!AQ$30/360),1))</f>
        <v>1.0146738461686593</v>
      </c>
      <c r="AR133" s="86">
        <f ca="1">IF(AR$2=1,1,IF(Prj_Inflation=1,POWER(1+OFFSET(AR129,0,-1),Параметры!AR$30/360),1))</f>
        <v>1.0146738461686593</v>
      </c>
      <c r="AS133" s="86">
        <f ca="1">IF(AS$2=1,1,IF(Prj_Inflation=1,POWER(1+OFFSET(AS129,0,-1),Параметры!AS$30/360),1))</f>
        <v>1.0146738461686593</v>
      </c>
      <c r="AT133" s="86">
        <f ca="1">IF(AT$2=1,1,IF(Prj_Inflation=1,POWER(1+OFFSET(AT129,0,-1),Параметры!AT$30/360),1))</f>
        <v>1.0146738461686593</v>
      </c>
      <c r="AU133" s="86">
        <f ca="1">IF(AU$2=1,1,IF(Prj_Inflation=1,POWER(1+OFFSET(AU129,0,-1),Параметры!AU$30/360),1))</f>
        <v>1.0146738461686593</v>
      </c>
      <c r="AV133" s="86">
        <f ca="1">IF(AV$2=1,1,IF(Prj_Inflation=1,POWER(1+OFFSET(AV129,0,-1),Параметры!AV$30/360),1))</f>
        <v>1.0146738461686593</v>
      </c>
      <c r="AW133" s="86"/>
      <c r="AX133" s="87"/>
    </row>
    <row r="134" spans="1:50" hidden="1" outlineLevel="1" x14ac:dyDescent="0.2">
      <c r="A134" s="179" t="str">
        <f ca="1">Language!A$608</f>
        <v>акцизы начисленные</v>
      </c>
      <c r="B134" s="66"/>
      <c r="C134" s="82" t="str">
        <f ca="1">CHOOSE(D134,CurName1,CurName2,CurName3)</f>
        <v>тыс. руб.</v>
      </c>
      <c r="D134" s="155">
        <f>D119</f>
        <v>1</v>
      </c>
      <c r="E134" s="57" t="s">
        <v>996</v>
      </c>
      <c r="F134" s="57" t="s">
        <v>753</v>
      </c>
      <c r="G134" s="185">
        <f t="shared" ref="G134:AV134" ca="1" si="538">G123*G132+G121*G131</f>
        <v>0</v>
      </c>
      <c r="H134" s="185">
        <f t="shared" ca="1" si="538"/>
        <v>0</v>
      </c>
      <c r="I134" s="185">
        <f t="shared" ca="1" si="538"/>
        <v>0</v>
      </c>
      <c r="J134" s="185">
        <f t="shared" ca="1" si="538"/>
        <v>0</v>
      </c>
      <c r="K134" s="185">
        <f t="shared" ca="1" si="538"/>
        <v>0</v>
      </c>
      <c r="L134" s="185">
        <f t="shared" ca="1" si="538"/>
        <v>0</v>
      </c>
      <c r="M134" s="185">
        <f t="shared" ca="1" si="538"/>
        <v>0</v>
      </c>
      <c r="N134" s="185">
        <f t="shared" ca="1" si="538"/>
        <v>0</v>
      </c>
      <c r="O134" s="185">
        <f t="shared" ca="1" si="538"/>
        <v>0</v>
      </c>
      <c r="P134" s="185">
        <f t="shared" ca="1" si="538"/>
        <v>0</v>
      </c>
      <c r="Q134" s="185">
        <f t="shared" ca="1" si="538"/>
        <v>0</v>
      </c>
      <c r="R134" s="185">
        <f t="shared" ca="1" si="538"/>
        <v>0</v>
      </c>
      <c r="S134" s="185">
        <f t="shared" ca="1" si="538"/>
        <v>0</v>
      </c>
      <c r="T134" s="185">
        <f t="shared" ca="1" si="538"/>
        <v>0</v>
      </c>
      <c r="U134" s="185">
        <f t="shared" ca="1" si="538"/>
        <v>0</v>
      </c>
      <c r="V134" s="185">
        <f t="shared" ca="1" si="538"/>
        <v>0</v>
      </c>
      <c r="W134" s="185">
        <f t="shared" ca="1" si="538"/>
        <v>0</v>
      </c>
      <c r="X134" s="185">
        <f t="shared" ca="1" si="538"/>
        <v>0</v>
      </c>
      <c r="Y134" s="185">
        <f t="shared" ca="1" si="538"/>
        <v>0</v>
      </c>
      <c r="Z134" s="185">
        <f t="shared" ca="1" si="538"/>
        <v>0</v>
      </c>
      <c r="AA134" s="185">
        <f t="shared" ca="1" si="538"/>
        <v>0</v>
      </c>
      <c r="AB134" s="185">
        <f t="shared" ca="1" si="538"/>
        <v>0</v>
      </c>
      <c r="AC134" s="185">
        <f t="shared" ca="1" si="538"/>
        <v>0</v>
      </c>
      <c r="AD134" s="185">
        <f t="shared" ca="1" si="538"/>
        <v>0</v>
      </c>
      <c r="AE134" s="185">
        <f t="shared" ca="1" si="538"/>
        <v>0</v>
      </c>
      <c r="AF134" s="185">
        <f t="shared" ca="1" si="538"/>
        <v>0</v>
      </c>
      <c r="AG134" s="185">
        <f t="shared" ca="1" si="538"/>
        <v>0</v>
      </c>
      <c r="AH134" s="185">
        <f t="shared" ca="1" si="538"/>
        <v>0</v>
      </c>
      <c r="AI134" s="185">
        <f t="shared" ca="1" si="538"/>
        <v>0</v>
      </c>
      <c r="AJ134" s="185">
        <f t="shared" ca="1" si="538"/>
        <v>0</v>
      </c>
      <c r="AK134" s="185">
        <f t="shared" ca="1" si="538"/>
        <v>0</v>
      </c>
      <c r="AL134" s="185">
        <f t="shared" ca="1" si="538"/>
        <v>0</v>
      </c>
      <c r="AM134" s="185">
        <f t="shared" ca="1" si="538"/>
        <v>0</v>
      </c>
      <c r="AN134" s="185">
        <f t="shared" ca="1" si="538"/>
        <v>0</v>
      </c>
      <c r="AO134" s="185">
        <f t="shared" ca="1" si="538"/>
        <v>0</v>
      </c>
      <c r="AP134" s="185">
        <f t="shared" ca="1" si="538"/>
        <v>0</v>
      </c>
      <c r="AQ134" s="185">
        <f t="shared" ca="1" si="538"/>
        <v>0</v>
      </c>
      <c r="AR134" s="185">
        <f t="shared" ca="1" si="538"/>
        <v>0</v>
      </c>
      <c r="AS134" s="185">
        <f t="shared" ca="1" si="538"/>
        <v>0</v>
      </c>
      <c r="AT134" s="185">
        <f t="shared" ca="1" si="538"/>
        <v>0</v>
      </c>
      <c r="AU134" s="185">
        <f t="shared" ca="1" si="538"/>
        <v>0</v>
      </c>
      <c r="AV134" s="185">
        <f t="shared" ca="1" si="538"/>
        <v>0</v>
      </c>
      <c r="AW134" s="180"/>
      <c r="AX134" s="169">
        <f ca="1">SUM(G134:AW134)</f>
        <v>0</v>
      </c>
    </row>
    <row r="135" spans="1:50" hidden="1" outlineLevel="1" x14ac:dyDescent="0.2">
      <c r="A135" s="179" t="str">
        <f ca="1">Language!A$609</f>
        <v>НДС начисленный</v>
      </c>
      <c r="B135" s="66"/>
      <c r="C135" s="82" t="str">
        <f ca="1">CHOOSE(D135,CurName1,CurName2,CurName3)</f>
        <v>тыс. руб.</v>
      </c>
      <c r="D135" s="155">
        <f>D119</f>
        <v>1</v>
      </c>
      <c r="E135" s="57" t="s">
        <v>789</v>
      </c>
      <c r="F135" s="57" t="s">
        <v>753</v>
      </c>
      <c r="G135" s="185">
        <f t="shared" ref="G135:AV135" ca="1" si="539">(G123+G134)*G130</f>
        <v>195.19499999999999</v>
      </c>
      <c r="H135" s="185">
        <f t="shared" ca="1" si="539"/>
        <v>198.05926140289145</v>
      </c>
      <c r="I135" s="185">
        <f t="shared" ca="1" si="539"/>
        <v>230.52430667176944</v>
      </c>
      <c r="J135" s="185">
        <f t="shared" ca="1" si="539"/>
        <v>233.90698488600782</v>
      </c>
      <c r="K135" s="185">
        <f t="shared" ca="1" si="539"/>
        <v>237.33929999999998</v>
      </c>
      <c r="L135" s="185">
        <f t="shared" ca="1" si="539"/>
        <v>240.82198037797727</v>
      </c>
      <c r="M135" s="185">
        <f t="shared" ca="1" si="539"/>
        <v>239.4938596505973</v>
      </c>
      <c r="N135" s="185">
        <f t="shared" ca="1" si="539"/>
        <v>243.00815570544867</v>
      </c>
      <c r="O135" s="185">
        <f t="shared" ca="1" si="539"/>
        <v>246.57402000000005</v>
      </c>
      <c r="P135" s="185">
        <f t="shared" ca="1" si="539"/>
        <v>250.19220923866794</v>
      </c>
      <c r="Q135" s="185">
        <f t="shared" ca="1" si="539"/>
        <v>286.88483257002912</v>
      </c>
      <c r="R135" s="185">
        <f t="shared" ca="1" si="539"/>
        <v>291.09453647128328</v>
      </c>
      <c r="S135" s="185">
        <f t="shared" ca="1" si="539"/>
        <v>295.36601292000006</v>
      </c>
      <c r="T135" s="185">
        <f t="shared" ca="1" si="539"/>
        <v>299.70016835703842</v>
      </c>
      <c r="U135" s="185">
        <f t="shared" ca="1" si="539"/>
        <v>335.05399846981123</v>
      </c>
      <c r="V135" s="185">
        <f t="shared" ca="1" si="539"/>
        <v>339.97052930155149</v>
      </c>
      <c r="W135" s="185">
        <f t="shared" ca="1" si="539"/>
        <v>344.9592045504001</v>
      </c>
      <c r="X135" s="185">
        <f t="shared" ca="1" si="539"/>
        <v>350.02108285243577</v>
      </c>
      <c r="Y135" s="185">
        <f t="shared" ca="1" si="539"/>
        <v>358.37424234881519</v>
      </c>
      <c r="Z135" s="185">
        <f t="shared" ca="1" si="539"/>
        <v>363.63297085185155</v>
      </c>
      <c r="AA135" s="185">
        <f t="shared" ca="1" si="539"/>
        <v>368.96886512798426</v>
      </c>
      <c r="AB135" s="185">
        <f t="shared" ca="1" si="539"/>
        <v>374.38305749589705</v>
      </c>
      <c r="AC135" s="185">
        <f t="shared" ca="1" si="539"/>
        <v>385.33273562424682</v>
      </c>
      <c r="AD135" s="185">
        <f t="shared" ca="1" si="539"/>
        <v>390.9870489105457</v>
      </c>
      <c r="AE135" s="185">
        <f t="shared" ca="1" si="539"/>
        <v>396.72433272019708</v>
      </c>
      <c r="AF135" s="185">
        <f t="shared" ca="1" si="539"/>
        <v>402.54580454989724</v>
      </c>
      <c r="AG135" s="185">
        <f t="shared" ca="1" si="539"/>
        <v>407.97074967348721</v>
      </c>
      <c r="AH135" s="185">
        <f t="shared" ca="1" si="539"/>
        <v>413.95724969550861</v>
      </c>
      <c r="AI135" s="185">
        <f t="shared" ca="1" si="539"/>
        <v>420.03159469794178</v>
      </c>
      <c r="AJ135" s="185">
        <f t="shared" ca="1" si="539"/>
        <v>426.19507370451601</v>
      </c>
      <c r="AK135" s="185">
        <f t="shared" ca="1" si="539"/>
        <v>432.19356110714284</v>
      </c>
      <c r="AL135" s="185">
        <f t="shared" ca="1" si="539"/>
        <v>438.53550293791409</v>
      </c>
      <c r="AM135" s="185">
        <f t="shared" ca="1" si="539"/>
        <v>444.97050544752068</v>
      </c>
      <c r="AN135" s="185">
        <f t="shared" ca="1" si="539"/>
        <v>451.49993419404825</v>
      </c>
      <c r="AO135" s="185">
        <f t="shared" ca="1" si="539"/>
        <v>457.31289609489494</v>
      </c>
      <c r="AP135" s="185">
        <f t="shared" ca="1" si="539"/>
        <v>464.02343518313552</v>
      </c>
      <c r="AQ135" s="185">
        <f t="shared" ca="1" si="539"/>
        <v>470.83244368966569</v>
      </c>
      <c r="AR135" s="185">
        <f t="shared" ca="1" si="539"/>
        <v>477.7413665395818</v>
      </c>
      <c r="AS135" s="185">
        <f t="shared" ca="1" si="539"/>
        <v>485.3256801268534</v>
      </c>
      <c r="AT135" s="185">
        <f t="shared" ca="1" si="539"/>
        <v>492.44727449873477</v>
      </c>
      <c r="AU135" s="185">
        <f t="shared" ca="1" si="539"/>
        <v>499.67337005090479</v>
      </c>
      <c r="AV135" s="185">
        <f t="shared" ca="1" si="539"/>
        <v>507.00550021760733</v>
      </c>
      <c r="AW135" s="180"/>
      <c r="AX135" s="169">
        <f ca="1">SUM(G135:AW135)</f>
        <v>15188.830638914797</v>
      </c>
    </row>
    <row r="136" spans="1:50" hidden="1" outlineLevel="1" x14ac:dyDescent="0.2">
      <c r="A136" s="179" t="str">
        <f ca="1">Language!A$610</f>
        <v>НДС полученный с авансов</v>
      </c>
      <c r="B136" s="66"/>
      <c r="C136" s="82" t="str">
        <f ca="1">CHOOSE(D136,CurName1,CurName2,CurName3)</f>
        <v>тыс. руб.</v>
      </c>
      <c r="D136" s="155">
        <f>D119</f>
        <v>1</v>
      </c>
      <c r="E136" s="57" t="s">
        <v>1450</v>
      </c>
      <c r="F136" s="57" t="s">
        <v>753</v>
      </c>
      <c r="G136" s="185">
        <f ca="1">G126*G130/(1+G130)</f>
        <v>0</v>
      </c>
      <c r="H136" s="185">
        <f t="shared" ref="H136:AV136" ca="1" si="540">H126*H130/(1+H130)</f>
        <v>0</v>
      </c>
      <c r="I136" s="185">
        <f t="shared" ca="1" si="540"/>
        <v>0</v>
      </c>
      <c r="J136" s="185">
        <f t="shared" ca="1" si="540"/>
        <v>0</v>
      </c>
      <c r="K136" s="185">
        <f t="shared" ca="1" si="540"/>
        <v>0</v>
      </c>
      <c r="L136" s="185">
        <f t="shared" ca="1" si="540"/>
        <v>0</v>
      </c>
      <c r="M136" s="185">
        <f t="shared" ca="1" si="540"/>
        <v>0</v>
      </c>
      <c r="N136" s="185">
        <f t="shared" ca="1" si="540"/>
        <v>0</v>
      </c>
      <c r="O136" s="185">
        <f t="shared" ca="1" si="540"/>
        <v>0</v>
      </c>
      <c r="P136" s="185">
        <f t="shared" ca="1" si="540"/>
        <v>0</v>
      </c>
      <c r="Q136" s="185">
        <f t="shared" ca="1" si="540"/>
        <v>0</v>
      </c>
      <c r="R136" s="185">
        <f t="shared" ca="1" si="540"/>
        <v>0</v>
      </c>
      <c r="S136" s="185">
        <f t="shared" ca="1" si="540"/>
        <v>0</v>
      </c>
      <c r="T136" s="185">
        <f t="shared" ca="1" si="540"/>
        <v>0</v>
      </c>
      <c r="U136" s="185">
        <f t="shared" ca="1" si="540"/>
        <v>0</v>
      </c>
      <c r="V136" s="185">
        <f t="shared" ca="1" si="540"/>
        <v>0</v>
      </c>
      <c r="W136" s="185">
        <f t="shared" ca="1" si="540"/>
        <v>0</v>
      </c>
      <c r="X136" s="185">
        <f t="shared" ca="1" si="540"/>
        <v>0</v>
      </c>
      <c r="Y136" s="185">
        <f t="shared" ca="1" si="540"/>
        <v>0</v>
      </c>
      <c r="Z136" s="185">
        <f t="shared" ca="1" si="540"/>
        <v>0</v>
      </c>
      <c r="AA136" s="185">
        <f t="shared" ca="1" si="540"/>
        <v>0</v>
      </c>
      <c r="AB136" s="185">
        <f t="shared" ca="1" si="540"/>
        <v>0</v>
      </c>
      <c r="AC136" s="185">
        <f t="shared" ca="1" si="540"/>
        <v>0</v>
      </c>
      <c r="AD136" s="185">
        <f t="shared" ca="1" si="540"/>
        <v>0</v>
      </c>
      <c r="AE136" s="185">
        <f t="shared" ca="1" si="540"/>
        <v>0</v>
      </c>
      <c r="AF136" s="185">
        <f t="shared" ca="1" si="540"/>
        <v>0</v>
      </c>
      <c r="AG136" s="185">
        <f t="shared" ca="1" si="540"/>
        <v>0</v>
      </c>
      <c r="AH136" s="185">
        <f t="shared" ca="1" si="540"/>
        <v>0</v>
      </c>
      <c r="AI136" s="185">
        <f t="shared" ca="1" si="540"/>
        <v>0</v>
      </c>
      <c r="AJ136" s="185">
        <f t="shared" ca="1" si="540"/>
        <v>0</v>
      </c>
      <c r="AK136" s="185">
        <f t="shared" ca="1" si="540"/>
        <v>0</v>
      </c>
      <c r="AL136" s="185">
        <f t="shared" ca="1" si="540"/>
        <v>0</v>
      </c>
      <c r="AM136" s="185">
        <f t="shared" ca="1" si="540"/>
        <v>0</v>
      </c>
      <c r="AN136" s="185">
        <f t="shared" ca="1" si="540"/>
        <v>0</v>
      </c>
      <c r="AO136" s="185">
        <f t="shared" ca="1" si="540"/>
        <v>0</v>
      </c>
      <c r="AP136" s="185">
        <f t="shared" ca="1" si="540"/>
        <v>0</v>
      </c>
      <c r="AQ136" s="185">
        <f t="shared" ca="1" si="540"/>
        <v>0</v>
      </c>
      <c r="AR136" s="185">
        <f t="shared" ca="1" si="540"/>
        <v>0</v>
      </c>
      <c r="AS136" s="185">
        <f t="shared" ca="1" si="540"/>
        <v>0</v>
      </c>
      <c r="AT136" s="185">
        <f t="shared" ca="1" si="540"/>
        <v>0</v>
      </c>
      <c r="AU136" s="185">
        <f t="shared" ca="1" si="540"/>
        <v>0</v>
      </c>
      <c r="AV136" s="185">
        <f t="shared" ca="1" si="540"/>
        <v>0</v>
      </c>
      <c r="AW136" s="180"/>
      <c r="AX136" s="169">
        <f ca="1">SUM(G136:AW136)</f>
        <v>0</v>
      </c>
    </row>
    <row r="137" spans="1:50" x14ac:dyDescent="0.2">
      <c r="A137" s="317" t="s">
        <v>2266</v>
      </c>
      <c r="B137" s="102"/>
      <c r="C137" s="166"/>
      <c r="D137" s="158">
        <v>1</v>
      </c>
      <c r="F137" s="57" t="s">
        <v>2262</v>
      </c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150"/>
    </row>
    <row r="138" spans="1:50" hidden="1" x14ac:dyDescent="0.2">
      <c r="A138" s="172" t="str">
        <f ca="1">Language!A$594</f>
        <v>коэффициент загрузки</v>
      </c>
      <c r="B138" s="173"/>
      <c r="C138" s="173"/>
      <c r="D138" s="174"/>
      <c r="F138" s="57" t="s">
        <v>756</v>
      </c>
      <c r="G138" s="318">
        <f t="shared" ref="G138:AV138" si="541">IF(G$2&gt;Prj_Invest,1,0)</f>
        <v>1</v>
      </c>
      <c r="H138" s="318">
        <f t="shared" si="541"/>
        <v>1</v>
      </c>
      <c r="I138" s="318">
        <f t="shared" si="541"/>
        <v>1</v>
      </c>
      <c r="J138" s="318">
        <f t="shared" si="541"/>
        <v>1</v>
      </c>
      <c r="K138" s="318">
        <f t="shared" si="541"/>
        <v>1</v>
      </c>
      <c r="L138" s="318">
        <f t="shared" si="541"/>
        <v>1</v>
      </c>
      <c r="M138" s="318">
        <f t="shared" si="541"/>
        <v>1</v>
      </c>
      <c r="N138" s="318">
        <f t="shared" si="541"/>
        <v>1</v>
      </c>
      <c r="O138" s="318">
        <f t="shared" si="541"/>
        <v>1</v>
      </c>
      <c r="P138" s="318">
        <f t="shared" si="541"/>
        <v>1</v>
      </c>
      <c r="Q138" s="318">
        <f t="shared" si="541"/>
        <v>1</v>
      </c>
      <c r="R138" s="318">
        <f t="shared" si="541"/>
        <v>1</v>
      </c>
      <c r="S138" s="318">
        <f t="shared" si="541"/>
        <v>1</v>
      </c>
      <c r="T138" s="318">
        <f t="shared" si="541"/>
        <v>1</v>
      </c>
      <c r="U138" s="318">
        <f t="shared" si="541"/>
        <v>1</v>
      </c>
      <c r="V138" s="318">
        <f t="shared" si="541"/>
        <v>1</v>
      </c>
      <c r="W138" s="318">
        <f t="shared" si="541"/>
        <v>1</v>
      </c>
      <c r="X138" s="318">
        <f t="shared" si="541"/>
        <v>1</v>
      </c>
      <c r="Y138" s="318">
        <f t="shared" si="541"/>
        <v>1</v>
      </c>
      <c r="Z138" s="318">
        <f t="shared" si="541"/>
        <v>1</v>
      </c>
      <c r="AA138" s="318">
        <f t="shared" si="541"/>
        <v>1</v>
      </c>
      <c r="AB138" s="318">
        <f t="shared" si="541"/>
        <v>1</v>
      </c>
      <c r="AC138" s="318">
        <f t="shared" si="541"/>
        <v>1</v>
      </c>
      <c r="AD138" s="318">
        <f t="shared" si="541"/>
        <v>1</v>
      </c>
      <c r="AE138" s="318">
        <f t="shared" si="541"/>
        <v>1</v>
      </c>
      <c r="AF138" s="318">
        <f t="shared" si="541"/>
        <v>1</v>
      </c>
      <c r="AG138" s="318">
        <f t="shared" si="541"/>
        <v>1</v>
      </c>
      <c r="AH138" s="318">
        <f t="shared" si="541"/>
        <v>1</v>
      </c>
      <c r="AI138" s="318">
        <f t="shared" si="541"/>
        <v>1</v>
      </c>
      <c r="AJ138" s="318">
        <f t="shared" si="541"/>
        <v>1</v>
      </c>
      <c r="AK138" s="318">
        <f t="shared" si="541"/>
        <v>1</v>
      </c>
      <c r="AL138" s="318">
        <f t="shared" si="541"/>
        <v>1</v>
      </c>
      <c r="AM138" s="318">
        <f t="shared" si="541"/>
        <v>1</v>
      </c>
      <c r="AN138" s="318">
        <f t="shared" si="541"/>
        <v>1</v>
      </c>
      <c r="AO138" s="318">
        <f t="shared" si="541"/>
        <v>1</v>
      </c>
      <c r="AP138" s="318">
        <f t="shared" si="541"/>
        <v>1</v>
      </c>
      <c r="AQ138" s="318">
        <f t="shared" si="541"/>
        <v>1</v>
      </c>
      <c r="AR138" s="318">
        <f t="shared" si="541"/>
        <v>1</v>
      </c>
      <c r="AS138" s="318">
        <f t="shared" si="541"/>
        <v>1</v>
      </c>
      <c r="AT138" s="318">
        <f t="shared" si="541"/>
        <v>1</v>
      </c>
      <c r="AU138" s="318">
        <f t="shared" si="541"/>
        <v>1</v>
      </c>
      <c r="AV138" s="318">
        <f t="shared" si="541"/>
        <v>1</v>
      </c>
      <c r="AW138" s="175"/>
      <c r="AX138" s="117"/>
    </row>
    <row r="139" spans="1:50" x14ac:dyDescent="0.2">
      <c r="A139" s="172" t="str">
        <f ca="1">Language!A$595</f>
        <v>объем продаж за период</v>
      </c>
      <c r="B139" s="337"/>
      <c r="C139" s="313" t="s">
        <v>2259</v>
      </c>
      <c r="D139" s="174"/>
      <c r="E139" s="57" t="s">
        <v>950</v>
      </c>
      <c r="F139" s="57" t="s">
        <v>753</v>
      </c>
      <c r="G139" s="336">
        <f t="shared" ref="G139:AV139" si="542">G14</f>
        <v>96.5</v>
      </c>
      <c r="H139" s="336">
        <f t="shared" si="542"/>
        <v>96.5</v>
      </c>
      <c r="I139" s="336">
        <f t="shared" ca="1" si="542"/>
        <v>111.625</v>
      </c>
      <c r="J139" s="336">
        <f t="shared" ca="1" si="542"/>
        <v>111.625</v>
      </c>
      <c r="K139" s="336">
        <f t="shared" ca="1" si="542"/>
        <v>111.625</v>
      </c>
      <c r="L139" s="336">
        <f t="shared" ca="1" si="542"/>
        <v>111.625</v>
      </c>
      <c r="M139" s="336">
        <f t="shared" ca="1" si="542"/>
        <v>113.25</v>
      </c>
      <c r="N139" s="336">
        <f t="shared" ca="1" si="542"/>
        <v>113.25</v>
      </c>
      <c r="O139" s="336">
        <f t="shared" ca="1" si="542"/>
        <v>113.25</v>
      </c>
      <c r="P139" s="336">
        <f t="shared" ca="1" si="542"/>
        <v>113.25</v>
      </c>
      <c r="Q139" s="336">
        <f t="shared" ca="1" si="542"/>
        <v>122.125</v>
      </c>
      <c r="R139" s="336">
        <f t="shared" ca="1" si="542"/>
        <v>122.125</v>
      </c>
      <c r="S139" s="336">
        <f t="shared" ca="1" si="542"/>
        <v>122.125</v>
      </c>
      <c r="T139" s="336">
        <f t="shared" ca="1" si="542"/>
        <v>122.125</v>
      </c>
      <c r="U139" s="336">
        <f t="shared" ca="1" si="542"/>
        <v>136.375</v>
      </c>
      <c r="V139" s="336">
        <f t="shared" ca="1" si="542"/>
        <v>136.375</v>
      </c>
      <c r="W139" s="336">
        <f t="shared" ca="1" si="542"/>
        <v>136.375</v>
      </c>
      <c r="X139" s="336">
        <f t="shared" ca="1" si="542"/>
        <v>136.375</v>
      </c>
      <c r="Y139" s="336">
        <f t="shared" ca="1" si="542"/>
        <v>141.375</v>
      </c>
      <c r="Z139" s="336">
        <f t="shared" ca="1" si="542"/>
        <v>141.375</v>
      </c>
      <c r="AA139" s="336">
        <f t="shared" ca="1" si="542"/>
        <v>141.375</v>
      </c>
      <c r="AB139" s="336">
        <f t="shared" ca="1" si="542"/>
        <v>141.375</v>
      </c>
      <c r="AC139" s="336">
        <f t="shared" ca="1" si="542"/>
        <v>148</v>
      </c>
      <c r="AD139" s="336">
        <f t="shared" ca="1" si="542"/>
        <v>148</v>
      </c>
      <c r="AE139" s="336">
        <f t="shared" ca="1" si="542"/>
        <v>148</v>
      </c>
      <c r="AF139" s="336">
        <f t="shared" ca="1" si="542"/>
        <v>148</v>
      </c>
      <c r="AG139" s="336">
        <f t="shared" ca="1" si="542"/>
        <v>147.875</v>
      </c>
      <c r="AH139" s="336">
        <f t="shared" ca="1" si="542"/>
        <v>147.875</v>
      </c>
      <c r="AI139" s="336">
        <f t="shared" ca="1" si="542"/>
        <v>147.875</v>
      </c>
      <c r="AJ139" s="336">
        <f t="shared" ca="1" si="542"/>
        <v>147.875</v>
      </c>
      <c r="AK139" s="336">
        <f t="shared" ca="1" si="542"/>
        <v>147.75</v>
      </c>
      <c r="AL139" s="336">
        <f t="shared" ca="1" si="542"/>
        <v>147.75</v>
      </c>
      <c r="AM139" s="336">
        <f t="shared" ca="1" si="542"/>
        <v>147.75</v>
      </c>
      <c r="AN139" s="336">
        <f t="shared" ca="1" si="542"/>
        <v>147.75</v>
      </c>
      <c r="AO139" s="336">
        <f t="shared" ca="1" si="542"/>
        <v>147.375</v>
      </c>
      <c r="AP139" s="336">
        <f t="shared" ca="1" si="542"/>
        <v>147.375</v>
      </c>
      <c r="AQ139" s="336">
        <f t="shared" ca="1" si="542"/>
        <v>147.375</v>
      </c>
      <c r="AR139" s="336">
        <f t="shared" ca="1" si="542"/>
        <v>147.375</v>
      </c>
      <c r="AS139" s="336">
        <f t="shared" ca="1" si="542"/>
        <v>147.625</v>
      </c>
      <c r="AT139" s="336">
        <f t="shared" ca="1" si="542"/>
        <v>147.625</v>
      </c>
      <c r="AU139" s="336">
        <f t="shared" ca="1" si="542"/>
        <v>147.625</v>
      </c>
      <c r="AV139" s="336">
        <f t="shared" ca="1" si="542"/>
        <v>147.625</v>
      </c>
      <c r="AW139" s="148"/>
      <c r="AX139" s="171">
        <f ca="1">SUM(G139:AW139)</f>
        <v>5646.5</v>
      </c>
    </row>
    <row r="140" spans="1:50" x14ac:dyDescent="0.2">
      <c r="A140" s="83" t="str">
        <f ca="1">Language!A$596 &amp; C139 &amp; Language!A$1457</f>
        <v>цена за единицу (тн), без НДС</v>
      </c>
      <c r="B140" s="322">
        <v>63</v>
      </c>
      <c r="C140" s="146" t="str">
        <f ca="1">CHOOSE(D137,CurName1,CurName2,CurName3)</f>
        <v>тыс. руб.</v>
      </c>
      <c r="E140" s="57" t="s">
        <v>848</v>
      </c>
      <c r="F140" s="57" t="s">
        <v>756</v>
      </c>
      <c r="G140" s="323">
        <f t="shared" ref="G140" ca="1" si="543">IF(G$2=1,$B140,F140)*G151</f>
        <v>63</v>
      </c>
      <c r="H140" s="323">
        <f t="shared" ref="H140" ca="1" si="544">IF(H$2=1,$B140,G140)*H151</f>
        <v>63.924452308625533</v>
      </c>
      <c r="I140" s="323">
        <f t="shared" ref="I140" ca="1" si="545">IF(I$2=1,$B140,H140)*I151</f>
        <v>64.862469888218101</v>
      </c>
      <c r="J140" s="323">
        <f t="shared" ref="J140" ca="1" si="546">IF(J$2=1,$B140,I140)*J151</f>
        <v>65.814251793477112</v>
      </c>
      <c r="K140" s="323">
        <f t="shared" ref="K140" ca="1" si="547">IF(K$2=1,$B140,J140)*K151</f>
        <v>66.78</v>
      </c>
      <c r="L140" s="323">
        <f t="shared" ref="L140" ca="1" si="548">IF(L$2=1,$B140,K140)*L151</f>
        <v>67.759919447143062</v>
      </c>
      <c r="M140" s="323">
        <f t="shared" ref="M140" ca="1" si="549">IF(M$2=1,$B140,L140)*M151</f>
        <v>68.754218081511183</v>
      </c>
      <c r="N140" s="323">
        <f t="shared" ref="N140" ca="1" si="550">IF(N$2=1,$B140,M140)*N151</f>
        <v>69.763106901085735</v>
      </c>
      <c r="O140" s="323">
        <f t="shared" ref="O140" ca="1" si="551">IF(O$2=1,$B140,N140)*O151</f>
        <v>70.786799999999999</v>
      </c>
      <c r="P140" s="323">
        <f t="shared" ref="P140" ca="1" si="552">IF(P$2=1,$B140,O140)*P151</f>
        <v>71.825514613971649</v>
      </c>
      <c r="Q140" s="323">
        <f t="shared" ref="Q140" ca="1" si="553">IF(Q$2=1,$B140,P140)*Q151</f>
        <v>72.879471166401856</v>
      </c>
      <c r="R140" s="323">
        <f t="shared" ref="R140" ca="1" si="554">IF(R$2=1,$B140,Q140)*R151</f>
        <v>73.948893315150883</v>
      </c>
      <c r="S140" s="323">
        <f t="shared" ref="S140" ca="1" si="555">IF(S$2=1,$B140,R140)*S151</f>
        <v>75.034008</v>
      </c>
      <c r="T140" s="323">
        <f t="shared" ref="T140" ca="1" si="556">IF(T$2=1,$B140,S140)*T151</f>
        <v>76.135045490809958</v>
      </c>
      <c r="U140" s="323">
        <f t="shared" ref="U140" ca="1" si="557">IF(U$2=1,$B140,T140)*U151</f>
        <v>77.252239436385977</v>
      </c>
      <c r="V140" s="323">
        <f t="shared" ref="V140" ca="1" si="558">IF(V$2=1,$B140,U140)*V151</f>
        <v>78.385826914059948</v>
      </c>
      <c r="W140" s="323">
        <f t="shared" ref="W140" ca="1" si="559">IF(W$2=1,$B140,V140)*W151</f>
        <v>79.536048480000019</v>
      </c>
      <c r="X140" s="323">
        <f t="shared" ref="X140" ca="1" si="560">IF(X$2=1,$B140,W140)*X151</f>
        <v>80.703148220258569</v>
      </c>
      <c r="Y140" s="323">
        <f t="shared" ref="Y140" ca="1" si="561">IF(Y$2=1,$B140,X140)*Y151</f>
        <v>81.887373802569158</v>
      </c>
      <c r="Z140" s="323">
        <f t="shared" ref="Z140" ca="1" si="562">IF(Z$2=1,$B140,Y140)*Z151</f>
        <v>83.088976528903558</v>
      </c>
      <c r="AA140" s="323">
        <f t="shared" ref="AA140" ca="1" si="563">IF(AA$2=1,$B140,Z140)*AA151</f>
        <v>84.308211388800032</v>
      </c>
      <c r="AB140" s="323">
        <f t="shared" ref="AB140" ca="1" si="564">IF(AB$2=1,$B140,AA140)*AB151</f>
        <v>85.545337113474091</v>
      </c>
      <c r="AC140" s="323">
        <f t="shared" ref="AC140" ca="1" si="565">IF(AC$2=1,$B140,AB140)*AC151</f>
        <v>86.800616230723307</v>
      </c>
      <c r="AD140" s="323">
        <f t="shared" ref="AD140" ca="1" si="566">IF(AD$2=1,$B140,AC140)*AD151</f>
        <v>88.074315120637777</v>
      </c>
      <c r="AE140" s="323">
        <f t="shared" ref="AE140" ca="1" si="567">IF(AE$2=1,$B140,AD140)*AE151</f>
        <v>89.366704072128044</v>
      </c>
      <c r="AF140" s="323">
        <f t="shared" ref="AF140" ca="1" si="568">IF(AF$2=1,$B140,AE140)*AF151</f>
        <v>90.67805734028255</v>
      </c>
      <c r="AG140" s="323">
        <f t="shared" ref="AG140" ca="1" si="569">IF(AG$2=1,$B140,AF140)*AG151</f>
        <v>92.008653204566727</v>
      </c>
      <c r="AH140" s="323">
        <f t="shared" ref="AH140" ca="1" si="570">IF(AH$2=1,$B140,AG140)*AH151</f>
        <v>93.358774027876066</v>
      </c>
      <c r="AI140" s="323">
        <f t="shared" ref="AI140" ca="1" si="571">IF(AI$2=1,$B140,AH140)*AI151</f>
        <v>94.728706316455742</v>
      </c>
      <c r="AJ140" s="323">
        <f t="shared" ref="AJ140" ca="1" si="572">IF(AJ$2=1,$B140,AI140)*AJ151</f>
        <v>96.118740780699525</v>
      </c>
      <c r="AK140" s="323">
        <f t="shared" ref="AK140" ca="1" si="573">IF(AK$2=1,$B140,AJ140)*AK151</f>
        <v>97.52917239684075</v>
      </c>
      <c r="AL140" s="323">
        <f t="shared" ref="AL140" ca="1" si="574">IF(AL$2=1,$B140,AK140)*AL151</f>
        <v>98.960300469548642</v>
      </c>
      <c r="AM140" s="323">
        <f t="shared" ref="AM140" ca="1" si="575">IF(AM$2=1,$B140,AL140)*AM151</f>
        <v>100.4124286954431</v>
      </c>
      <c r="AN140" s="323">
        <f t="shared" ref="AN140" ca="1" si="576">IF(AN$2=1,$B140,AM140)*AN151</f>
        <v>101.8858652275415</v>
      </c>
      <c r="AO140" s="323">
        <f t="shared" ref="AO140" ca="1" si="577">IF(AO$2=1,$B140,AN140)*AO151</f>
        <v>103.3809227406512</v>
      </c>
      <c r="AP140" s="323">
        <f t="shared" ref="AP140" ca="1" si="578">IF(AP$2=1,$B140,AO140)*AP151</f>
        <v>104.89791849772156</v>
      </c>
      <c r="AQ140" s="323">
        <f t="shared" ref="AQ140" ca="1" si="579">IF(AQ$2=1,$B140,AP140)*AQ151</f>
        <v>106.43717441716969</v>
      </c>
      <c r="AR140" s="323">
        <f t="shared" ref="AR140" ca="1" si="580">IF(AR$2=1,$B140,AQ140)*AR151</f>
        <v>107.99901714119399</v>
      </c>
      <c r="AS140" s="323">
        <f t="shared" ref="AS140" ca="1" si="581">IF(AS$2=1,$B140,AR140)*AS151</f>
        <v>109.58377810509026</v>
      </c>
      <c r="AT140" s="323">
        <f t="shared" ref="AT140" ca="1" si="582">IF(AT$2=1,$B140,AS140)*AT151</f>
        <v>111.19179360758486</v>
      </c>
      <c r="AU140" s="323">
        <f t="shared" ref="AU140" ca="1" si="583">IF(AU$2=1,$B140,AT140)*AU151</f>
        <v>112.82340488219987</v>
      </c>
      <c r="AV140" s="323">
        <f t="shared" ref="AV140" ca="1" si="584">IF(AV$2=1,$B140,AU140)*AV151</f>
        <v>114.47895816966563</v>
      </c>
      <c r="AW140" s="148"/>
      <c r="AX140" s="117"/>
    </row>
    <row r="141" spans="1:50" collapsed="1" x14ac:dyDescent="0.2">
      <c r="A141" s="83" t="str">
        <f ca="1">Language!A$597</f>
        <v>выручка от реализации, без НДС</v>
      </c>
      <c r="B141" s="157"/>
      <c r="C141" s="146" t="str">
        <f t="shared" ref="C141" ca="1" si="585">CHOOSE(D141,CurName1,CurName2,CurName3)</f>
        <v>тыс. руб.</v>
      </c>
      <c r="D141" s="155">
        <f>D137</f>
        <v>1</v>
      </c>
      <c r="E141" s="57" t="s">
        <v>992</v>
      </c>
      <c r="F141" s="57" t="s">
        <v>753</v>
      </c>
      <c r="G141" s="176">
        <f t="shared" ref="G141:AV141" ca="1" si="586">G139*G140</f>
        <v>6079.5</v>
      </c>
      <c r="H141" s="176">
        <f t="shared" ca="1" si="586"/>
        <v>6168.7096477823643</v>
      </c>
      <c r="I141" s="176">
        <f t="shared" ca="1" si="586"/>
        <v>7240.2732012723454</v>
      </c>
      <c r="J141" s="176">
        <f t="shared" ca="1" si="586"/>
        <v>7346.5158564468829</v>
      </c>
      <c r="K141" s="176">
        <f t="shared" ca="1" si="586"/>
        <v>7454.3175000000001</v>
      </c>
      <c r="L141" s="176">
        <f t="shared" ca="1" si="586"/>
        <v>7563.7010082873439</v>
      </c>
      <c r="M141" s="176">
        <f t="shared" ca="1" si="586"/>
        <v>7786.4151977311412</v>
      </c>
      <c r="N141" s="176">
        <f t="shared" ca="1" si="586"/>
        <v>7900.6718565479596</v>
      </c>
      <c r="O141" s="176">
        <f t="shared" ca="1" si="586"/>
        <v>8016.6050999999998</v>
      </c>
      <c r="P141" s="176">
        <f t="shared" ca="1" si="586"/>
        <v>8134.2395300322896</v>
      </c>
      <c r="Q141" s="176">
        <f t="shared" ca="1" si="586"/>
        <v>8900.405416196827</v>
      </c>
      <c r="R141" s="176">
        <f t="shared" ca="1" si="586"/>
        <v>9031.0085961128025</v>
      </c>
      <c r="S141" s="176">
        <f t="shared" ca="1" si="586"/>
        <v>9163.5282270000007</v>
      </c>
      <c r="T141" s="176">
        <f t="shared" ca="1" si="586"/>
        <v>9297.9924305651657</v>
      </c>
      <c r="U141" s="176">
        <f t="shared" ca="1" si="586"/>
        <v>10535.274153137138</v>
      </c>
      <c r="V141" s="176">
        <f t="shared" ca="1" si="586"/>
        <v>10689.867145404925</v>
      </c>
      <c r="W141" s="176">
        <f t="shared" ca="1" si="586"/>
        <v>10846.728611460003</v>
      </c>
      <c r="X141" s="176">
        <f t="shared" ca="1" si="586"/>
        <v>11005.891838537762</v>
      </c>
      <c r="Y141" s="176">
        <f t="shared" ca="1" si="586"/>
        <v>11576.827471338214</v>
      </c>
      <c r="Z141" s="176">
        <f t="shared" ca="1" si="586"/>
        <v>11746.70405677374</v>
      </c>
      <c r="AA141" s="176">
        <f t="shared" ca="1" si="586"/>
        <v>11919.073385091604</v>
      </c>
      <c r="AB141" s="176">
        <f t="shared" ca="1" si="586"/>
        <v>12093.9720344174</v>
      </c>
      <c r="AC141" s="176">
        <f t="shared" ca="1" si="586"/>
        <v>12846.49120214705</v>
      </c>
      <c r="AD141" s="176">
        <f t="shared" ca="1" si="586"/>
        <v>13034.998637854391</v>
      </c>
      <c r="AE141" s="176">
        <f t="shared" ca="1" si="586"/>
        <v>13226.272202674951</v>
      </c>
      <c r="AF141" s="176">
        <f t="shared" ca="1" si="586"/>
        <v>13420.352486361817</v>
      </c>
      <c r="AG141" s="176">
        <f t="shared" ca="1" si="586"/>
        <v>13605.779592625304</v>
      </c>
      <c r="AH141" s="176">
        <f t="shared" ca="1" si="586"/>
        <v>13805.428709372174</v>
      </c>
      <c r="AI141" s="176">
        <f t="shared" ca="1" si="586"/>
        <v>14008.007446545893</v>
      </c>
      <c r="AJ141" s="176">
        <f t="shared" ca="1" si="586"/>
        <v>14213.558792945942</v>
      </c>
      <c r="AK141" s="176">
        <f t="shared" ca="1" si="586"/>
        <v>14409.935221633221</v>
      </c>
      <c r="AL141" s="176">
        <f t="shared" ca="1" si="586"/>
        <v>14621.384394375811</v>
      </c>
      <c r="AM141" s="176">
        <f t="shared" ca="1" si="586"/>
        <v>14835.936339751717</v>
      </c>
      <c r="AN141" s="176">
        <f t="shared" ca="1" si="586"/>
        <v>15053.636587369258</v>
      </c>
      <c r="AO141" s="176">
        <f t="shared" ca="1" si="586"/>
        <v>15235.763488903471</v>
      </c>
      <c r="AP141" s="176">
        <f t="shared" ca="1" si="586"/>
        <v>15459.330738601715</v>
      </c>
      <c r="AQ141" s="176">
        <f t="shared" ca="1" si="586"/>
        <v>15686.178579730382</v>
      </c>
      <c r="AR141" s="176">
        <f t="shared" ca="1" si="586"/>
        <v>15916.355151183465</v>
      </c>
      <c r="AS141" s="176">
        <f t="shared" ca="1" si="586"/>
        <v>16177.30524276395</v>
      </c>
      <c r="AT141" s="176">
        <f t="shared" ca="1" si="586"/>
        <v>16414.688531319713</v>
      </c>
      <c r="AU141" s="176">
        <f t="shared" ca="1" si="586"/>
        <v>16655.555145734754</v>
      </c>
      <c r="AV141" s="176">
        <f t="shared" ca="1" si="586"/>
        <v>16899.956199796889</v>
      </c>
      <c r="AW141" s="177"/>
      <c r="AX141" s="178">
        <f ca="1">SUM(G141:AW141)</f>
        <v>496025.13695582777</v>
      </c>
    </row>
    <row r="142" spans="1:50" hidden="1" outlineLevel="1" x14ac:dyDescent="0.2">
      <c r="A142" s="179" t="str">
        <f ca="1">Language!A$598</f>
        <v>дебиторская задолженность</v>
      </c>
      <c r="B142" s="82"/>
      <c r="C142" s="82" t="str">
        <f ca="1">CHOOSE(D142,CurName1,CurName2,CurName3)</f>
        <v>тыс. руб.</v>
      </c>
      <c r="D142" s="155">
        <f>D137</f>
        <v>1</v>
      </c>
      <c r="E142" s="57" t="s">
        <v>994</v>
      </c>
      <c r="F142" s="57" t="s">
        <v>754</v>
      </c>
      <c r="G142" s="319">
        <f ca="1">IF(AND($B143=0,G$2&gt;1),F142,(G141+G152+G153)*$B143/Параметры!G$30)</f>
        <v>2452.0650000000001</v>
      </c>
      <c r="H142" s="319">
        <f ca="1">IF(AND($B143=0,H$2&gt;1),G142,(H141+H152+H153)*$B143/Параметры!H$30)</f>
        <v>2488.0462246055536</v>
      </c>
      <c r="I142" s="319">
        <f ca="1">IF(AND($B143=0,I$2&gt;1),H142,(I141+I152+I153)*$B143/Параметры!I$30)</f>
        <v>2920.2435245131796</v>
      </c>
      <c r="J142" s="319">
        <f ca="1">IF(AND($B143=0,J$2&gt;1),I142,(J141+J152+J153)*$B143/Параметры!J$30)</f>
        <v>2963.0947287669096</v>
      </c>
      <c r="K142" s="319">
        <f ca="1">IF(AND($B143=0,K$2&gt;1),J142,(K141+K152+K153)*$B143/Параметры!K$30)</f>
        <v>3006.5747250000004</v>
      </c>
      <c r="L142" s="319">
        <f ca="1">IF(AND($B143=0,L$2&gt;1),K142,(L141+L152+L153)*$B143/Параметры!L$30)</f>
        <v>3050.6927400092286</v>
      </c>
      <c r="M142" s="319">
        <f ca="1">IF(AND($B143=0,M$2&gt;1),L142,(M141+M152+M153)*$B143/Параметры!M$30)</f>
        <v>3140.5207964182273</v>
      </c>
      <c r="N142" s="319">
        <f ca="1">IF(AND($B143=0,N$2&gt;1),M142,(N141+N152+N153)*$B143/Параметры!N$30)</f>
        <v>3186.6043154743434</v>
      </c>
      <c r="O142" s="319">
        <f ca="1">IF(AND($B143=0,O$2&gt;1),N142,(O141+O152+O153)*$B143/Параметры!O$30)</f>
        <v>3233.3640570000002</v>
      </c>
      <c r="P142" s="319">
        <f ca="1">IF(AND($B143=0,P$2&gt;1),O142,(P141+P152+P153)*$B143/Параметры!P$30)</f>
        <v>3280.80994377969</v>
      </c>
      <c r="Q142" s="319">
        <f ca="1">IF(AND($B143=0,Q$2&gt;1),P142,(Q141+Q152+Q153)*$B143/Параметры!Q$30)</f>
        <v>3589.8301845327201</v>
      </c>
      <c r="R142" s="319">
        <f ca="1">IF(AND($B143=0,R$2&gt;1),Q142,(R141+R152+R153)*$B143/Параметры!R$30)</f>
        <v>3642.5068004321638</v>
      </c>
      <c r="S142" s="319">
        <f ca="1">IF(AND($B143=0,S$2&gt;1),R142,(S141+S152+S153)*$B143/Параметры!S$30)</f>
        <v>3695.9563848900007</v>
      </c>
      <c r="T142" s="319">
        <f ca="1">IF(AND($B143=0,T$2&gt;1),S142,(T141+T152+T153)*$B143/Параметры!T$30)</f>
        <v>3750.1902803279504</v>
      </c>
      <c r="U142" s="319">
        <f ca="1">IF(AND($B143=0,U$2&gt;1),T142,(U141+U152+U153)*$B143/Параметры!U$30)</f>
        <v>4249.227241765313</v>
      </c>
      <c r="V142" s="319">
        <f ca="1">IF(AND($B143=0,V$2&gt;1),U142,(V141+V152+V153)*$B143/Параметры!V$30)</f>
        <v>4311.5797486466536</v>
      </c>
      <c r="W142" s="319">
        <f ca="1">IF(AND($B143=0,W$2&gt;1),V142,(W141+W152+W153)*$B143/Параметры!W$30)</f>
        <v>4374.8472066222012</v>
      </c>
      <c r="X142" s="319">
        <f ca="1">IF(AND($B143=0,X$2&gt;1),W142,(X141+X152+X153)*$B143/Параметры!X$30)</f>
        <v>4439.043041543564</v>
      </c>
      <c r="Y142" s="319">
        <f ca="1">IF(AND($B143=0,Y$2&gt;1),X142,(Y141+Y152+Y153)*$B143/Параметры!Y$30)</f>
        <v>4669.3204134397465</v>
      </c>
      <c r="Z142" s="319">
        <f ca="1">IF(AND($B143=0,Z$2&gt;1),Y142,(Z141+Z152+Z153)*$B143/Параметры!Z$30)</f>
        <v>4737.8373028987417</v>
      </c>
      <c r="AA142" s="319">
        <f ca="1">IF(AND($B143=0,AA$2&gt;1),Z142,(AA141+AA152+AA153)*$B143/Параметры!AA$30)</f>
        <v>4807.3595986536138</v>
      </c>
      <c r="AB142" s="319">
        <f ca="1">IF(AND($B143=0,AB$2&gt;1),AA142,(AB141+AB152+AB153)*$B143/Параметры!AB$30)</f>
        <v>4877.9020538816849</v>
      </c>
      <c r="AC142" s="319">
        <f ca="1">IF(AND($B143=0,AC$2&gt;1),AB142,(AC141+AC152+AC153)*$B143/Параметры!AC$30)</f>
        <v>5181.4181181993099</v>
      </c>
      <c r="AD142" s="319">
        <f ca="1">IF(AND($B143=0,AD$2&gt;1),AC142,(AD141+AD152+AD153)*$B143/Параметры!AD$30)</f>
        <v>5257.4494506012707</v>
      </c>
      <c r="AE142" s="319">
        <f ca="1">IF(AND($B143=0,AE$2&gt;1),AD142,(AE141+AE152+AE153)*$B143/Параметры!AE$30)</f>
        <v>5334.5964550788967</v>
      </c>
      <c r="AF142" s="319">
        <f ca="1">IF(AND($B143=0,AF$2&gt;1),AE142,(AF141+AF152+AF153)*$B143/Параметры!AF$30)</f>
        <v>5412.8755028325995</v>
      </c>
      <c r="AG142" s="319">
        <f ca="1">IF(AND($B143=0,AG$2&gt;1),AF142,(AG141+AG152+AG153)*$B143/Параметры!AG$30)</f>
        <v>5487.6644356922061</v>
      </c>
      <c r="AH142" s="319">
        <f ca="1">IF(AND($B143=0,AH$2&gt;1),AG142,(AH141+AH152+AH153)*$B143/Параметры!AH$30)</f>
        <v>5568.1895794467764</v>
      </c>
      <c r="AI142" s="319">
        <f ca="1">IF(AND($B143=0,AI$2&gt;1),AH142,(AI141+AI152+AI153)*$B143/Параметры!AI$30)</f>
        <v>5649.8963367735105</v>
      </c>
      <c r="AJ142" s="319">
        <f ca="1">IF(AND($B143=0,AJ$2&gt;1),AI142,(AJ141+AJ152+AJ153)*$B143/Параметры!AJ$30)</f>
        <v>5732.8020464881965</v>
      </c>
      <c r="AK142" s="319">
        <f ca="1">IF(AND($B143=0,AK$2&gt;1),AJ142,(AK141+AK152+AK153)*$B143/Параметры!AK$30)</f>
        <v>5812.0072060587327</v>
      </c>
      <c r="AL142" s="319">
        <f ca="1">IF(AND($B143=0,AL$2&gt;1),AK142,(AL141+AL152+AL153)*$B143/Параметры!AL$30)</f>
        <v>5897.2917057315781</v>
      </c>
      <c r="AM142" s="319">
        <f ca="1">IF(AND($B143=0,AM$2&gt;1),AL142,(AM141+AM152+AM153)*$B143/Параметры!AM$30)</f>
        <v>5983.8276570331927</v>
      </c>
      <c r="AN142" s="319">
        <f ca="1">IF(AND($B143=0,AN$2&gt;1),AM142,(AN141+AN152+AN153)*$B143/Параметры!AN$30)</f>
        <v>6071.6334235722661</v>
      </c>
      <c r="AO142" s="319">
        <f ca="1">IF(AND($B143=0,AO$2&gt;1),AN142,(AO141+AO152+AO153)*$B143/Параметры!AO$30)</f>
        <v>6145.0912738577335</v>
      </c>
      <c r="AP142" s="319">
        <f ca="1">IF(AND($B143=0,AP$2&gt;1),AO142,(AP141+AP152+AP153)*$B143/Параметры!AP$30)</f>
        <v>6235.2633979026914</v>
      </c>
      <c r="AQ142" s="319">
        <f ca="1">IF(AND($B143=0,AQ$2&gt;1),AP142,(AQ141+AQ152+AQ153)*$B143/Параметры!AQ$30)</f>
        <v>6326.7586938245868</v>
      </c>
      <c r="AR142" s="319">
        <f ca="1">IF(AND($B143=0,AR$2&gt;1),AQ142,(AR141+AR152+AR153)*$B143/Параметры!AR$30)</f>
        <v>6419.596577643998</v>
      </c>
      <c r="AS142" s="319">
        <f ca="1">IF(AND($B143=0,AS$2&gt;1),AR142,(AS141+AS152+AS153)*$B143/Параметры!AS$30)</f>
        <v>6524.8464479147933</v>
      </c>
      <c r="AT142" s="319">
        <f ca="1">IF(AND($B143=0,AT$2&gt;1),AS142,(AT141+AT152+AT153)*$B143/Параметры!AT$30)</f>
        <v>6620.5910409656171</v>
      </c>
      <c r="AU142" s="319">
        <f ca="1">IF(AND($B143=0,AU$2&gt;1),AT142,(AU141+AU152+AU153)*$B143/Параметры!AU$30)</f>
        <v>6717.7405754463516</v>
      </c>
      <c r="AV142" s="319">
        <f ca="1">IF(AND($B143=0,AV$2&gt;1),AU142,(AV141+AV152+AV153)*$B143/Параметры!AV$30)</f>
        <v>6816.3156672514106</v>
      </c>
      <c r="AW142" s="180"/>
      <c r="AX142" s="87"/>
    </row>
    <row r="143" spans="1:50" hidden="1" outlineLevel="1" x14ac:dyDescent="0.2">
      <c r="A143" s="181" t="str">
        <f ca="1">Language!A$599</f>
        <v>средний период отсрочки платежа</v>
      </c>
      <c r="B143" s="320">
        <f>$B$618</f>
        <v>33</v>
      </c>
      <c r="C143" s="152" t="str">
        <f ca="1">Language!$A$1446</f>
        <v>дней</v>
      </c>
      <c r="D143" s="100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48"/>
      <c r="AX143" s="150"/>
    </row>
    <row r="144" spans="1:50" hidden="1" outlineLevel="1" x14ac:dyDescent="0.2">
      <c r="A144" s="179" t="str">
        <f ca="1">Language!A$600</f>
        <v xml:space="preserve">авансы полученные </v>
      </c>
      <c r="B144" s="82"/>
      <c r="C144" s="103" t="str">
        <f ca="1">CHOOSE(D144,CurName1,CurName2,CurName3)</f>
        <v>тыс. руб.</v>
      </c>
      <c r="D144" s="155">
        <f>D137</f>
        <v>1</v>
      </c>
      <c r="E144" s="57" t="s">
        <v>995</v>
      </c>
      <c r="F144" s="57" t="s">
        <v>754</v>
      </c>
      <c r="G144" s="316">
        <f ca="1">IF(AND($B145=0,G$2&gt;1),F144,(OFFSET(G141,0,1)+OFFSET(G152,0,1)+OFFSET(G153,0,1))*$B145/Параметры!G$30)</f>
        <v>0</v>
      </c>
      <c r="H144" s="316">
        <f ca="1">IF(AND($B145=0,H$2&gt;1),G144,(OFFSET(H141,0,1)+OFFSET(H152,0,1)+OFFSET(H153,0,1))*$B145/Параметры!H$30)</f>
        <v>0</v>
      </c>
      <c r="I144" s="316">
        <f ca="1">IF(AND($B145=0,I$2&gt;1),H144,(OFFSET(I141,0,1)+OFFSET(I152,0,1)+OFFSET(I153,0,1))*$B145/Параметры!I$30)</f>
        <v>0</v>
      </c>
      <c r="J144" s="316">
        <f ca="1">IF(AND($B145=0,J$2&gt;1),I144,(OFFSET(J141,0,1)+OFFSET(J152,0,1)+OFFSET(J153,0,1))*$B145/Параметры!J$30)</f>
        <v>0</v>
      </c>
      <c r="K144" s="316">
        <f ca="1">IF(AND($B145=0,K$2&gt;1),J144,(OFFSET(K141,0,1)+OFFSET(K152,0,1)+OFFSET(K153,0,1))*$B145/Параметры!K$30)</f>
        <v>0</v>
      </c>
      <c r="L144" s="316">
        <f ca="1">IF(AND($B145=0,L$2&gt;1),K144,(OFFSET(L141,0,1)+OFFSET(L152,0,1)+OFFSET(L153,0,1))*$B145/Параметры!L$30)</f>
        <v>0</v>
      </c>
      <c r="M144" s="316">
        <f ca="1">IF(AND($B145=0,M$2&gt;1),L144,(OFFSET(M141,0,1)+OFFSET(M152,0,1)+OFFSET(M153,0,1))*$B145/Параметры!M$30)</f>
        <v>0</v>
      </c>
      <c r="N144" s="316">
        <f ca="1">IF(AND($B145=0,N$2&gt;1),M144,(OFFSET(N141,0,1)+OFFSET(N152,0,1)+OFFSET(N153,0,1))*$B145/Параметры!N$30)</f>
        <v>0</v>
      </c>
      <c r="O144" s="316">
        <f ca="1">IF(AND($B145=0,O$2&gt;1),N144,(OFFSET(O141,0,1)+OFFSET(O152,0,1)+OFFSET(O153,0,1))*$B145/Параметры!O$30)</f>
        <v>0</v>
      </c>
      <c r="P144" s="316">
        <f ca="1">IF(AND($B145=0,P$2&gt;1),O144,(OFFSET(P141,0,1)+OFFSET(P152,0,1)+OFFSET(P153,0,1))*$B145/Параметры!P$30)</f>
        <v>0</v>
      </c>
      <c r="Q144" s="316">
        <f ca="1">IF(AND($B145=0,Q$2&gt;1),P144,(OFFSET(Q141,0,1)+OFFSET(Q152,0,1)+OFFSET(Q153,0,1))*$B145/Параметры!Q$30)</f>
        <v>0</v>
      </c>
      <c r="R144" s="316">
        <f ca="1">IF(AND($B145=0,R$2&gt;1),Q144,(OFFSET(R141,0,1)+OFFSET(R152,0,1)+OFFSET(R153,0,1))*$B145/Параметры!R$30)</f>
        <v>0</v>
      </c>
      <c r="S144" s="316">
        <f ca="1">IF(AND($B145=0,S$2&gt;1),R144,(OFFSET(S141,0,1)+OFFSET(S152,0,1)+OFFSET(S153,0,1))*$B145/Параметры!S$30)</f>
        <v>0</v>
      </c>
      <c r="T144" s="316">
        <f ca="1">IF(AND($B145=0,T$2&gt;1),S144,(OFFSET(T141,0,1)+OFFSET(T152,0,1)+OFFSET(T153,0,1))*$B145/Параметры!T$30)</f>
        <v>0</v>
      </c>
      <c r="U144" s="316">
        <f ca="1">IF(AND($B145=0,U$2&gt;1),T144,(OFFSET(U141,0,1)+OFFSET(U152,0,1)+OFFSET(U153,0,1))*$B145/Параметры!U$30)</f>
        <v>0</v>
      </c>
      <c r="V144" s="316">
        <f ca="1">IF(AND($B145=0,V$2&gt;1),U144,(OFFSET(V141,0,1)+OFFSET(V152,0,1)+OFFSET(V153,0,1))*$B145/Параметры!V$30)</f>
        <v>0</v>
      </c>
      <c r="W144" s="316">
        <f ca="1">IF(AND($B145=0,W$2&gt;1),V144,(OFFSET(W141,0,1)+OFFSET(W152,0,1)+OFFSET(W153,0,1))*$B145/Параметры!W$30)</f>
        <v>0</v>
      </c>
      <c r="X144" s="316">
        <f ca="1">IF(AND($B145=0,X$2&gt;1),W144,(OFFSET(X141,0,1)+OFFSET(X152,0,1)+OFFSET(X153,0,1))*$B145/Параметры!X$30)</f>
        <v>0</v>
      </c>
      <c r="Y144" s="316">
        <f ca="1">IF(AND($B145=0,Y$2&gt;1),X144,(OFFSET(Y141,0,1)+OFFSET(Y152,0,1)+OFFSET(Y153,0,1))*$B145/Параметры!Y$30)</f>
        <v>0</v>
      </c>
      <c r="Z144" s="316">
        <f ca="1">IF(AND($B145=0,Z$2&gt;1),Y144,(OFFSET(Z141,0,1)+OFFSET(Z152,0,1)+OFFSET(Z153,0,1))*$B145/Параметры!Z$30)</f>
        <v>0</v>
      </c>
      <c r="AA144" s="316">
        <f ca="1">IF(AND($B145=0,AA$2&gt;1),Z144,(OFFSET(AA141,0,1)+OFFSET(AA152,0,1)+OFFSET(AA153,0,1))*$B145/Параметры!AA$30)</f>
        <v>0</v>
      </c>
      <c r="AB144" s="316">
        <f ca="1">IF(AND($B145=0,AB$2&gt;1),AA144,(OFFSET(AB141,0,1)+OFFSET(AB152,0,1)+OFFSET(AB153,0,1))*$B145/Параметры!AB$30)</f>
        <v>0</v>
      </c>
      <c r="AC144" s="316">
        <f ca="1">IF(AND($B145=0,AC$2&gt;1),AB144,(OFFSET(AC141,0,1)+OFFSET(AC152,0,1)+OFFSET(AC153,0,1))*$B145/Параметры!AC$30)</f>
        <v>0</v>
      </c>
      <c r="AD144" s="316">
        <f ca="1">IF(AND($B145=0,AD$2&gt;1),AC144,(OFFSET(AD141,0,1)+OFFSET(AD152,0,1)+OFFSET(AD153,0,1))*$B145/Параметры!AD$30)</f>
        <v>0</v>
      </c>
      <c r="AE144" s="316">
        <f ca="1">IF(AND($B145=0,AE$2&gt;1),AD144,(OFFSET(AE141,0,1)+OFFSET(AE152,0,1)+OFFSET(AE153,0,1))*$B145/Параметры!AE$30)</f>
        <v>0</v>
      </c>
      <c r="AF144" s="316">
        <f ca="1">IF(AND($B145=0,AF$2&gt;1),AE144,(OFFSET(AF141,0,1)+OFFSET(AF152,0,1)+OFFSET(AF153,0,1))*$B145/Параметры!AF$30)</f>
        <v>0</v>
      </c>
      <c r="AG144" s="316">
        <f ca="1">IF(AND($B145=0,AG$2&gt;1),AF144,(OFFSET(AG141,0,1)+OFFSET(AG152,0,1)+OFFSET(AG153,0,1))*$B145/Параметры!AG$30)</f>
        <v>0</v>
      </c>
      <c r="AH144" s="316">
        <f ca="1">IF(AND($B145=0,AH$2&gt;1),AG144,(OFFSET(AH141,0,1)+OFFSET(AH152,0,1)+OFFSET(AH153,0,1))*$B145/Параметры!AH$30)</f>
        <v>0</v>
      </c>
      <c r="AI144" s="316">
        <f ca="1">IF(AND($B145=0,AI$2&gt;1),AH144,(OFFSET(AI141,0,1)+OFFSET(AI152,0,1)+OFFSET(AI153,0,1))*$B145/Параметры!AI$30)</f>
        <v>0</v>
      </c>
      <c r="AJ144" s="316">
        <f ca="1">IF(AND($B145=0,AJ$2&gt;1),AI144,(OFFSET(AJ141,0,1)+OFFSET(AJ152,0,1)+OFFSET(AJ153,0,1))*$B145/Параметры!AJ$30)</f>
        <v>0</v>
      </c>
      <c r="AK144" s="316">
        <f ca="1">IF(AND($B145=0,AK$2&gt;1),AJ144,(OFFSET(AK141,0,1)+OFFSET(AK152,0,1)+OFFSET(AK153,0,1))*$B145/Параметры!AK$30)</f>
        <v>0</v>
      </c>
      <c r="AL144" s="316">
        <f ca="1">IF(AND($B145=0,AL$2&gt;1),AK144,(OFFSET(AL141,0,1)+OFFSET(AL152,0,1)+OFFSET(AL153,0,1))*$B145/Параметры!AL$30)</f>
        <v>0</v>
      </c>
      <c r="AM144" s="316">
        <f ca="1">IF(AND($B145=0,AM$2&gt;1),AL144,(OFFSET(AM141,0,1)+OFFSET(AM152,0,1)+OFFSET(AM153,0,1))*$B145/Параметры!AM$30)</f>
        <v>0</v>
      </c>
      <c r="AN144" s="316">
        <f ca="1">IF(AND($B145=0,AN$2&gt;1),AM144,(OFFSET(AN141,0,1)+OFFSET(AN152,0,1)+OFFSET(AN153,0,1))*$B145/Параметры!AN$30)</f>
        <v>0</v>
      </c>
      <c r="AO144" s="316">
        <f ca="1">IF(AND($B145=0,AO$2&gt;1),AN144,(OFFSET(AO141,0,1)+OFFSET(AO152,0,1)+OFFSET(AO153,0,1))*$B145/Параметры!AO$30)</f>
        <v>0</v>
      </c>
      <c r="AP144" s="316">
        <f ca="1">IF(AND($B145=0,AP$2&gt;1),AO144,(OFFSET(AP141,0,1)+OFFSET(AP152,0,1)+OFFSET(AP153,0,1))*$B145/Параметры!AP$30)</f>
        <v>0</v>
      </c>
      <c r="AQ144" s="316">
        <f ca="1">IF(AND($B145=0,AQ$2&gt;1),AP144,(OFFSET(AQ141,0,1)+OFFSET(AQ152,0,1)+OFFSET(AQ153,0,1))*$B145/Параметры!AQ$30)</f>
        <v>0</v>
      </c>
      <c r="AR144" s="316">
        <f ca="1">IF(AND($B145=0,AR$2&gt;1),AQ144,(OFFSET(AR141,0,1)+OFFSET(AR152,0,1)+OFFSET(AR153,0,1))*$B145/Параметры!AR$30)</f>
        <v>0</v>
      </c>
      <c r="AS144" s="316">
        <f ca="1">IF(AND($B145=0,AS$2&gt;1),AR144,(OFFSET(AS141,0,1)+OFFSET(AS152,0,1)+OFFSET(AS153,0,1))*$B145/Параметры!AS$30)</f>
        <v>0</v>
      </c>
      <c r="AT144" s="316">
        <f ca="1">IF(AND($B145=0,AT$2&gt;1),AS144,(OFFSET(AT141,0,1)+OFFSET(AT152,0,1)+OFFSET(AT153,0,1))*$B145/Параметры!AT$30)</f>
        <v>0</v>
      </c>
      <c r="AU144" s="316">
        <f ca="1">IF(AND($B145=0,AU$2&gt;1),AT144,(OFFSET(AU141,0,1)+OFFSET(AU152,0,1)+OFFSET(AU153,0,1))*$B145/Параметры!AU$30)</f>
        <v>0</v>
      </c>
      <c r="AV144" s="316">
        <f ca="1">IF(AND($B145=0,AV$2&gt;1),AU144,(OFFSET(AV141,0,1)+OFFSET(AV152,0,1)+OFFSET(AV153,0,1))*$B145/Параметры!AV$30)</f>
        <v>0</v>
      </c>
      <c r="AW144" s="168"/>
      <c r="AX144" s="182"/>
    </row>
    <row r="145" spans="1:50" hidden="1" outlineLevel="1" x14ac:dyDescent="0.2">
      <c r="A145" s="181" t="str">
        <f ca="1">Language!A$601</f>
        <v>средний период предоплаты</v>
      </c>
      <c r="B145" s="320">
        <f>$B$624</f>
        <v>0</v>
      </c>
      <c r="C145" s="152" t="str">
        <f ca="1">Language!$A$1446</f>
        <v>дней</v>
      </c>
      <c r="D145" s="100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48"/>
      <c r="AX145" s="150"/>
    </row>
    <row r="146" spans="1:50" hidden="1" outlineLevel="1" x14ac:dyDescent="0.2">
      <c r="A146" s="179" t="str">
        <f ca="1">Language!A$602</f>
        <v>поступление денежных средств, с НДС</v>
      </c>
      <c r="B146" s="52"/>
      <c r="C146" s="103" t="str">
        <f ca="1">CHOOSE(D146,CurName1,CurName2,CurName3)</f>
        <v>тыс. руб.</v>
      </c>
      <c r="D146" s="155">
        <f>D137</f>
        <v>1</v>
      </c>
      <c r="E146" s="57" t="s">
        <v>993</v>
      </c>
      <c r="F146" s="57" t="s">
        <v>753</v>
      </c>
      <c r="G146" s="180">
        <f ca="1">G141+G152+G153-IF(G$2=1,G142,G142-F142)+IF(G$2=1,G144,G144-F144)</f>
        <v>4235.3850000000002</v>
      </c>
      <c r="H146" s="180">
        <f t="shared" ref="H146" ca="1" si="587">H141+H152+H153-IF(H$2=1,H142,H142-G142)+IF(H$2=1,H144,H144-G144)</f>
        <v>6749.599387955047</v>
      </c>
      <c r="I146" s="180">
        <f t="shared" ref="I146" ca="1" si="588">I141+I152+I153-IF(I$2=1,I142,I142-H142)+IF(I$2=1,I144,I144-H144)</f>
        <v>7532.1032214919542</v>
      </c>
      <c r="J146" s="180">
        <f t="shared" ref="J146" ca="1" si="589">J141+J152+J153-IF(J$2=1,J142,J142-I142)+IF(J$2=1,J144,J144-I144)</f>
        <v>8038.316237837842</v>
      </c>
      <c r="K146" s="180">
        <f t="shared" ref="K146" ca="1" si="590">K141+K152+K153-IF(K$2=1,K142,K142-J142)+IF(K$2=1,K144,K144-J144)</f>
        <v>8156.26925376691</v>
      </c>
      <c r="L146" s="180">
        <f t="shared" ref="L146" ca="1" si="591">L141+L152+L153-IF(L$2=1,L142,L142-K142)+IF(L$2=1,L144,L144-K144)</f>
        <v>8275.9530941068497</v>
      </c>
      <c r="M146" s="180">
        <f t="shared" ref="M146" ca="1" si="592">M141+M152+M153-IF(M$2=1,M142,M142-L142)+IF(M$2=1,M144,M144-L144)</f>
        <v>8475.2286610952578</v>
      </c>
      <c r="N146" s="180">
        <f t="shared" ref="N146" ca="1" si="593">N141+N152+N153-IF(N$2=1,N142,N142-M142)+IF(N$2=1,N144,N144-M144)</f>
        <v>8644.6555231466391</v>
      </c>
      <c r="O146" s="180">
        <f t="shared" ref="O146" ca="1" si="594">O141+O152+O153-IF(O$2=1,O142,O142-N142)+IF(O$2=1,O144,O144-N144)</f>
        <v>8771.5058684743435</v>
      </c>
      <c r="P146" s="180">
        <f t="shared" ref="P146" ca="1" si="595">P141+P152+P153-IF(P$2=1,P142,P142-O142)+IF(P$2=1,P144,P144-O144)</f>
        <v>8900.2175962558285</v>
      </c>
      <c r="Q146" s="180">
        <f t="shared" ref="Q146" ca="1" si="596">Q141+Q152+Q153-IF(Q$2=1,Q142,Q142-P142)+IF(Q$2=1,Q144,Q144-P144)</f>
        <v>9481.4257170634792</v>
      </c>
      <c r="R146" s="180">
        <f t="shared" ref="R146" ca="1" si="597">R141+R152+R153-IF(R$2=1,R142,R142-Q142)+IF(R$2=1,R144,R144-Q144)</f>
        <v>9881.4328398246398</v>
      </c>
      <c r="S146" s="180">
        <f t="shared" ref="S146" ca="1" si="598">S141+S152+S153-IF(S$2=1,S142,S142-R142)+IF(S$2=1,S144,S144-R144)</f>
        <v>10026.431465242164</v>
      </c>
      <c r="T146" s="180">
        <f t="shared" ref="T146" ca="1" si="599">T141+T152+T153-IF(T$2=1,T142,T142-S142)+IF(T$2=1,T144,T144-S144)</f>
        <v>10173.557778183733</v>
      </c>
      <c r="U146" s="180">
        <f t="shared" ref="U146" ca="1" si="600">U141+U152+U153-IF(U$2=1,U142,U142-T142)+IF(U$2=1,U144,U144-T144)</f>
        <v>11089.764607013489</v>
      </c>
      <c r="V146" s="180">
        <f t="shared" ref="V146" ca="1" si="601">V141+V152+V153-IF(V$2=1,V142,V142-U142)+IF(V$2=1,V144,V144-U144)</f>
        <v>11696.501353064079</v>
      </c>
      <c r="W146" s="180">
        <f t="shared" ref="W146" ca="1" si="602">W141+W152+W153-IF(W$2=1,W142,W142-V142)+IF(W$2=1,W144,W144-V144)</f>
        <v>11868.134014630456</v>
      </c>
      <c r="X146" s="180">
        <f t="shared" ref="X146" ca="1" si="603">X141+X152+X153-IF(X$2=1,X142,X142-W142)+IF(X$2=1,X144,X144-W144)</f>
        <v>12042.285187470174</v>
      </c>
      <c r="Y146" s="180">
        <f t="shared" ref="Y146" ca="1" si="604">Y141+Y152+Y153-IF(Y$2=1,Y142,Y142-X142)+IF(Y$2=1,Y144,Y144-X144)</f>
        <v>12504.232846575855</v>
      </c>
      <c r="Z146" s="180">
        <f t="shared" ref="Z146" ca="1" si="605">Z141+Z152+Z153-IF(Z$2=1,Z142,Z142-Y142)+IF(Z$2=1,Z144,Z144-Y144)</f>
        <v>12852.857572992119</v>
      </c>
      <c r="AA146" s="180">
        <f t="shared" ref="AA146" ca="1" si="606">AA141+AA152+AA153-IF(AA$2=1,AA142,AA142-Z142)+IF(AA$2=1,AA144,AA144-Z144)</f>
        <v>13041.458427845891</v>
      </c>
      <c r="AB146" s="180">
        <f t="shared" ref="AB146" ca="1" si="607">AB141+AB152+AB153-IF(AB$2=1,AB142,AB142-AA142)+IF(AB$2=1,AB144,AB144-AA144)</f>
        <v>13232.826782631069</v>
      </c>
      <c r="AC146" s="180">
        <f t="shared" ref="AC146" ca="1" si="608">AC141+AC152+AC153-IF(AC$2=1,AC142,AC142-AB142)+IF(AC$2=1,AC144,AC144-AB144)</f>
        <v>13827.624258044129</v>
      </c>
      <c r="AD146" s="180">
        <f t="shared" ref="AD146" ca="1" si="609">AD141+AD152+AD153-IF(AD$2=1,AD142,AD142-AC142)+IF(AD$2=1,AD144,AD144-AC144)</f>
        <v>14262.467169237869</v>
      </c>
      <c r="AE146" s="180">
        <f t="shared" ref="AE146" ca="1" si="610">AE141+AE152+AE153-IF(AE$2=1,AE142,AE142-AD142)+IF(AE$2=1,AE144,AE144-AD144)</f>
        <v>14471.752418464821</v>
      </c>
      <c r="AF146" s="180">
        <f t="shared" ref="AF146" ca="1" si="611">AF141+AF152+AF153-IF(AF$2=1,AF142,AF142-AE142)+IF(AF$2=1,AF144,AF144-AE144)</f>
        <v>14684.108687244297</v>
      </c>
      <c r="AG146" s="180">
        <f t="shared" ref="AG146" ca="1" si="612">AG141+AG152+AG153-IF(AG$2=1,AG142,AG142-AF142)+IF(AG$2=1,AG144,AG144-AF144)</f>
        <v>14891.568619028229</v>
      </c>
      <c r="AH146" s="180">
        <f t="shared" ref="AH146" ca="1" si="613">AH141+AH152+AH153-IF(AH$2=1,AH142,AH142-AG142)+IF(AH$2=1,AH144,AH144-AG144)</f>
        <v>15105.446436554821</v>
      </c>
      <c r="AI146" s="180">
        <f t="shared" ref="AI146" ca="1" si="614">AI141+AI152+AI153-IF(AI$2=1,AI142,AI142-AH142)+IF(AI$2=1,AI144,AI144-AH144)</f>
        <v>15327.101433873748</v>
      </c>
      <c r="AJ146" s="180">
        <f t="shared" ref="AJ146" ca="1" si="615">AJ141+AJ152+AJ153-IF(AJ$2=1,AJ142,AJ142-AI142)+IF(AJ$2=1,AJ144,AJ144-AI144)</f>
        <v>15552.008962525848</v>
      </c>
      <c r="AK146" s="180">
        <f t="shared" ref="AK146" ca="1" si="616">AK141+AK152+AK153-IF(AK$2=1,AK142,AK142-AJ142)+IF(AK$2=1,AK144,AK144-AJ144)</f>
        <v>15771.723584226007</v>
      </c>
      <c r="AL146" s="180">
        <f t="shared" ref="AL146" ca="1" si="617">AL141+AL152+AL153-IF(AL$2=1,AL142,AL142-AK142)+IF(AL$2=1,AL144,AL144-AK144)</f>
        <v>15998.238334140548</v>
      </c>
      <c r="AM146" s="180">
        <f t="shared" ref="AM146" ca="1" si="618">AM141+AM152+AM153-IF(AM$2=1,AM142,AM142-AL142)+IF(AM$2=1,AM144,AM144-AL144)</f>
        <v>16232.994022425275</v>
      </c>
      <c r="AN146" s="180">
        <f t="shared" ref="AN146" ca="1" si="619">AN141+AN152+AN153-IF(AN$2=1,AN142,AN142-AM142)+IF(AN$2=1,AN144,AN144-AM144)</f>
        <v>16471.194479567108</v>
      </c>
      <c r="AO146" s="180">
        <f t="shared" ref="AO146" ca="1" si="620">AO141+AO152+AO153-IF(AO$2=1,AO142,AO142-AN142)+IF(AO$2=1,AO144,AO144-AN144)</f>
        <v>16685.88198750835</v>
      </c>
      <c r="AP146" s="180">
        <f t="shared" ref="AP146" ca="1" si="621">AP141+AP152+AP153-IF(AP$2=1,AP142,AP142-AO142)+IF(AP$2=1,AP144,AP144-AO144)</f>
        <v>16915.091688416927</v>
      </c>
      <c r="AQ146" s="180">
        <f t="shared" ref="AQ146" ca="1" si="622">AQ141+AQ152+AQ153-IF(AQ$2=1,AQ142,AQ142-AP142)+IF(AQ$2=1,AQ144,AQ144-AP144)</f>
        <v>17163.301141781521</v>
      </c>
      <c r="AR146" s="180">
        <f t="shared" ref="AR146" ca="1" si="623">AR141+AR152+AR153-IF(AR$2=1,AR142,AR142-AQ142)+IF(AR$2=1,AR144,AR144-AQ144)</f>
        <v>17415.152782482401</v>
      </c>
      <c r="AS146" s="180">
        <f t="shared" ref="AS146" ca="1" si="624">AS141+AS152+AS153-IF(AS$2=1,AS142,AS142-AR142)+IF(AS$2=1,AS144,AS144-AR144)</f>
        <v>17689.78589676955</v>
      </c>
      <c r="AT146" s="180">
        <f t="shared" ref="AT146" ca="1" si="625">AT141+AT152+AT153-IF(AT$2=1,AT142,AT142-AS142)+IF(AT$2=1,AT144,AT144-AS144)</f>
        <v>17960.412791400857</v>
      </c>
      <c r="AU146" s="180">
        <f t="shared" ref="AU146" ca="1" si="626">AU141+AU152+AU153-IF(AU$2=1,AU142,AU142-AT142)+IF(AU$2=1,AU144,AU144-AT144)</f>
        <v>18223.961125827496</v>
      </c>
      <c r="AV146" s="180">
        <f t="shared" ref="AV146" ca="1" si="627">AV141+AV152+AV153-IF(AV$2=1,AV142,AV142-AU142)+IF(AV$2=1,AV144,AV144-AU144)</f>
        <v>18491.376727971518</v>
      </c>
      <c r="AW146" s="180"/>
      <c r="AX146" s="169">
        <f ca="1">SUM(G146:AW146)</f>
        <v>538811.33498415921</v>
      </c>
    </row>
    <row r="147" spans="1:50" hidden="1" outlineLevel="1" x14ac:dyDescent="0.2">
      <c r="A147" s="179" t="str">
        <f ca="1">Language!A$603</f>
        <v>темп изменения цен</v>
      </c>
      <c r="B147" s="84"/>
      <c r="C147" s="82" t="str">
        <f ca="1">Language!$A$471</f>
        <v>% в год</v>
      </c>
      <c r="D147" s="153"/>
      <c r="F147" s="57" t="s">
        <v>756</v>
      </c>
      <c r="G147" s="321">
        <f>CHOOSE($D137,Параметры!G$47,Параметры!G$56,Параметры!G$62)</f>
        <v>0.06</v>
      </c>
      <c r="H147" s="321">
        <f>CHOOSE($D137,Параметры!H$47,Параметры!H$56,Параметры!H$62)</f>
        <v>0.06</v>
      </c>
      <c r="I147" s="321">
        <f>CHOOSE($D137,Параметры!I$47,Параметры!I$56,Параметры!I$62)</f>
        <v>0.06</v>
      </c>
      <c r="J147" s="321">
        <f>CHOOSE($D137,Параметры!J$47,Параметры!J$56,Параметры!J$62)</f>
        <v>0.06</v>
      </c>
      <c r="K147" s="321">
        <f>CHOOSE($D137,Параметры!K$47,Параметры!K$56,Параметры!K$62)</f>
        <v>0.06</v>
      </c>
      <c r="L147" s="321">
        <f>CHOOSE($D137,Параметры!L$47,Параметры!L$56,Параметры!L$62)</f>
        <v>0.06</v>
      </c>
      <c r="M147" s="321">
        <f>CHOOSE($D137,Параметры!M$47,Параметры!M$56,Параметры!M$62)</f>
        <v>0.06</v>
      </c>
      <c r="N147" s="321">
        <f>CHOOSE($D137,Параметры!N$47,Параметры!N$56,Параметры!N$62)</f>
        <v>0.06</v>
      </c>
      <c r="O147" s="321">
        <f>CHOOSE($D137,Параметры!O$47,Параметры!O$56,Параметры!O$62)</f>
        <v>0.06</v>
      </c>
      <c r="P147" s="321">
        <f>CHOOSE($D137,Параметры!P$47,Параметры!P$56,Параметры!P$62)</f>
        <v>0.06</v>
      </c>
      <c r="Q147" s="321">
        <f>CHOOSE($D137,Параметры!Q$47,Параметры!Q$56,Параметры!Q$62)</f>
        <v>0.06</v>
      </c>
      <c r="R147" s="321">
        <f>CHOOSE($D137,Параметры!R$47,Параметры!R$56,Параметры!R$62)</f>
        <v>0.06</v>
      </c>
      <c r="S147" s="321">
        <f>CHOOSE($D137,Параметры!S$47,Параметры!S$56,Параметры!S$62)</f>
        <v>0.06</v>
      </c>
      <c r="T147" s="321">
        <f>CHOOSE($D137,Параметры!T$47,Параметры!T$56,Параметры!T$62)</f>
        <v>0.06</v>
      </c>
      <c r="U147" s="321">
        <f>CHOOSE($D137,Параметры!U$47,Параметры!U$56,Параметры!U$62)</f>
        <v>0.06</v>
      </c>
      <c r="V147" s="321">
        <f>CHOOSE($D137,Параметры!V$47,Параметры!V$56,Параметры!V$62)</f>
        <v>0.06</v>
      </c>
      <c r="W147" s="321">
        <f>CHOOSE($D137,Параметры!W$47,Параметры!W$56,Параметры!W$62)</f>
        <v>0.06</v>
      </c>
      <c r="X147" s="321">
        <f>CHOOSE($D137,Параметры!X$47,Параметры!X$56,Параметры!X$62)</f>
        <v>0.06</v>
      </c>
      <c r="Y147" s="321">
        <f>CHOOSE($D137,Параметры!Y$47,Параметры!Y$56,Параметры!Y$62)</f>
        <v>0.06</v>
      </c>
      <c r="Z147" s="321">
        <f>CHOOSE($D137,Параметры!Z$47,Параметры!Z$56,Параметры!Z$62)</f>
        <v>0.06</v>
      </c>
      <c r="AA147" s="321">
        <f>CHOOSE($D137,Параметры!AA$47,Параметры!AA$56,Параметры!AA$62)</f>
        <v>0.06</v>
      </c>
      <c r="AB147" s="321">
        <f>CHOOSE($D137,Параметры!AB$47,Параметры!AB$56,Параметры!AB$62)</f>
        <v>0.06</v>
      </c>
      <c r="AC147" s="321">
        <f>CHOOSE($D137,Параметры!AC$47,Параметры!AC$56,Параметры!AC$62)</f>
        <v>0.06</v>
      </c>
      <c r="AD147" s="321">
        <f>CHOOSE($D137,Параметры!AD$47,Параметры!AD$56,Параметры!AD$62)</f>
        <v>0.06</v>
      </c>
      <c r="AE147" s="321">
        <f>CHOOSE($D137,Параметры!AE$47,Параметры!AE$56,Параметры!AE$62)</f>
        <v>0.06</v>
      </c>
      <c r="AF147" s="321">
        <f>CHOOSE($D137,Параметры!AF$47,Параметры!AF$56,Параметры!AF$62)</f>
        <v>0.06</v>
      </c>
      <c r="AG147" s="321">
        <f>CHOOSE($D137,Параметры!AG$47,Параметры!AG$56,Параметры!AG$62)</f>
        <v>0.06</v>
      </c>
      <c r="AH147" s="321">
        <f>CHOOSE($D137,Параметры!AH$47,Параметры!AH$56,Параметры!AH$62)</f>
        <v>0.06</v>
      </c>
      <c r="AI147" s="321">
        <f>CHOOSE($D137,Параметры!AI$47,Параметры!AI$56,Параметры!AI$62)</f>
        <v>0.06</v>
      </c>
      <c r="AJ147" s="321">
        <f>CHOOSE($D137,Параметры!AJ$47,Параметры!AJ$56,Параметры!AJ$62)</f>
        <v>0.06</v>
      </c>
      <c r="AK147" s="321">
        <f>CHOOSE($D137,Параметры!AK$47,Параметры!AK$56,Параметры!AK$62)</f>
        <v>0.06</v>
      </c>
      <c r="AL147" s="321">
        <f>CHOOSE($D137,Параметры!AL$47,Параметры!AL$56,Параметры!AL$62)</f>
        <v>0.06</v>
      </c>
      <c r="AM147" s="321">
        <f>CHOOSE($D137,Параметры!AM$47,Параметры!AM$56,Параметры!AM$62)</f>
        <v>0.06</v>
      </c>
      <c r="AN147" s="321">
        <f>CHOOSE($D137,Параметры!AN$47,Параметры!AN$56,Параметры!AN$62)</f>
        <v>0.06</v>
      </c>
      <c r="AO147" s="321">
        <f>CHOOSE($D137,Параметры!AO$47,Параметры!AO$56,Параметры!AO$62)</f>
        <v>0.06</v>
      </c>
      <c r="AP147" s="321">
        <f>CHOOSE($D137,Параметры!AP$47,Параметры!AP$56,Параметры!AP$62)</f>
        <v>0.06</v>
      </c>
      <c r="AQ147" s="321">
        <f>CHOOSE($D137,Параметры!AQ$47,Параметры!AQ$56,Параметры!AQ$62)</f>
        <v>0.06</v>
      </c>
      <c r="AR147" s="321">
        <f>CHOOSE($D137,Параметры!AR$47,Параметры!AR$56,Параметры!AR$62)</f>
        <v>0.06</v>
      </c>
      <c r="AS147" s="321">
        <f>CHOOSE($D137,Параметры!AS$47,Параметры!AS$56,Параметры!AS$62)</f>
        <v>0.06</v>
      </c>
      <c r="AT147" s="321">
        <f>CHOOSE($D137,Параметры!AT$47,Параметры!AT$56,Параметры!AT$62)</f>
        <v>0.06</v>
      </c>
      <c r="AU147" s="321">
        <f>CHOOSE($D137,Параметры!AU$47,Параметры!AU$56,Параметры!AU$62)</f>
        <v>0.06</v>
      </c>
      <c r="AV147" s="321">
        <f>CHOOSE($D137,Параметры!AV$47,Параметры!AV$56,Параметры!AV$62)</f>
        <v>0.06</v>
      </c>
      <c r="AW147" s="183"/>
      <c r="AX147" s="184"/>
    </row>
    <row r="148" spans="1:50" hidden="1" outlineLevel="1" x14ac:dyDescent="0.2">
      <c r="A148" s="179" t="str">
        <f ca="1">Language!A$604</f>
        <v>ставка НДС</v>
      </c>
      <c r="B148" s="84"/>
      <c r="C148" s="82" t="s">
        <v>1</v>
      </c>
      <c r="D148" s="66"/>
      <c r="F148" s="57" t="s">
        <v>756</v>
      </c>
      <c r="G148" s="321">
        <f>Параметры!G$72*10/18</f>
        <v>9.9999999999999992E-2</v>
      </c>
      <c r="H148" s="321">
        <f>Параметры!H$72*10/18</f>
        <v>9.9999999999999992E-2</v>
      </c>
      <c r="I148" s="321">
        <f>Параметры!I$72*10/18</f>
        <v>9.9999999999999992E-2</v>
      </c>
      <c r="J148" s="321">
        <f>Параметры!J$72*10/18</f>
        <v>9.9999999999999992E-2</v>
      </c>
      <c r="K148" s="321">
        <f>Параметры!K$72*10/18</f>
        <v>9.9999999999999992E-2</v>
      </c>
      <c r="L148" s="321">
        <f>Параметры!L$72*10/18</f>
        <v>9.9999999999999992E-2</v>
      </c>
      <c r="M148" s="321">
        <f>Параметры!M$72*10/18</f>
        <v>9.9999999999999992E-2</v>
      </c>
      <c r="N148" s="321">
        <f>Параметры!N$72*10/18</f>
        <v>9.9999999999999992E-2</v>
      </c>
      <c r="O148" s="321">
        <f>Параметры!O$72*10/18</f>
        <v>9.9999999999999992E-2</v>
      </c>
      <c r="P148" s="321">
        <f>Параметры!P$72*10/18</f>
        <v>9.9999999999999992E-2</v>
      </c>
      <c r="Q148" s="321">
        <f>Параметры!Q$72*10/18</f>
        <v>9.9999999999999992E-2</v>
      </c>
      <c r="R148" s="321">
        <f>Параметры!R$72*10/18</f>
        <v>9.9999999999999992E-2</v>
      </c>
      <c r="S148" s="321">
        <f>Параметры!S$72*10/18</f>
        <v>9.9999999999999992E-2</v>
      </c>
      <c r="T148" s="321">
        <f>Параметры!T$72*10/18</f>
        <v>9.9999999999999992E-2</v>
      </c>
      <c r="U148" s="321">
        <f>Параметры!U$72*10/18</f>
        <v>9.9999999999999992E-2</v>
      </c>
      <c r="V148" s="321">
        <f>Параметры!V$72*10/18</f>
        <v>9.9999999999999992E-2</v>
      </c>
      <c r="W148" s="321">
        <f>Параметры!W$72*10/18</f>
        <v>9.9999999999999992E-2</v>
      </c>
      <c r="X148" s="321">
        <f>Параметры!X$72*10/18</f>
        <v>9.9999999999999992E-2</v>
      </c>
      <c r="Y148" s="321">
        <f>Параметры!Y$72*10/18</f>
        <v>9.9999999999999992E-2</v>
      </c>
      <c r="Z148" s="321">
        <f>Параметры!Z$72*10/18</f>
        <v>9.9999999999999992E-2</v>
      </c>
      <c r="AA148" s="321">
        <f>Параметры!AA$72*10/18</f>
        <v>9.9999999999999992E-2</v>
      </c>
      <c r="AB148" s="321">
        <f>Параметры!AB$72*10/18</f>
        <v>9.9999999999999992E-2</v>
      </c>
      <c r="AC148" s="321">
        <f>Параметры!AC$72*10/18</f>
        <v>9.9999999999999992E-2</v>
      </c>
      <c r="AD148" s="321">
        <f>Параметры!AD$72*10/18</f>
        <v>9.9999999999999992E-2</v>
      </c>
      <c r="AE148" s="321">
        <f>Параметры!AE$72*10/18</f>
        <v>9.9999999999999992E-2</v>
      </c>
      <c r="AF148" s="321">
        <f>Параметры!AF$72*10/18</f>
        <v>9.9999999999999992E-2</v>
      </c>
      <c r="AG148" s="321">
        <f>Параметры!AG$72*10/18</f>
        <v>9.9999999999999992E-2</v>
      </c>
      <c r="AH148" s="321">
        <f>Параметры!AH$72*10/18</f>
        <v>9.9999999999999992E-2</v>
      </c>
      <c r="AI148" s="321">
        <f>Параметры!AI$72*10/18</f>
        <v>9.9999999999999992E-2</v>
      </c>
      <c r="AJ148" s="321">
        <f>Параметры!AJ$72*10/18</f>
        <v>9.9999999999999992E-2</v>
      </c>
      <c r="AK148" s="321">
        <f>Параметры!AK$72*10/18</f>
        <v>9.9999999999999992E-2</v>
      </c>
      <c r="AL148" s="321">
        <f>Параметры!AL$72*10/18</f>
        <v>9.9999999999999992E-2</v>
      </c>
      <c r="AM148" s="321">
        <f>Параметры!AM$72*10/18</f>
        <v>9.9999999999999992E-2</v>
      </c>
      <c r="AN148" s="321">
        <f>Параметры!AN$72*10/18</f>
        <v>9.9999999999999992E-2</v>
      </c>
      <c r="AO148" s="321">
        <f>Параметры!AO$72*10/18</f>
        <v>9.9999999999999992E-2</v>
      </c>
      <c r="AP148" s="321">
        <f>Параметры!AP$72*10/18</f>
        <v>9.9999999999999992E-2</v>
      </c>
      <c r="AQ148" s="321">
        <f>Параметры!AQ$72*10/18</f>
        <v>9.9999999999999992E-2</v>
      </c>
      <c r="AR148" s="321">
        <f>Параметры!AR$72*10/18</f>
        <v>9.9999999999999992E-2</v>
      </c>
      <c r="AS148" s="321">
        <f>Параметры!AS$72*10/18</f>
        <v>9.9999999999999992E-2</v>
      </c>
      <c r="AT148" s="321">
        <f>Параметры!AT$72*10/18</f>
        <v>9.9999999999999992E-2</v>
      </c>
      <c r="AU148" s="321">
        <f>Параметры!AU$72*10/18</f>
        <v>9.9999999999999992E-2</v>
      </c>
      <c r="AV148" s="321">
        <f>Параметры!AV$72*10/18</f>
        <v>9.9999999999999992E-2</v>
      </c>
      <c r="AW148" s="183"/>
      <c r="AX148" s="87"/>
    </row>
    <row r="149" spans="1:50" hidden="1" outlineLevel="1" x14ac:dyDescent="0.2">
      <c r="A149" s="179" t="str">
        <f ca="1">Language!A$605</f>
        <v>акцизы, на единицу</v>
      </c>
      <c r="B149" s="66"/>
      <c r="C149" s="82" t="str">
        <f ca="1">CHOOSE(D149,CurName1,CurName2,CurName3)&amp;"/"&amp;C139</f>
        <v>тыс. руб./тн</v>
      </c>
      <c r="D149" s="66">
        <f>D137</f>
        <v>1</v>
      </c>
      <c r="F149" s="57" t="s">
        <v>756</v>
      </c>
      <c r="G149" s="319">
        <v>0</v>
      </c>
      <c r="H149" s="319">
        <f t="shared" ref="H149:H150" si="628">G149</f>
        <v>0</v>
      </c>
      <c r="I149" s="319">
        <f t="shared" ref="I149:I150" si="629">H149</f>
        <v>0</v>
      </c>
      <c r="J149" s="319">
        <f t="shared" ref="J149:J150" si="630">I149</f>
        <v>0</v>
      </c>
      <c r="K149" s="319">
        <f t="shared" ref="K149:K150" si="631">J149</f>
        <v>0</v>
      </c>
      <c r="L149" s="319">
        <f t="shared" ref="L149:L150" si="632">K149</f>
        <v>0</v>
      </c>
      <c r="M149" s="319">
        <f t="shared" ref="M149:M150" si="633">L149</f>
        <v>0</v>
      </c>
      <c r="N149" s="319">
        <f t="shared" ref="N149:N150" si="634">M149</f>
        <v>0</v>
      </c>
      <c r="O149" s="319">
        <f t="shared" ref="O149:O150" si="635">N149</f>
        <v>0</v>
      </c>
      <c r="P149" s="319">
        <f t="shared" ref="P149:P150" si="636">O149</f>
        <v>0</v>
      </c>
      <c r="Q149" s="319">
        <f t="shared" ref="Q149:Q150" si="637">P149</f>
        <v>0</v>
      </c>
      <c r="R149" s="319">
        <f t="shared" ref="R149:R150" si="638">Q149</f>
        <v>0</v>
      </c>
      <c r="S149" s="319">
        <f t="shared" ref="S149:S150" si="639">R149</f>
        <v>0</v>
      </c>
      <c r="T149" s="319">
        <f t="shared" ref="T149:T150" si="640">S149</f>
        <v>0</v>
      </c>
      <c r="U149" s="319">
        <f t="shared" ref="U149:U150" si="641">T149</f>
        <v>0</v>
      </c>
      <c r="V149" s="319">
        <f t="shared" ref="V149:V150" si="642">U149</f>
        <v>0</v>
      </c>
      <c r="W149" s="319">
        <f t="shared" ref="W149:W150" si="643">V149</f>
        <v>0</v>
      </c>
      <c r="X149" s="319">
        <f t="shared" ref="X149:X150" si="644">W149</f>
        <v>0</v>
      </c>
      <c r="Y149" s="319">
        <f t="shared" ref="Y149:Y150" si="645">X149</f>
        <v>0</v>
      </c>
      <c r="Z149" s="319">
        <f t="shared" ref="Z149:Z150" si="646">Y149</f>
        <v>0</v>
      </c>
      <c r="AA149" s="319">
        <f t="shared" ref="AA149:AA150" si="647">Z149</f>
        <v>0</v>
      </c>
      <c r="AB149" s="319">
        <f t="shared" ref="AB149:AB150" si="648">AA149</f>
        <v>0</v>
      </c>
      <c r="AC149" s="319">
        <f t="shared" ref="AC149:AC150" si="649">AB149</f>
        <v>0</v>
      </c>
      <c r="AD149" s="319">
        <f t="shared" ref="AD149:AD150" si="650">AC149</f>
        <v>0</v>
      </c>
      <c r="AE149" s="319">
        <f t="shared" ref="AE149:AE150" si="651">AD149</f>
        <v>0</v>
      </c>
      <c r="AF149" s="319">
        <f t="shared" ref="AF149:AF150" si="652">AE149</f>
        <v>0</v>
      </c>
      <c r="AG149" s="319">
        <f t="shared" ref="AG149:AG150" si="653">AF149</f>
        <v>0</v>
      </c>
      <c r="AH149" s="319">
        <f t="shared" ref="AH149:AH150" si="654">AG149</f>
        <v>0</v>
      </c>
      <c r="AI149" s="319">
        <f t="shared" ref="AI149:AI150" si="655">AH149</f>
        <v>0</v>
      </c>
      <c r="AJ149" s="319">
        <f t="shared" ref="AJ149:AJ150" si="656">AI149</f>
        <v>0</v>
      </c>
      <c r="AK149" s="319">
        <f t="shared" ref="AK149:AK150" si="657">AJ149</f>
        <v>0</v>
      </c>
      <c r="AL149" s="319">
        <f t="shared" ref="AL149:AL150" si="658">AK149</f>
        <v>0</v>
      </c>
      <c r="AM149" s="319">
        <f t="shared" ref="AM149:AM150" si="659">AL149</f>
        <v>0</v>
      </c>
      <c r="AN149" s="319">
        <f t="shared" ref="AN149:AN150" si="660">AM149</f>
        <v>0</v>
      </c>
      <c r="AO149" s="319">
        <f t="shared" ref="AO149:AO150" si="661">AN149</f>
        <v>0</v>
      </c>
      <c r="AP149" s="319">
        <f t="shared" ref="AP149:AP150" si="662">AO149</f>
        <v>0</v>
      </c>
      <c r="AQ149" s="319">
        <f t="shared" ref="AQ149:AQ150" si="663">AP149</f>
        <v>0</v>
      </c>
      <c r="AR149" s="319">
        <f t="shared" ref="AR149:AR150" si="664">AQ149</f>
        <v>0</v>
      </c>
      <c r="AS149" s="319">
        <f t="shared" ref="AS149:AS150" si="665">AR149</f>
        <v>0</v>
      </c>
      <c r="AT149" s="319">
        <f t="shared" ref="AT149:AT150" si="666">AS149</f>
        <v>0</v>
      </c>
      <c r="AU149" s="319">
        <f t="shared" ref="AU149:AU150" si="667">AT149</f>
        <v>0</v>
      </c>
      <c r="AV149" s="319">
        <f t="shared" ref="AV149:AV150" si="668">AU149</f>
        <v>0</v>
      </c>
      <c r="AW149" s="180"/>
      <c r="AX149" s="87"/>
    </row>
    <row r="150" spans="1:50" hidden="1" outlineLevel="1" x14ac:dyDescent="0.2">
      <c r="A150" s="179" t="str">
        <f ca="1">Language!A$606</f>
        <v>ставка акцизов, в процентах</v>
      </c>
      <c r="B150" s="84"/>
      <c r="C150" s="82" t="s">
        <v>1</v>
      </c>
      <c r="D150" s="66"/>
      <c r="F150" s="57" t="s">
        <v>756</v>
      </c>
      <c r="G150" s="321">
        <v>0</v>
      </c>
      <c r="H150" s="321">
        <f t="shared" si="628"/>
        <v>0</v>
      </c>
      <c r="I150" s="321">
        <f t="shared" si="629"/>
        <v>0</v>
      </c>
      <c r="J150" s="321">
        <f t="shared" si="630"/>
        <v>0</v>
      </c>
      <c r="K150" s="321">
        <f t="shared" si="631"/>
        <v>0</v>
      </c>
      <c r="L150" s="321">
        <f t="shared" si="632"/>
        <v>0</v>
      </c>
      <c r="M150" s="321">
        <f t="shared" si="633"/>
        <v>0</v>
      </c>
      <c r="N150" s="321">
        <f t="shared" si="634"/>
        <v>0</v>
      </c>
      <c r="O150" s="321">
        <f t="shared" si="635"/>
        <v>0</v>
      </c>
      <c r="P150" s="321">
        <f t="shared" si="636"/>
        <v>0</v>
      </c>
      <c r="Q150" s="321">
        <f t="shared" si="637"/>
        <v>0</v>
      </c>
      <c r="R150" s="321">
        <f t="shared" si="638"/>
        <v>0</v>
      </c>
      <c r="S150" s="321">
        <f t="shared" si="639"/>
        <v>0</v>
      </c>
      <c r="T150" s="321">
        <f t="shared" si="640"/>
        <v>0</v>
      </c>
      <c r="U150" s="321">
        <f t="shared" si="641"/>
        <v>0</v>
      </c>
      <c r="V150" s="321">
        <f t="shared" si="642"/>
        <v>0</v>
      </c>
      <c r="W150" s="321">
        <f t="shared" si="643"/>
        <v>0</v>
      </c>
      <c r="X150" s="321">
        <f t="shared" si="644"/>
        <v>0</v>
      </c>
      <c r="Y150" s="321">
        <f t="shared" si="645"/>
        <v>0</v>
      </c>
      <c r="Z150" s="321">
        <f t="shared" si="646"/>
        <v>0</v>
      </c>
      <c r="AA150" s="321">
        <f t="shared" si="647"/>
        <v>0</v>
      </c>
      <c r="AB150" s="321">
        <f t="shared" si="648"/>
        <v>0</v>
      </c>
      <c r="AC150" s="321">
        <f t="shared" si="649"/>
        <v>0</v>
      </c>
      <c r="AD150" s="321">
        <f t="shared" si="650"/>
        <v>0</v>
      </c>
      <c r="AE150" s="321">
        <f t="shared" si="651"/>
        <v>0</v>
      </c>
      <c r="AF150" s="321">
        <f t="shared" si="652"/>
        <v>0</v>
      </c>
      <c r="AG150" s="321">
        <f t="shared" si="653"/>
        <v>0</v>
      </c>
      <c r="AH150" s="321">
        <f t="shared" si="654"/>
        <v>0</v>
      </c>
      <c r="AI150" s="321">
        <f t="shared" si="655"/>
        <v>0</v>
      </c>
      <c r="AJ150" s="321">
        <f t="shared" si="656"/>
        <v>0</v>
      </c>
      <c r="AK150" s="321">
        <f t="shared" si="657"/>
        <v>0</v>
      </c>
      <c r="AL150" s="321">
        <f t="shared" si="658"/>
        <v>0</v>
      </c>
      <c r="AM150" s="321">
        <f t="shared" si="659"/>
        <v>0</v>
      </c>
      <c r="AN150" s="321">
        <f t="shared" si="660"/>
        <v>0</v>
      </c>
      <c r="AO150" s="321">
        <f t="shared" si="661"/>
        <v>0</v>
      </c>
      <c r="AP150" s="321">
        <f t="shared" si="662"/>
        <v>0</v>
      </c>
      <c r="AQ150" s="321">
        <f t="shared" si="663"/>
        <v>0</v>
      </c>
      <c r="AR150" s="321">
        <f t="shared" si="664"/>
        <v>0</v>
      </c>
      <c r="AS150" s="321">
        <f t="shared" si="665"/>
        <v>0</v>
      </c>
      <c r="AT150" s="321">
        <f t="shared" si="666"/>
        <v>0</v>
      </c>
      <c r="AU150" s="321">
        <f t="shared" si="667"/>
        <v>0</v>
      </c>
      <c r="AV150" s="321">
        <f t="shared" si="668"/>
        <v>0</v>
      </c>
      <c r="AW150" s="183"/>
      <c r="AX150" s="87"/>
    </row>
    <row r="151" spans="1:50" hidden="1" outlineLevel="1" x14ac:dyDescent="0.2">
      <c r="A151" s="179" t="str">
        <f ca="1">Language!A$607</f>
        <v>коэффициент прироста цен к предыдущему периоду</v>
      </c>
      <c r="B151" s="84"/>
      <c r="C151" s="82" t="str">
        <f ca="1">Language!$A$1449</f>
        <v>раз</v>
      </c>
      <c r="D151" s="66"/>
      <c r="F151" s="57" t="s">
        <v>756</v>
      </c>
      <c r="G151" s="86">
        <f ca="1">IF(G$2=1,1,IF(Prj_Inflation=1,POWER(1+OFFSET(G147,0,-1),Параметры!G$30/360),1))</f>
        <v>1</v>
      </c>
      <c r="H151" s="86">
        <f ca="1">IF(H$2=1,1,IF(Prj_Inflation=1,POWER(1+OFFSET(H147,0,-1),Параметры!H$30/360),1))</f>
        <v>1.0146738461686593</v>
      </c>
      <c r="I151" s="86">
        <f ca="1">IF(I$2=1,1,IF(Prj_Inflation=1,POWER(1+OFFSET(I147,0,-1),Параметры!I$30/360),1))</f>
        <v>1.0146738461686593</v>
      </c>
      <c r="J151" s="86">
        <f ca="1">IF(J$2=1,1,IF(Prj_Inflation=1,POWER(1+OFFSET(J147,0,-1),Параметры!J$30/360),1))</f>
        <v>1.0146738461686593</v>
      </c>
      <c r="K151" s="86">
        <f ca="1">IF(K$2=1,1,IF(Prj_Inflation=1,POWER(1+OFFSET(K147,0,-1),Параметры!K$30/360),1))</f>
        <v>1.0146738461686593</v>
      </c>
      <c r="L151" s="86">
        <f ca="1">IF(L$2=1,1,IF(Prj_Inflation=1,POWER(1+OFFSET(L147,0,-1),Параметры!L$30/360),1))</f>
        <v>1.0146738461686593</v>
      </c>
      <c r="M151" s="86">
        <f ca="1">IF(M$2=1,1,IF(Prj_Inflation=1,POWER(1+OFFSET(M147,0,-1),Параметры!M$30/360),1))</f>
        <v>1.0146738461686593</v>
      </c>
      <c r="N151" s="86">
        <f ca="1">IF(N$2=1,1,IF(Prj_Inflation=1,POWER(1+OFFSET(N147,0,-1),Параметры!N$30/360),1))</f>
        <v>1.0146738461686593</v>
      </c>
      <c r="O151" s="86">
        <f ca="1">IF(O$2=1,1,IF(Prj_Inflation=1,POWER(1+OFFSET(O147,0,-1),Параметры!O$30/360),1))</f>
        <v>1.0146738461686593</v>
      </c>
      <c r="P151" s="86">
        <f ca="1">IF(P$2=1,1,IF(Prj_Inflation=1,POWER(1+OFFSET(P147,0,-1),Параметры!P$30/360),1))</f>
        <v>1.0146738461686593</v>
      </c>
      <c r="Q151" s="86">
        <f ca="1">IF(Q$2=1,1,IF(Prj_Inflation=1,POWER(1+OFFSET(Q147,0,-1),Параметры!Q$30/360),1))</f>
        <v>1.0146738461686593</v>
      </c>
      <c r="R151" s="86">
        <f ca="1">IF(R$2=1,1,IF(Prj_Inflation=1,POWER(1+OFFSET(R147,0,-1),Параметры!R$30/360),1))</f>
        <v>1.0146738461686593</v>
      </c>
      <c r="S151" s="86">
        <f ca="1">IF(S$2=1,1,IF(Prj_Inflation=1,POWER(1+OFFSET(S147,0,-1),Параметры!S$30/360),1))</f>
        <v>1.0146738461686593</v>
      </c>
      <c r="T151" s="86">
        <f ca="1">IF(T$2=1,1,IF(Prj_Inflation=1,POWER(1+OFFSET(T147,0,-1),Параметры!T$30/360),1))</f>
        <v>1.0146738461686593</v>
      </c>
      <c r="U151" s="86">
        <f ca="1">IF(U$2=1,1,IF(Prj_Inflation=1,POWER(1+OFFSET(U147,0,-1),Параметры!U$30/360),1))</f>
        <v>1.0146738461686593</v>
      </c>
      <c r="V151" s="86">
        <f ca="1">IF(V$2=1,1,IF(Prj_Inflation=1,POWER(1+OFFSET(V147,0,-1),Параметры!V$30/360),1))</f>
        <v>1.0146738461686593</v>
      </c>
      <c r="W151" s="86">
        <f ca="1">IF(W$2=1,1,IF(Prj_Inflation=1,POWER(1+OFFSET(W147,0,-1),Параметры!W$30/360),1))</f>
        <v>1.0146738461686593</v>
      </c>
      <c r="X151" s="86">
        <f ca="1">IF(X$2=1,1,IF(Prj_Inflation=1,POWER(1+OFFSET(X147,0,-1),Параметры!X$30/360),1))</f>
        <v>1.0146738461686593</v>
      </c>
      <c r="Y151" s="86">
        <f ca="1">IF(Y$2=1,1,IF(Prj_Inflation=1,POWER(1+OFFSET(Y147,0,-1),Параметры!Y$30/360),1))</f>
        <v>1.0146738461686593</v>
      </c>
      <c r="Z151" s="86">
        <f ca="1">IF(Z$2=1,1,IF(Prj_Inflation=1,POWER(1+OFFSET(Z147,0,-1),Параметры!Z$30/360),1))</f>
        <v>1.0146738461686593</v>
      </c>
      <c r="AA151" s="86">
        <f ca="1">IF(AA$2=1,1,IF(Prj_Inflation=1,POWER(1+OFFSET(AA147,0,-1),Параметры!AA$30/360),1))</f>
        <v>1.0146738461686593</v>
      </c>
      <c r="AB151" s="86">
        <f ca="1">IF(AB$2=1,1,IF(Prj_Inflation=1,POWER(1+OFFSET(AB147,0,-1),Параметры!AB$30/360),1))</f>
        <v>1.0146738461686593</v>
      </c>
      <c r="AC151" s="86">
        <f ca="1">IF(AC$2=1,1,IF(Prj_Inflation=1,POWER(1+OFFSET(AC147,0,-1),Параметры!AC$30/360),1))</f>
        <v>1.0146738461686593</v>
      </c>
      <c r="AD151" s="86">
        <f ca="1">IF(AD$2=1,1,IF(Prj_Inflation=1,POWER(1+OFFSET(AD147,0,-1),Параметры!AD$30/360),1))</f>
        <v>1.0146738461686593</v>
      </c>
      <c r="AE151" s="86">
        <f ca="1">IF(AE$2=1,1,IF(Prj_Inflation=1,POWER(1+OFFSET(AE147,0,-1),Параметры!AE$30/360),1))</f>
        <v>1.0146738461686593</v>
      </c>
      <c r="AF151" s="86">
        <f ca="1">IF(AF$2=1,1,IF(Prj_Inflation=1,POWER(1+OFFSET(AF147,0,-1),Параметры!AF$30/360),1))</f>
        <v>1.0146738461686593</v>
      </c>
      <c r="AG151" s="86">
        <f ca="1">IF(AG$2=1,1,IF(Prj_Inflation=1,POWER(1+OFFSET(AG147,0,-1),Параметры!AG$30/360),1))</f>
        <v>1.0146738461686593</v>
      </c>
      <c r="AH151" s="86">
        <f ca="1">IF(AH$2=1,1,IF(Prj_Inflation=1,POWER(1+OFFSET(AH147,0,-1),Параметры!AH$30/360),1))</f>
        <v>1.0146738461686593</v>
      </c>
      <c r="AI151" s="86">
        <f ca="1">IF(AI$2=1,1,IF(Prj_Inflation=1,POWER(1+OFFSET(AI147,0,-1),Параметры!AI$30/360),1))</f>
        <v>1.0146738461686593</v>
      </c>
      <c r="AJ151" s="86">
        <f ca="1">IF(AJ$2=1,1,IF(Prj_Inflation=1,POWER(1+OFFSET(AJ147,0,-1),Параметры!AJ$30/360),1))</f>
        <v>1.0146738461686593</v>
      </c>
      <c r="AK151" s="86">
        <f ca="1">IF(AK$2=1,1,IF(Prj_Inflation=1,POWER(1+OFFSET(AK147,0,-1),Параметры!AK$30/360),1))</f>
        <v>1.0146738461686593</v>
      </c>
      <c r="AL151" s="86">
        <f ca="1">IF(AL$2=1,1,IF(Prj_Inflation=1,POWER(1+OFFSET(AL147,0,-1),Параметры!AL$30/360),1))</f>
        <v>1.0146738461686593</v>
      </c>
      <c r="AM151" s="86">
        <f ca="1">IF(AM$2=1,1,IF(Prj_Inflation=1,POWER(1+OFFSET(AM147,0,-1),Параметры!AM$30/360),1))</f>
        <v>1.0146738461686593</v>
      </c>
      <c r="AN151" s="86">
        <f ca="1">IF(AN$2=1,1,IF(Prj_Inflation=1,POWER(1+OFFSET(AN147,0,-1),Параметры!AN$30/360),1))</f>
        <v>1.0146738461686593</v>
      </c>
      <c r="AO151" s="86">
        <f ca="1">IF(AO$2=1,1,IF(Prj_Inflation=1,POWER(1+OFFSET(AO147,0,-1),Параметры!AO$30/360),1))</f>
        <v>1.0146738461686593</v>
      </c>
      <c r="AP151" s="86">
        <f ca="1">IF(AP$2=1,1,IF(Prj_Inflation=1,POWER(1+OFFSET(AP147,0,-1),Параметры!AP$30/360),1))</f>
        <v>1.0146738461686593</v>
      </c>
      <c r="AQ151" s="86">
        <f ca="1">IF(AQ$2=1,1,IF(Prj_Inflation=1,POWER(1+OFFSET(AQ147,0,-1),Параметры!AQ$30/360),1))</f>
        <v>1.0146738461686593</v>
      </c>
      <c r="AR151" s="86">
        <f ca="1">IF(AR$2=1,1,IF(Prj_Inflation=1,POWER(1+OFFSET(AR147,0,-1),Параметры!AR$30/360),1))</f>
        <v>1.0146738461686593</v>
      </c>
      <c r="AS151" s="86">
        <f ca="1">IF(AS$2=1,1,IF(Prj_Inflation=1,POWER(1+OFFSET(AS147,0,-1),Параметры!AS$30/360),1))</f>
        <v>1.0146738461686593</v>
      </c>
      <c r="AT151" s="86">
        <f ca="1">IF(AT$2=1,1,IF(Prj_Inflation=1,POWER(1+OFFSET(AT147,0,-1),Параметры!AT$30/360),1))</f>
        <v>1.0146738461686593</v>
      </c>
      <c r="AU151" s="86">
        <f ca="1">IF(AU$2=1,1,IF(Prj_Inflation=1,POWER(1+OFFSET(AU147,0,-1),Параметры!AU$30/360),1))</f>
        <v>1.0146738461686593</v>
      </c>
      <c r="AV151" s="86">
        <f ca="1">IF(AV$2=1,1,IF(Prj_Inflation=1,POWER(1+OFFSET(AV147,0,-1),Параметры!AV$30/360),1))</f>
        <v>1.0146738461686593</v>
      </c>
      <c r="AW151" s="86"/>
      <c r="AX151" s="87"/>
    </row>
    <row r="152" spans="1:50" hidden="1" outlineLevel="1" x14ac:dyDescent="0.2">
      <c r="A152" s="179" t="str">
        <f ca="1">Language!A$608</f>
        <v>акцизы начисленные</v>
      </c>
      <c r="B152" s="66"/>
      <c r="C152" s="82" t="str">
        <f ca="1">CHOOSE(D152,CurName1,CurName2,CurName3)</f>
        <v>тыс. руб.</v>
      </c>
      <c r="D152" s="155">
        <f>D137</f>
        <v>1</v>
      </c>
      <c r="E152" s="57" t="s">
        <v>996</v>
      </c>
      <c r="F152" s="57" t="s">
        <v>753</v>
      </c>
      <c r="G152" s="185">
        <f t="shared" ref="G152:AV152" ca="1" si="669">G141*G150+G139*G149</f>
        <v>0</v>
      </c>
      <c r="H152" s="185">
        <f t="shared" ca="1" si="669"/>
        <v>0</v>
      </c>
      <c r="I152" s="185">
        <f t="shared" ca="1" si="669"/>
        <v>0</v>
      </c>
      <c r="J152" s="185">
        <f t="shared" ca="1" si="669"/>
        <v>0</v>
      </c>
      <c r="K152" s="185">
        <f t="shared" ca="1" si="669"/>
        <v>0</v>
      </c>
      <c r="L152" s="185">
        <f t="shared" ca="1" si="669"/>
        <v>0</v>
      </c>
      <c r="M152" s="185">
        <f t="shared" ca="1" si="669"/>
        <v>0</v>
      </c>
      <c r="N152" s="185">
        <f t="shared" ca="1" si="669"/>
        <v>0</v>
      </c>
      <c r="O152" s="185">
        <f t="shared" ca="1" si="669"/>
        <v>0</v>
      </c>
      <c r="P152" s="185">
        <f t="shared" ca="1" si="669"/>
        <v>0</v>
      </c>
      <c r="Q152" s="185">
        <f t="shared" ca="1" si="669"/>
        <v>0</v>
      </c>
      <c r="R152" s="185">
        <f t="shared" ca="1" si="669"/>
        <v>0</v>
      </c>
      <c r="S152" s="185">
        <f t="shared" ca="1" si="669"/>
        <v>0</v>
      </c>
      <c r="T152" s="185">
        <f t="shared" ca="1" si="669"/>
        <v>0</v>
      </c>
      <c r="U152" s="185">
        <f t="shared" ca="1" si="669"/>
        <v>0</v>
      </c>
      <c r="V152" s="185">
        <f t="shared" ca="1" si="669"/>
        <v>0</v>
      </c>
      <c r="W152" s="185">
        <f t="shared" ca="1" si="669"/>
        <v>0</v>
      </c>
      <c r="X152" s="185">
        <f t="shared" ca="1" si="669"/>
        <v>0</v>
      </c>
      <c r="Y152" s="185">
        <f t="shared" ca="1" si="669"/>
        <v>0</v>
      </c>
      <c r="Z152" s="185">
        <f t="shared" ca="1" si="669"/>
        <v>0</v>
      </c>
      <c r="AA152" s="185">
        <f t="shared" ca="1" si="669"/>
        <v>0</v>
      </c>
      <c r="AB152" s="185">
        <f t="shared" ca="1" si="669"/>
        <v>0</v>
      </c>
      <c r="AC152" s="185">
        <f t="shared" ca="1" si="669"/>
        <v>0</v>
      </c>
      <c r="AD152" s="185">
        <f t="shared" ca="1" si="669"/>
        <v>0</v>
      </c>
      <c r="AE152" s="185">
        <f t="shared" ca="1" si="669"/>
        <v>0</v>
      </c>
      <c r="AF152" s="185">
        <f t="shared" ca="1" si="669"/>
        <v>0</v>
      </c>
      <c r="AG152" s="185">
        <f t="shared" ca="1" si="669"/>
        <v>0</v>
      </c>
      <c r="AH152" s="185">
        <f t="shared" ca="1" si="669"/>
        <v>0</v>
      </c>
      <c r="AI152" s="185">
        <f t="shared" ca="1" si="669"/>
        <v>0</v>
      </c>
      <c r="AJ152" s="185">
        <f t="shared" ca="1" si="669"/>
        <v>0</v>
      </c>
      <c r="AK152" s="185">
        <f t="shared" ca="1" si="669"/>
        <v>0</v>
      </c>
      <c r="AL152" s="185">
        <f t="shared" ca="1" si="669"/>
        <v>0</v>
      </c>
      <c r="AM152" s="185">
        <f t="shared" ca="1" si="669"/>
        <v>0</v>
      </c>
      <c r="AN152" s="185">
        <f t="shared" ca="1" si="669"/>
        <v>0</v>
      </c>
      <c r="AO152" s="185">
        <f t="shared" ca="1" si="669"/>
        <v>0</v>
      </c>
      <c r="AP152" s="185">
        <f t="shared" ca="1" si="669"/>
        <v>0</v>
      </c>
      <c r="AQ152" s="185">
        <f t="shared" ca="1" si="669"/>
        <v>0</v>
      </c>
      <c r="AR152" s="185">
        <f t="shared" ca="1" si="669"/>
        <v>0</v>
      </c>
      <c r="AS152" s="185">
        <f t="shared" ca="1" si="669"/>
        <v>0</v>
      </c>
      <c r="AT152" s="185">
        <f t="shared" ca="1" si="669"/>
        <v>0</v>
      </c>
      <c r="AU152" s="185">
        <f t="shared" ca="1" si="669"/>
        <v>0</v>
      </c>
      <c r="AV152" s="185">
        <f t="shared" ca="1" si="669"/>
        <v>0</v>
      </c>
      <c r="AW152" s="180"/>
      <c r="AX152" s="169">
        <f ca="1">SUM(G152:AW152)</f>
        <v>0</v>
      </c>
    </row>
    <row r="153" spans="1:50" hidden="1" outlineLevel="1" x14ac:dyDescent="0.2">
      <c r="A153" s="179" t="str">
        <f ca="1">Language!A$609</f>
        <v>НДС начисленный</v>
      </c>
      <c r="B153" s="66"/>
      <c r="C153" s="82" t="str">
        <f ca="1">CHOOSE(D153,CurName1,CurName2,CurName3)</f>
        <v>тыс. руб.</v>
      </c>
      <c r="D153" s="155">
        <f>D137</f>
        <v>1</v>
      </c>
      <c r="E153" s="57" t="s">
        <v>789</v>
      </c>
      <c r="F153" s="57" t="s">
        <v>753</v>
      </c>
      <c r="G153" s="185">
        <f t="shared" ref="G153:AV153" ca="1" si="670">(G141+G152)*G148</f>
        <v>607.94999999999993</v>
      </c>
      <c r="H153" s="185">
        <f t="shared" ca="1" si="670"/>
        <v>616.87096477823638</v>
      </c>
      <c r="I153" s="185">
        <f t="shared" ca="1" si="670"/>
        <v>724.02732012723447</v>
      </c>
      <c r="J153" s="185">
        <f t="shared" ca="1" si="670"/>
        <v>734.65158564468823</v>
      </c>
      <c r="K153" s="185">
        <f t="shared" ca="1" si="670"/>
        <v>745.43174999999997</v>
      </c>
      <c r="L153" s="185">
        <f t="shared" ca="1" si="670"/>
        <v>756.37010082873428</v>
      </c>
      <c r="M153" s="185">
        <f t="shared" ca="1" si="670"/>
        <v>778.64151977311406</v>
      </c>
      <c r="N153" s="185">
        <f t="shared" ca="1" si="670"/>
        <v>790.06718565479594</v>
      </c>
      <c r="O153" s="185">
        <f t="shared" ca="1" si="670"/>
        <v>801.66050999999993</v>
      </c>
      <c r="P153" s="185">
        <f t="shared" ca="1" si="670"/>
        <v>813.42395300322892</v>
      </c>
      <c r="Q153" s="185">
        <f t="shared" ca="1" si="670"/>
        <v>890.04054161968259</v>
      </c>
      <c r="R153" s="185">
        <f t="shared" ca="1" si="670"/>
        <v>903.10085961128016</v>
      </c>
      <c r="S153" s="185">
        <f t="shared" ca="1" si="670"/>
        <v>916.35282270000005</v>
      </c>
      <c r="T153" s="185">
        <f t="shared" ca="1" si="670"/>
        <v>929.7992430565165</v>
      </c>
      <c r="U153" s="185">
        <f t="shared" ca="1" si="670"/>
        <v>1053.5274153137136</v>
      </c>
      <c r="V153" s="185">
        <f t="shared" ca="1" si="670"/>
        <v>1068.9867145404924</v>
      </c>
      <c r="W153" s="185">
        <f t="shared" ca="1" si="670"/>
        <v>1084.6728611460003</v>
      </c>
      <c r="X153" s="185">
        <f t="shared" ca="1" si="670"/>
        <v>1100.5891838537761</v>
      </c>
      <c r="Y153" s="185">
        <f t="shared" ca="1" si="670"/>
        <v>1157.6827471338213</v>
      </c>
      <c r="Z153" s="185">
        <f t="shared" ca="1" si="670"/>
        <v>1174.670405677374</v>
      </c>
      <c r="AA153" s="185">
        <f t="shared" ca="1" si="670"/>
        <v>1191.9073385091604</v>
      </c>
      <c r="AB153" s="185">
        <f t="shared" ca="1" si="670"/>
        <v>1209.39720344174</v>
      </c>
      <c r="AC153" s="185">
        <f t="shared" ca="1" si="670"/>
        <v>1284.6491202147049</v>
      </c>
      <c r="AD153" s="185">
        <f t="shared" ca="1" si="670"/>
        <v>1303.4998637854389</v>
      </c>
      <c r="AE153" s="185">
        <f t="shared" ca="1" si="670"/>
        <v>1322.627220267495</v>
      </c>
      <c r="AF153" s="185">
        <f t="shared" ca="1" si="670"/>
        <v>1342.0352486361817</v>
      </c>
      <c r="AG153" s="185">
        <f t="shared" ca="1" si="670"/>
        <v>1360.5779592625304</v>
      </c>
      <c r="AH153" s="185">
        <f t="shared" ca="1" si="670"/>
        <v>1380.5428709372172</v>
      </c>
      <c r="AI153" s="185">
        <f t="shared" ca="1" si="670"/>
        <v>1400.8007446545892</v>
      </c>
      <c r="AJ153" s="185">
        <f t="shared" ca="1" si="670"/>
        <v>1421.3558792945939</v>
      </c>
      <c r="AK153" s="185">
        <f t="shared" ca="1" si="670"/>
        <v>1440.993522163322</v>
      </c>
      <c r="AL153" s="185">
        <f t="shared" ca="1" si="670"/>
        <v>1462.1384394375809</v>
      </c>
      <c r="AM153" s="185">
        <f t="shared" ca="1" si="670"/>
        <v>1483.5936339751715</v>
      </c>
      <c r="AN153" s="185">
        <f t="shared" ca="1" si="670"/>
        <v>1505.3636587369256</v>
      </c>
      <c r="AO153" s="185">
        <f t="shared" ca="1" si="670"/>
        <v>1523.5763488903469</v>
      </c>
      <c r="AP153" s="185">
        <f t="shared" ca="1" si="670"/>
        <v>1545.9330738601714</v>
      </c>
      <c r="AQ153" s="185">
        <f t="shared" ca="1" si="670"/>
        <v>1568.6178579730381</v>
      </c>
      <c r="AR153" s="185">
        <f t="shared" ca="1" si="670"/>
        <v>1591.6355151183463</v>
      </c>
      <c r="AS153" s="185">
        <f t="shared" ca="1" si="670"/>
        <v>1617.7305242763948</v>
      </c>
      <c r="AT153" s="185">
        <f t="shared" ca="1" si="670"/>
        <v>1641.4688531319712</v>
      </c>
      <c r="AU153" s="185">
        <f t="shared" ca="1" si="670"/>
        <v>1665.5555145734752</v>
      </c>
      <c r="AV153" s="185">
        <f t="shared" ca="1" si="670"/>
        <v>1689.9956199796886</v>
      </c>
      <c r="AW153" s="180"/>
      <c r="AX153" s="169">
        <f ca="1">SUM(G153:AW153)</f>
        <v>49602.513695582777</v>
      </c>
    </row>
    <row r="154" spans="1:50" hidden="1" outlineLevel="1" x14ac:dyDescent="0.2">
      <c r="A154" s="179" t="str">
        <f ca="1">Language!A$610</f>
        <v>НДС полученный с авансов</v>
      </c>
      <c r="B154" s="66"/>
      <c r="C154" s="82" t="str">
        <f ca="1">CHOOSE(D154,CurName1,CurName2,CurName3)</f>
        <v>тыс. руб.</v>
      </c>
      <c r="D154" s="155">
        <f>D137</f>
        <v>1</v>
      </c>
      <c r="E154" s="57" t="s">
        <v>1450</v>
      </c>
      <c r="F154" s="57" t="s">
        <v>753</v>
      </c>
      <c r="G154" s="185">
        <f ca="1">G144*G148/(1+G148)</f>
        <v>0</v>
      </c>
      <c r="H154" s="185">
        <f t="shared" ref="H154:AV154" ca="1" si="671">H144*H148/(1+H148)</f>
        <v>0</v>
      </c>
      <c r="I154" s="185">
        <f t="shared" ca="1" si="671"/>
        <v>0</v>
      </c>
      <c r="J154" s="185">
        <f t="shared" ca="1" si="671"/>
        <v>0</v>
      </c>
      <c r="K154" s="185">
        <f t="shared" ca="1" si="671"/>
        <v>0</v>
      </c>
      <c r="L154" s="185">
        <f t="shared" ca="1" si="671"/>
        <v>0</v>
      </c>
      <c r="M154" s="185">
        <f t="shared" ca="1" si="671"/>
        <v>0</v>
      </c>
      <c r="N154" s="185">
        <f t="shared" ca="1" si="671"/>
        <v>0</v>
      </c>
      <c r="O154" s="185">
        <f t="shared" ca="1" si="671"/>
        <v>0</v>
      </c>
      <c r="P154" s="185">
        <f t="shared" ca="1" si="671"/>
        <v>0</v>
      </c>
      <c r="Q154" s="185">
        <f t="shared" ca="1" si="671"/>
        <v>0</v>
      </c>
      <c r="R154" s="185">
        <f t="shared" ca="1" si="671"/>
        <v>0</v>
      </c>
      <c r="S154" s="185">
        <f t="shared" ca="1" si="671"/>
        <v>0</v>
      </c>
      <c r="T154" s="185">
        <f t="shared" ca="1" si="671"/>
        <v>0</v>
      </c>
      <c r="U154" s="185">
        <f t="shared" ca="1" si="671"/>
        <v>0</v>
      </c>
      <c r="V154" s="185">
        <f t="shared" ca="1" si="671"/>
        <v>0</v>
      </c>
      <c r="W154" s="185">
        <f t="shared" ca="1" si="671"/>
        <v>0</v>
      </c>
      <c r="X154" s="185">
        <f t="shared" ca="1" si="671"/>
        <v>0</v>
      </c>
      <c r="Y154" s="185">
        <f t="shared" ca="1" si="671"/>
        <v>0</v>
      </c>
      <c r="Z154" s="185">
        <f t="shared" ca="1" si="671"/>
        <v>0</v>
      </c>
      <c r="AA154" s="185">
        <f t="shared" ca="1" si="671"/>
        <v>0</v>
      </c>
      <c r="AB154" s="185">
        <f t="shared" ca="1" si="671"/>
        <v>0</v>
      </c>
      <c r="AC154" s="185">
        <f t="shared" ca="1" si="671"/>
        <v>0</v>
      </c>
      <c r="AD154" s="185">
        <f t="shared" ca="1" si="671"/>
        <v>0</v>
      </c>
      <c r="AE154" s="185">
        <f t="shared" ca="1" si="671"/>
        <v>0</v>
      </c>
      <c r="AF154" s="185">
        <f t="shared" ca="1" si="671"/>
        <v>0</v>
      </c>
      <c r="AG154" s="185">
        <f t="shared" ca="1" si="671"/>
        <v>0</v>
      </c>
      <c r="AH154" s="185">
        <f t="shared" ca="1" si="671"/>
        <v>0</v>
      </c>
      <c r="AI154" s="185">
        <f t="shared" ca="1" si="671"/>
        <v>0</v>
      </c>
      <c r="AJ154" s="185">
        <f t="shared" ca="1" si="671"/>
        <v>0</v>
      </c>
      <c r="AK154" s="185">
        <f t="shared" ca="1" si="671"/>
        <v>0</v>
      </c>
      <c r="AL154" s="185">
        <f t="shared" ca="1" si="671"/>
        <v>0</v>
      </c>
      <c r="AM154" s="185">
        <f t="shared" ca="1" si="671"/>
        <v>0</v>
      </c>
      <c r="AN154" s="185">
        <f t="shared" ca="1" si="671"/>
        <v>0</v>
      </c>
      <c r="AO154" s="185">
        <f t="shared" ca="1" si="671"/>
        <v>0</v>
      </c>
      <c r="AP154" s="185">
        <f t="shared" ca="1" si="671"/>
        <v>0</v>
      </c>
      <c r="AQ154" s="185">
        <f t="shared" ca="1" si="671"/>
        <v>0</v>
      </c>
      <c r="AR154" s="185">
        <f t="shared" ca="1" si="671"/>
        <v>0</v>
      </c>
      <c r="AS154" s="185">
        <f t="shared" ca="1" si="671"/>
        <v>0</v>
      </c>
      <c r="AT154" s="185">
        <f t="shared" ca="1" si="671"/>
        <v>0</v>
      </c>
      <c r="AU154" s="185">
        <f t="shared" ca="1" si="671"/>
        <v>0</v>
      </c>
      <c r="AV154" s="185">
        <f t="shared" ca="1" si="671"/>
        <v>0</v>
      </c>
      <c r="AW154" s="180"/>
      <c r="AX154" s="169">
        <f ca="1">SUM(G154:AW154)</f>
        <v>0</v>
      </c>
    </row>
    <row r="155" spans="1:50" x14ac:dyDescent="0.2">
      <c r="A155" s="317" t="s">
        <v>2267</v>
      </c>
      <c r="B155" s="102"/>
      <c r="C155" s="166"/>
      <c r="D155" s="158">
        <v>1</v>
      </c>
      <c r="F155" s="57" t="s">
        <v>2263</v>
      </c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150"/>
    </row>
    <row r="156" spans="1:50" hidden="1" x14ac:dyDescent="0.2">
      <c r="A156" s="172" t="str">
        <f ca="1">Language!A$594</f>
        <v>коэффициент загрузки</v>
      </c>
      <c r="B156" s="173"/>
      <c r="C156" s="173"/>
      <c r="D156" s="174"/>
      <c r="F156" s="57" t="s">
        <v>756</v>
      </c>
      <c r="G156" s="318">
        <f t="shared" ref="G156:AV156" si="672">IF(G$2&gt;Prj_Invest,1,0)</f>
        <v>1</v>
      </c>
      <c r="H156" s="318">
        <f t="shared" si="672"/>
        <v>1</v>
      </c>
      <c r="I156" s="318">
        <f t="shared" si="672"/>
        <v>1</v>
      </c>
      <c r="J156" s="318">
        <f t="shared" si="672"/>
        <v>1</v>
      </c>
      <c r="K156" s="318">
        <f t="shared" si="672"/>
        <v>1</v>
      </c>
      <c r="L156" s="318">
        <f t="shared" si="672"/>
        <v>1</v>
      </c>
      <c r="M156" s="318">
        <f t="shared" si="672"/>
        <v>1</v>
      </c>
      <c r="N156" s="318">
        <f t="shared" si="672"/>
        <v>1</v>
      </c>
      <c r="O156" s="318">
        <f t="shared" si="672"/>
        <v>1</v>
      </c>
      <c r="P156" s="318">
        <f t="shared" si="672"/>
        <v>1</v>
      </c>
      <c r="Q156" s="318">
        <f t="shared" si="672"/>
        <v>1</v>
      </c>
      <c r="R156" s="318">
        <f t="shared" si="672"/>
        <v>1</v>
      </c>
      <c r="S156" s="318">
        <f t="shared" si="672"/>
        <v>1</v>
      </c>
      <c r="T156" s="318">
        <f t="shared" si="672"/>
        <v>1</v>
      </c>
      <c r="U156" s="318">
        <f t="shared" si="672"/>
        <v>1</v>
      </c>
      <c r="V156" s="318">
        <f t="shared" si="672"/>
        <v>1</v>
      </c>
      <c r="W156" s="318">
        <f t="shared" si="672"/>
        <v>1</v>
      </c>
      <c r="X156" s="318">
        <f t="shared" si="672"/>
        <v>1</v>
      </c>
      <c r="Y156" s="318">
        <f t="shared" si="672"/>
        <v>1</v>
      </c>
      <c r="Z156" s="318">
        <f t="shared" si="672"/>
        <v>1</v>
      </c>
      <c r="AA156" s="318">
        <f t="shared" si="672"/>
        <v>1</v>
      </c>
      <c r="AB156" s="318">
        <f t="shared" si="672"/>
        <v>1</v>
      </c>
      <c r="AC156" s="318">
        <f t="shared" si="672"/>
        <v>1</v>
      </c>
      <c r="AD156" s="318">
        <f t="shared" si="672"/>
        <v>1</v>
      </c>
      <c r="AE156" s="318">
        <f t="shared" si="672"/>
        <v>1</v>
      </c>
      <c r="AF156" s="318">
        <f t="shared" si="672"/>
        <v>1</v>
      </c>
      <c r="AG156" s="318">
        <f t="shared" si="672"/>
        <v>1</v>
      </c>
      <c r="AH156" s="318">
        <f t="shared" si="672"/>
        <v>1</v>
      </c>
      <c r="AI156" s="318">
        <f t="shared" si="672"/>
        <v>1</v>
      </c>
      <c r="AJ156" s="318">
        <f t="shared" si="672"/>
        <v>1</v>
      </c>
      <c r="AK156" s="318">
        <f t="shared" si="672"/>
        <v>1</v>
      </c>
      <c r="AL156" s="318">
        <f t="shared" si="672"/>
        <v>1</v>
      </c>
      <c r="AM156" s="318">
        <f t="shared" si="672"/>
        <v>1</v>
      </c>
      <c r="AN156" s="318">
        <f t="shared" si="672"/>
        <v>1</v>
      </c>
      <c r="AO156" s="318">
        <f t="shared" si="672"/>
        <v>1</v>
      </c>
      <c r="AP156" s="318">
        <f t="shared" si="672"/>
        <v>1</v>
      </c>
      <c r="AQ156" s="318">
        <f t="shared" si="672"/>
        <v>1</v>
      </c>
      <c r="AR156" s="318">
        <f t="shared" si="672"/>
        <v>1</v>
      </c>
      <c r="AS156" s="318">
        <f t="shared" si="672"/>
        <v>1</v>
      </c>
      <c r="AT156" s="318">
        <f t="shared" si="672"/>
        <v>1</v>
      </c>
      <c r="AU156" s="318">
        <f t="shared" si="672"/>
        <v>1</v>
      </c>
      <c r="AV156" s="318">
        <f t="shared" si="672"/>
        <v>1</v>
      </c>
      <c r="AW156" s="175"/>
      <c r="AX156" s="117"/>
    </row>
    <row r="157" spans="1:50" x14ac:dyDescent="0.2">
      <c r="A157" s="172" t="str">
        <f ca="1">Language!A$595</f>
        <v>объем продаж за период</v>
      </c>
      <c r="B157" s="337"/>
      <c r="C157" s="313" t="s">
        <v>2248</v>
      </c>
      <c r="D157" s="174"/>
      <c r="E157" s="57" t="s">
        <v>950</v>
      </c>
      <c r="F157" s="57" t="s">
        <v>753</v>
      </c>
      <c r="G157" s="311">
        <f t="shared" ref="G157:AV157" si="673">G13</f>
        <v>0</v>
      </c>
      <c r="H157" s="311">
        <f t="shared" si="673"/>
        <v>0</v>
      </c>
      <c r="I157" s="311">
        <f t="shared" ca="1" si="673"/>
        <v>67</v>
      </c>
      <c r="J157" s="311">
        <f t="shared" ca="1" si="673"/>
        <v>67</v>
      </c>
      <c r="K157" s="311">
        <f t="shared" ca="1" si="673"/>
        <v>67</v>
      </c>
      <c r="L157" s="311">
        <f t="shared" ca="1" si="673"/>
        <v>67</v>
      </c>
      <c r="M157" s="311">
        <f t="shared" ca="1" si="673"/>
        <v>34</v>
      </c>
      <c r="N157" s="311">
        <f t="shared" ca="1" si="673"/>
        <v>34</v>
      </c>
      <c r="O157" s="311">
        <f t="shared" ca="1" si="673"/>
        <v>34</v>
      </c>
      <c r="P157" s="311">
        <f t="shared" ca="1" si="673"/>
        <v>34</v>
      </c>
      <c r="Q157" s="311">
        <f t="shared" ca="1" si="673"/>
        <v>12</v>
      </c>
      <c r="R157" s="311">
        <f t="shared" ca="1" si="673"/>
        <v>12</v>
      </c>
      <c r="S157" s="311">
        <f t="shared" ca="1" si="673"/>
        <v>12</v>
      </c>
      <c r="T157" s="311">
        <f t="shared" ca="1" si="673"/>
        <v>12</v>
      </c>
      <c r="U157" s="311">
        <f t="shared" ca="1" si="673"/>
        <v>67</v>
      </c>
      <c r="V157" s="311">
        <f t="shared" ca="1" si="673"/>
        <v>67</v>
      </c>
      <c r="W157" s="311">
        <f t="shared" ca="1" si="673"/>
        <v>67</v>
      </c>
      <c r="X157" s="311">
        <f t="shared" ca="1" si="673"/>
        <v>67</v>
      </c>
      <c r="Y157" s="311">
        <f t="shared" ca="1" si="673"/>
        <v>60</v>
      </c>
      <c r="Z157" s="311">
        <f t="shared" ca="1" si="673"/>
        <v>60</v>
      </c>
      <c r="AA157" s="311">
        <f t="shared" ca="1" si="673"/>
        <v>60</v>
      </c>
      <c r="AB157" s="311">
        <f t="shared" ca="1" si="673"/>
        <v>60</v>
      </c>
      <c r="AC157" s="311">
        <f t="shared" ca="1" si="673"/>
        <v>105</v>
      </c>
      <c r="AD157" s="311">
        <f t="shared" ca="1" si="673"/>
        <v>105</v>
      </c>
      <c r="AE157" s="311">
        <f t="shared" ca="1" si="673"/>
        <v>105</v>
      </c>
      <c r="AF157" s="311">
        <f t="shared" ca="1" si="673"/>
        <v>105</v>
      </c>
      <c r="AG157" s="311">
        <f t="shared" ca="1" si="673"/>
        <v>120</v>
      </c>
      <c r="AH157" s="311">
        <f t="shared" ca="1" si="673"/>
        <v>120</v>
      </c>
      <c r="AI157" s="311">
        <f t="shared" ca="1" si="673"/>
        <v>120</v>
      </c>
      <c r="AJ157" s="311">
        <f t="shared" ca="1" si="673"/>
        <v>120</v>
      </c>
      <c r="AK157" s="311">
        <f t="shared" ca="1" si="673"/>
        <v>117</v>
      </c>
      <c r="AL157" s="311">
        <f t="shared" ca="1" si="673"/>
        <v>117</v>
      </c>
      <c r="AM157" s="311">
        <f t="shared" ca="1" si="673"/>
        <v>117</v>
      </c>
      <c r="AN157" s="311">
        <f t="shared" ca="1" si="673"/>
        <v>117</v>
      </c>
      <c r="AO157" s="311">
        <f t="shared" ca="1" si="673"/>
        <v>117</v>
      </c>
      <c r="AP157" s="311">
        <f t="shared" ca="1" si="673"/>
        <v>117</v>
      </c>
      <c r="AQ157" s="311">
        <f t="shared" ca="1" si="673"/>
        <v>117</v>
      </c>
      <c r="AR157" s="311">
        <f t="shared" ca="1" si="673"/>
        <v>117</v>
      </c>
      <c r="AS157" s="311">
        <f t="shared" ca="1" si="673"/>
        <v>0</v>
      </c>
      <c r="AT157" s="311">
        <f t="shared" ca="1" si="673"/>
        <v>0</v>
      </c>
      <c r="AU157" s="311">
        <f t="shared" ca="1" si="673"/>
        <v>0</v>
      </c>
      <c r="AV157" s="311">
        <f t="shared" ca="1" si="673"/>
        <v>0</v>
      </c>
      <c r="AW157" s="148"/>
      <c r="AX157" s="171">
        <f ca="1">SUM(G157:AW157)</f>
        <v>2796</v>
      </c>
    </row>
    <row r="158" spans="1:50" x14ac:dyDescent="0.2">
      <c r="A158" s="83" t="str">
        <f ca="1">Language!A$596 &amp; C157 &amp; Language!A$1457</f>
        <v>цена за единицу (гол), без НДС</v>
      </c>
      <c r="B158" s="322">
        <v>110</v>
      </c>
      <c r="C158" s="146" t="str">
        <f ca="1">CHOOSE(D155,CurName1,CurName2,CurName3)</f>
        <v>тыс. руб.</v>
      </c>
      <c r="E158" s="57" t="s">
        <v>848</v>
      </c>
      <c r="F158" s="57" t="s">
        <v>756</v>
      </c>
      <c r="G158" s="323">
        <f t="shared" ref="G158" ca="1" si="674">IF(G$2=1,$B158,F158)*G169</f>
        <v>110</v>
      </c>
      <c r="H158" s="323">
        <f t="shared" ref="H158" ca="1" si="675">IF(H$2=1,$B158,G158)*H169</f>
        <v>111.61412307855252</v>
      </c>
      <c r="I158" s="323">
        <f t="shared" ref="I158" ca="1" si="676">IF(I$2=1,$B158,H158)*I169</f>
        <v>113.25193155085701</v>
      </c>
      <c r="J158" s="323">
        <f t="shared" ref="J158" ca="1" si="677">IF(J$2=1,$B158,I158)*J169</f>
        <v>114.91377297273782</v>
      </c>
      <c r="K158" s="323">
        <f t="shared" ref="K158" ca="1" si="678">IF(K$2=1,$B158,J158)*K169</f>
        <v>116.60000000000001</v>
      </c>
      <c r="L158" s="323">
        <f t="shared" ref="L158" ca="1" si="679">IF(L$2=1,$B158,K158)*L169</f>
        <v>118.31097046326569</v>
      </c>
      <c r="M158" s="323">
        <f t="shared" ref="M158" ca="1" si="680">IF(M$2=1,$B158,L158)*M169</f>
        <v>120.04704744390844</v>
      </c>
      <c r="N158" s="323">
        <f t="shared" ref="N158" ca="1" si="681">IF(N$2=1,$B158,M158)*N169</f>
        <v>121.8085993511021</v>
      </c>
      <c r="O158" s="323">
        <f t="shared" ref="O158" ca="1" si="682">IF(O$2=1,$B158,N158)*O169</f>
        <v>123.59600000000003</v>
      </c>
      <c r="P158" s="323">
        <f t="shared" ref="P158" ca="1" si="683">IF(P$2=1,$B158,O158)*P169</f>
        <v>125.40962869106164</v>
      </c>
      <c r="Q158" s="323">
        <f t="shared" ref="Q158" ca="1" si="684">IF(Q$2=1,$B158,P158)*Q169</f>
        <v>127.24987029054296</v>
      </c>
      <c r="R158" s="323">
        <f t="shared" ref="R158" ca="1" si="685">IF(R$2=1,$B158,Q158)*R169</f>
        <v>129.11711531216824</v>
      </c>
      <c r="S158" s="323">
        <f t="shared" ref="S158" ca="1" si="686">IF(S$2=1,$B158,R158)*S169</f>
        <v>131.01176000000004</v>
      </c>
      <c r="T158" s="323">
        <f t="shared" ref="T158" ca="1" si="687">IF(T$2=1,$B158,S158)*T169</f>
        <v>132.93420641252536</v>
      </c>
      <c r="U158" s="323">
        <f t="shared" ref="U158" ca="1" si="688">IF(U$2=1,$B158,T158)*U169</f>
        <v>134.88486250797555</v>
      </c>
      <c r="V158" s="323">
        <f t="shared" ref="V158" ca="1" si="689">IF(V$2=1,$B158,U158)*V169</f>
        <v>136.86414223089835</v>
      </c>
      <c r="W158" s="323">
        <f t="shared" ref="W158" ca="1" si="690">IF(W$2=1,$B158,V158)*W169</f>
        <v>138.87246560000006</v>
      </c>
      <c r="X158" s="323">
        <f t="shared" ref="X158" ca="1" si="691">IF(X$2=1,$B158,W158)*X169</f>
        <v>140.9102587972769</v>
      </c>
      <c r="Y158" s="323">
        <f t="shared" ref="Y158" ca="1" si="692">IF(Y$2=1,$B158,X158)*Y169</f>
        <v>142.9779542584541</v>
      </c>
      <c r="Z158" s="323">
        <f t="shared" ref="Z158" ca="1" si="693">IF(Z$2=1,$B158,Y158)*Z169</f>
        <v>145.07599076475228</v>
      </c>
      <c r="AA158" s="323">
        <f t="shared" ref="AA158" ca="1" si="694">IF(AA$2=1,$B158,Z158)*AA169</f>
        <v>147.2048135360001</v>
      </c>
      <c r="AB158" s="323">
        <f t="shared" ref="AB158" ca="1" si="695">IF(AB$2=1,$B158,AA158)*AB169</f>
        <v>149.36487432511353</v>
      </c>
      <c r="AC158" s="323">
        <f t="shared" ref="AC158" ca="1" si="696">IF(AC$2=1,$B158,AB158)*AC169</f>
        <v>151.55663151396138</v>
      </c>
      <c r="AD158" s="323">
        <f t="shared" ref="AD158" ca="1" si="697">IF(AD$2=1,$B158,AC158)*AD169</f>
        <v>153.78055021063744</v>
      </c>
      <c r="AE158" s="323">
        <f t="shared" ref="AE158" ca="1" si="698">IF(AE$2=1,$B158,AD158)*AE169</f>
        <v>156.03710234816012</v>
      </c>
      <c r="AF158" s="323">
        <f t="shared" ref="AF158" ca="1" si="699">IF(AF$2=1,$B158,AE158)*AF169</f>
        <v>158.32676678462036</v>
      </c>
      <c r="AG158" s="323">
        <f t="shared" ref="AG158" ca="1" si="700">IF(AG$2=1,$B158,AF158)*AG169</f>
        <v>160.65002940479908</v>
      </c>
      <c r="AH158" s="323">
        <f t="shared" ref="AH158" ca="1" si="701">IF(AH$2=1,$B158,AG158)*AH169</f>
        <v>163.0073832232757</v>
      </c>
      <c r="AI158" s="323">
        <f t="shared" ref="AI158" ca="1" si="702">IF(AI$2=1,$B158,AH158)*AI169</f>
        <v>165.39932848904974</v>
      </c>
      <c r="AJ158" s="323">
        <f t="shared" ref="AJ158" ca="1" si="703">IF(AJ$2=1,$B158,AI158)*AJ169</f>
        <v>167.82637279169759</v>
      </c>
      <c r="AK158" s="323">
        <f t="shared" ref="AK158" ca="1" si="704">IF(AK$2=1,$B158,AJ158)*AK169</f>
        <v>170.28903116908702</v>
      </c>
      <c r="AL158" s="323">
        <f t="shared" ref="AL158" ca="1" si="705">IF(AL$2=1,$B158,AK158)*AL169</f>
        <v>172.78782621667224</v>
      </c>
      <c r="AM158" s="323">
        <f t="shared" ref="AM158" ca="1" si="706">IF(AM$2=1,$B158,AL158)*AM169</f>
        <v>175.32328819839273</v>
      </c>
      <c r="AN158" s="323">
        <f t="shared" ref="AN158" ca="1" si="707">IF(AN$2=1,$B158,AM158)*AN169</f>
        <v>177.89595515919947</v>
      </c>
      <c r="AO158" s="323">
        <f t="shared" ref="AO158" ca="1" si="708">IF(AO$2=1,$B158,AN158)*AO169</f>
        <v>180.50637303923227</v>
      </c>
      <c r="AP158" s="323">
        <f t="shared" ref="AP158" ca="1" si="709">IF(AP$2=1,$B158,AO158)*AP169</f>
        <v>183.1550957896726</v>
      </c>
      <c r="AQ158" s="323">
        <f t="shared" ref="AQ158" ca="1" si="710">IF(AQ$2=1,$B158,AP158)*AQ169</f>
        <v>185.8426854902963</v>
      </c>
      <c r="AR158" s="323">
        <f t="shared" ref="AR158" ca="1" si="711">IF(AR$2=1,$B158,AQ158)*AR169</f>
        <v>188.56971246875145</v>
      </c>
      <c r="AS158" s="323">
        <f t="shared" ref="AS158" ca="1" si="712">IF(AS$2=1,$B158,AR158)*AS169</f>
        <v>191.33675542158622</v>
      </c>
      <c r="AT158" s="323">
        <f t="shared" ref="AT158" ca="1" si="713">IF(AT$2=1,$B158,AS158)*AT169</f>
        <v>194.14440153705297</v>
      </c>
      <c r="AU158" s="323">
        <f t="shared" ref="AU158" ca="1" si="714">IF(AU$2=1,$B158,AT158)*AU169</f>
        <v>196.99324661971411</v>
      </c>
      <c r="AV158" s="323">
        <f t="shared" ref="AV158" ca="1" si="715">IF(AV$2=1,$B158,AU158)*AV169</f>
        <v>199.88389521687657</v>
      </c>
      <c r="AW158" s="148"/>
      <c r="AX158" s="117"/>
    </row>
    <row r="159" spans="1:50" collapsed="1" x14ac:dyDescent="0.2">
      <c r="A159" s="83" t="str">
        <f ca="1">Language!A$597</f>
        <v>выручка от реализации, без НДС</v>
      </c>
      <c r="B159" s="157"/>
      <c r="C159" s="146" t="str">
        <f t="shared" ref="C159" ca="1" si="716">CHOOSE(D159,CurName1,CurName2,CurName3)</f>
        <v>тыс. руб.</v>
      </c>
      <c r="D159" s="155">
        <f>D155</f>
        <v>1</v>
      </c>
      <c r="E159" s="57" t="s">
        <v>992</v>
      </c>
      <c r="F159" s="57" t="s">
        <v>753</v>
      </c>
      <c r="G159" s="176">
        <f t="shared" ref="G159:AV159" ca="1" si="717">G157*G158</f>
        <v>0</v>
      </c>
      <c r="H159" s="176">
        <f t="shared" ca="1" si="717"/>
        <v>0</v>
      </c>
      <c r="I159" s="176">
        <f t="shared" ca="1" si="717"/>
        <v>7587.8794139074198</v>
      </c>
      <c r="J159" s="176">
        <f t="shared" ca="1" si="717"/>
        <v>7699.2227891734337</v>
      </c>
      <c r="K159" s="176">
        <f t="shared" ca="1" si="717"/>
        <v>7812.2000000000007</v>
      </c>
      <c r="L159" s="176">
        <f t="shared" ca="1" si="717"/>
        <v>7926.8350210388016</v>
      </c>
      <c r="M159" s="176">
        <f t="shared" ca="1" si="717"/>
        <v>4081.599613092887</v>
      </c>
      <c r="N159" s="176">
        <f t="shared" ca="1" si="717"/>
        <v>4141.4923779374712</v>
      </c>
      <c r="O159" s="176">
        <f t="shared" ca="1" si="717"/>
        <v>4202.264000000001</v>
      </c>
      <c r="P159" s="176">
        <f t="shared" ca="1" si="717"/>
        <v>4263.9273754960959</v>
      </c>
      <c r="Q159" s="176">
        <f t="shared" ca="1" si="717"/>
        <v>1526.9984434865155</v>
      </c>
      <c r="R159" s="176">
        <f t="shared" ca="1" si="717"/>
        <v>1549.4053837460187</v>
      </c>
      <c r="S159" s="176">
        <f t="shared" ca="1" si="717"/>
        <v>1572.1411200000005</v>
      </c>
      <c r="T159" s="176">
        <f t="shared" ca="1" si="717"/>
        <v>1595.2104769503044</v>
      </c>
      <c r="U159" s="176">
        <f t="shared" ca="1" si="717"/>
        <v>9037.2857880343618</v>
      </c>
      <c r="V159" s="176">
        <f t="shared" ca="1" si="717"/>
        <v>9169.8975294701904</v>
      </c>
      <c r="W159" s="176">
        <f t="shared" ca="1" si="717"/>
        <v>9304.4551952000038</v>
      </c>
      <c r="X159" s="176">
        <f t="shared" ca="1" si="717"/>
        <v>9440.987339417552</v>
      </c>
      <c r="Y159" s="176">
        <f t="shared" ca="1" si="717"/>
        <v>8578.6772555072457</v>
      </c>
      <c r="Z159" s="176">
        <f t="shared" ca="1" si="717"/>
        <v>8704.5594458851374</v>
      </c>
      <c r="AA159" s="176">
        <f t="shared" ca="1" si="717"/>
        <v>8832.2888121600063</v>
      </c>
      <c r="AB159" s="176">
        <f t="shared" ca="1" si="717"/>
        <v>8961.8924595068129</v>
      </c>
      <c r="AC159" s="176">
        <f t="shared" ca="1" si="717"/>
        <v>15913.446308965944</v>
      </c>
      <c r="AD159" s="176">
        <f t="shared" ca="1" si="717"/>
        <v>16146.957772116932</v>
      </c>
      <c r="AE159" s="176">
        <f t="shared" ca="1" si="717"/>
        <v>16383.895746556813</v>
      </c>
      <c r="AF159" s="176">
        <f t="shared" ca="1" si="717"/>
        <v>16624.310512385138</v>
      </c>
      <c r="AG159" s="176">
        <f t="shared" ca="1" si="717"/>
        <v>19278.00352857589</v>
      </c>
      <c r="AH159" s="176">
        <f t="shared" ca="1" si="717"/>
        <v>19560.885986793084</v>
      </c>
      <c r="AI159" s="176">
        <f t="shared" ca="1" si="717"/>
        <v>19847.919418685968</v>
      </c>
      <c r="AJ159" s="176">
        <f t="shared" ca="1" si="717"/>
        <v>20139.164735003713</v>
      </c>
      <c r="AK159" s="176">
        <f t="shared" ca="1" si="717"/>
        <v>19923.816646783183</v>
      </c>
      <c r="AL159" s="176">
        <f t="shared" ca="1" si="717"/>
        <v>20216.175667350653</v>
      </c>
      <c r="AM159" s="176">
        <f t="shared" ca="1" si="717"/>
        <v>20512.824719211949</v>
      </c>
      <c r="AN159" s="176">
        <f t="shared" ca="1" si="717"/>
        <v>20813.826753626337</v>
      </c>
      <c r="AO159" s="176">
        <f t="shared" ca="1" si="717"/>
        <v>21119.245645590177</v>
      </c>
      <c r="AP159" s="176">
        <f t="shared" ca="1" si="717"/>
        <v>21429.146207391695</v>
      </c>
      <c r="AQ159" s="176">
        <f t="shared" ca="1" si="717"/>
        <v>21743.594202364668</v>
      </c>
      <c r="AR159" s="176">
        <f t="shared" ca="1" si="717"/>
        <v>22062.65635884392</v>
      </c>
      <c r="AS159" s="176">
        <f t="shared" ca="1" si="717"/>
        <v>0</v>
      </c>
      <c r="AT159" s="176">
        <f t="shared" ca="1" si="717"/>
        <v>0</v>
      </c>
      <c r="AU159" s="176">
        <f t="shared" ca="1" si="717"/>
        <v>0</v>
      </c>
      <c r="AV159" s="176">
        <f t="shared" ca="1" si="717"/>
        <v>0</v>
      </c>
      <c r="AW159" s="177"/>
      <c r="AX159" s="178">
        <f ca="1">SUM(G159:AW159)</f>
        <v>437705.09005025635</v>
      </c>
    </row>
    <row r="160" spans="1:50" hidden="1" outlineLevel="1" x14ac:dyDescent="0.2">
      <c r="A160" s="179" t="str">
        <f ca="1">Language!A$598</f>
        <v>дебиторская задолженность</v>
      </c>
      <c r="B160" s="82"/>
      <c r="C160" s="82" t="str">
        <f ca="1">CHOOSE(D160,CurName1,CurName2,CurName3)</f>
        <v>тыс. руб.</v>
      </c>
      <c r="D160" s="155">
        <f>D155</f>
        <v>1</v>
      </c>
      <c r="E160" s="57" t="s">
        <v>994</v>
      </c>
      <c r="F160" s="57" t="s">
        <v>754</v>
      </c>
      <c r="G160" s="319">
        <f ca="1">IF(AND($B161=0,G$2&gt;1),F160,(G159+G170+G171)*$B161/Параметры!G$30)</f>
        <v>0</v>
      </c>
      <c r="H160" s="319">
        <f ca="1">IF(AND($B161=0,H$2&gt;1),G160,(H159+H170+H171)*$B161/Параметры!H$30)</f>
        <v>0</v>
      </c>
      <c r="I160" s="319">
        <f ca="1">IF(AND($B161=0,I$2&gt;1),H160,(I159+I170+I171)*$B161/Параметры!I$30)</f>
        <v>3060.4446969426594</v>
      </c>
      <c r="J160" s="319">
        <f ca="1">IF(AND($B161=0,J$2&gt;1),I160,(J159+J170+J171)*$B161/Параметры!J$30)</f>
        <v>3105.3531916332845</v>
      </c>
      <c r="K160" s="319">
        <f ca="1">IF(AND($B161=0,K$2&gt;1),J160,(K159+K170+K171)*$B161/Параметры!K$30)</f>
        <v>3150.9206666666664</v>
      </c>
      <c r="L160" s="319">
        <f ca="1">IF(AND($B161=0,L$2&gt;1),K160,(L159+L170+L171)*$B161/Параметры!L$30)</f>
        <v>3197.1567918189835</v>
      </c>
      <c r="M160" s="319">
        <f ca="1">IF(AND($B161=0,M$2&gt;1),L160,(M159+M170+M171)*$B161/Параметры!M$30)</f>
        <v>1646.2451772807979</v>
      </c>
      <c r="N160" s="319">
        <f ca="1">IF(AND($B161=0,N$2&gt;1),M160,(N159+N170+N171)*$B161/Параметры!N$30)</f>
        <v>1670.4019257681134</v>
      </c>
      <c r="O160" s="319">
        <f ca="1">IF(AND($B161=0,O$2&gt;1),N160,(O159+O170+O171)*$B161/Параметры!O$30)</f>
        <v>1694.9131466666672</v>
      </c>
      <c r="P160" s="319">
        <f ca="1">IF(AND($B161=0,P$2&gt;1),O160,(P159+P170+P171)*$B161/Параметры!P$30)</f>
        <v>1719.7840414500922</v>
      </c>
      <c r="Q160" s="319">
        <f ca="1">IF(AND($B161=0,Q$2&gt;1),P160,(Q159+Q170+Q171)*$B161/Параметры!Q$30)</f>
        <v>615.88937220622802</v>
      </c>
      <c r="R160" s="319">
        <f ca="1">IF(AND($B161=0,R$2&gt;1),Q160,(R159+R170+R171)*$B161/Параметры!R$30)</f>
        <v>624.92683811089421</v>
      </c>
      <c r="S160" s="319">
        <f ca="1">IF(AND($B161=0,S$2&gt;1),R160,(S159+S170+S171)*$B161/Параметры!S$30)</f>
        <v>634.09691840000028</v>
      </c>
      <c r="T160" s="319">
        <f ca="1">IF(AND($B161=0,T$2&gt;1),S160,(T159+T170+T171)*$B161/Параметры!T$30)</f>
        <v>643.40155903662276</v>
      </c>
      <c r="U160" s="319">
        <f ca="1">IF(AND($B161=0,U$2&gt;1),T160,(U159+U170+U171)*$B161/Параметры!U$30)</f>
        <v>3645.0386011738597</v>
      </c>
      <c r="V160" s="319">
        <f ca="1">IF(AND($B161=0,V$2&gt;1),U160,(V159+V170+V171)*$B161/Параметры!V$30)</f>
        <v>3698.52533688631</v>
      </c>
      <c r="W160" s="319">
        <f ca="1">IF(AND($B161=0,W$2&gt;1),V160,(W159+W170+W171)*$B161/Параметры!W$30)</f>
        <v>3752.7969287306687</v>
      </c>
      <c r="X160" s="319">
        <f ca="1">IF(AND($B161=0,X$2&gt;1),W160,(X159+X170+X171)*$B161/Параметры!X$30)</f>
        <v>3807.864893565079</v>
      </c>
      <c r="Y160" s="319">
        <f ca="1">IF(AND($B161=0,Y$2&gt;1),X160,(Y159+Y170+Y171)*$B161/Параметры!Y$30)</f>
        <v>3460.0664930545895</v>
      </c>
      <c r="Z160" s="319">
        <f ca="1">IF(AND($B161=0,Z$2&gt;1),Y160,(Z159+Z170+Z171)*$B161/Параметры!Z$30)</f>
        <v>3510.8389765070051</v>
      </c>
      <c r="AA160" s="319">
        <f ca="1">IF(AND($B161=0,AA$2&gt;1),Z160,(AA159+AA170+AA171)*$B161/Параметры!AA$30)</f>
        <v>3562.3564875712023</v>
      </c>
      <c r="AB160" s="319">
        <f ca="1">IF(AND($B161=0,AB$2&gt;1),AA160,(AB159+AB170+AB171)*$B161/Параметры!AB$30)</f>
        <v>3614.6299586677478</v>
      </c>
      <c r="AC160" s="319">
        <f ca="1">IF(AND($B161=0,AC$2&gt;1),AB160,(AC159+AC170+AC171)*$B161/Параметры!AC$30)</f>
        <v>6418.4233446162634</v>
      </c>
      <c r="AD160" s="319">
        <f ca="1">IF(AND($B161=0,AD$2&gt;1),AC160,(AD159+AD170+AD171)*$B161/Параметры!AD$30)</f>
        <v>6512.6063014204965</v>
      </c>
      <c r="AE160" s="319">
        <f ca="1">IF(AND($B161=0,AE$2&gt;1),AD160,(AE159+AE170+AE171)*$B161/Параметры!AE$30)</f>
        <v>6608.171284444581</v>
      </c>
      <c r="AF160" s="319">
        <f ca="1">IF(AND($B161=0,AF$2&gt;1),AE160,(AF159+AF170+AF171)*$B161/Параметры!AF$30)</f>
        <v>6705.1385733286725</v>
      </c>
      <c r="AG160" s="319">
        <f ca="1">IF(AND($B161=0,AG$2&gt;1),AF160,(AG159+AG170+AG171)*$B161/Параметры!AG$30)</f>
        <v>7775.4614231922751</v>
      </c>
      <c r="AH160" s="319">
        <f ca="1">IF(AND($B161=0,AH$2&gt;1),AG160,(AH159+AH170+AH171)*$B161/Параметры!AH$30)</f>
        <v>7889.5573480065432</v>
      </c>
      <c r="AI160" s="319">
        <f ca="1">IF(AND($B161=0,AI$2&gt;1),AH160,(AI159+AI170+AI171)*$B161/Параметры!AI$30)</f>
        <v>8005.3274988700068</v>
      </c>
      <c r="AJ160" s="319">
        <f ca="1">IF(AND($B161=0,AJ$2&gt;1),AI160,(AJ159+AJ170+AJ171)*$B161/Параметры!AJ$30)</f>
        <v>8122.7964431181645</v>
      </c>
      <c r="AK160" s="319">
        <f ca="1">IF(AND($B161=0,AK$2&gt;1),AJ160,(AK159+AK170+AK171)*$B161/Параметры!AK$30)</f>
        <v>8035.9393808692175</v>
      </c>
      <c r="AL160" s="319">
        <f ca="1">IF(AND($B161=0,AL$2&gt;1),AK160,(AL159+AL170+AL171)*$B161/Параметры!AL$30)</f>
        <v>8153.8575191647633</v>
      </c>
      <c r="AM160" s="319">
        <f ca="1">IF(AND($B161=0,AM$2&gt;1),AL160,(AM159+AM170+AM171)*$B161/Параметры!AM$30)</f>
        <v>8273.5059700821548</v>
      </c>
      <c r="AN160" s="319">
        <f ca="1">IF(AND($B161=0,AN$2&gt;1),AM160,(AN159+AN170+AN171)*$B161/Параметры!AN$30)</f>
        <v>8394.9101239626234</v>
      </c>
      <c r="AO160" s="319">
        <f ca="1">IF(AND($B161=0,AO$2&gt;1),AN160,(AO159+AO170+AO171)*$B161/Параметры!AO$30)</f>
        <v>8518.095743721371</v>
      </c>
      <c r="AP160" s="319">
        <f ca="1">IF(AND($B161=0,AP$2&gt;1),AO160,(AP159+AP170+AP171)*$B161/Параметры!AP$30)</f>
        <v>8643.0889703146513</v>
      </c>
      <c r="AQ160" s="319">
        <f ca="1">IF(AND($B161=0,AQ$2&gt;1),AP160,(AQ159+AQ170+AQ171)*$B161/Параметры!AQ$30)</f>
        <v>8769.9163282870813</v>
      </c>
      <c r="AR160" s="319">
        <f ca="1">IF(AND($B161=0,AR$2&gt;1),AQ160,(AR159+AR170+AR171)*$B161/Параметры!AR$30)</f>
        <v>8898.6047314003808</v>
      </c>
      <c r="AS160" s="319">
        <f ca="1">IF(AND($B161=0,AS$2&gt;1),AR160,(AS159+AS170+AS171)*$B161/Параметры!AS$30)</f>
        <v>0</v>
      </c>
      <c r="AT160" s="319">
        <f ca="1">IF(AND($B161=0,AT$2&gt;1),AS160,(AT159+AT170+AT171)*$B161/Параметры!AT$30)</f>
        <v>0</v>
      </c>
      <c r="AU160" s="319">
        <f ca="1">IF(AND($B161=0,AU$2&gt;1),AT160,(AU159+AU170+AU171)*$B161/Параметры!AU$30)</f>
        <v>0</v>
      </c>
      <c r="AV160" s="319">
        <f ca="1">IF(AND($B161=0,AV$2&gt;1),AU160,(AV159+AV170+AV171)*$B161/Параметры!AV$30)</f>
        <v>0</v>
      </c>
      <c r="AW160" s="180"/>
      <c r="AX160" s="87"/>
    </row>
    <row r="161" spans="1:50" hidden="1" outlineLevel="1" x14ac:dyDescent="0.2">
      <c r="A161" s="181" t="str">
        <f ca="1">Language!A$599</f>
        <v>средний период отсрочки платежа</v>
      </c>
      <c r="B161" s="320">
        <f>$B$618</f>
        <v>33</v>
      </c>
      <c r="C161" s="152" t="str">
        <f ca="1">Language!$A$1446</f>
        <v>дней</v>
      </c>
      <c r="D161" s="100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48"/>
      <c r="AX161" s="150"/>
    </row>
    <row r="162" spans="1:50" hidden="1" outlineLevel="1" x14ac:dyDescent="0.2">
      <c r="A162" s="179" t="str">
        <f ca="1">Language!A$600</f>
        <v xml:space="preserve">авансы полученные </v>
      </c>
      <c r="B162" s="82"/>
      <c r="C162" s="103" t="str">
        <f ca="1">CHOOSE(D162,CurName1,CurName2,CurName3)</f>
        <v>тыс. руб.</v>
      </c>
      <c r="D162" s="155">
        <f>D155</f>
        <v>1</v>
      </c>
      <c r="E162" s="57" t="s">
        <v>995</v>
      </c>
      <c r="F162" s="57" t="s">
        <v>754</v>
      </c>
      <c r="G162" s="316">
        <f ca="1">IF(AND($B163=0,G$2&gt;1),F162,(OFFSET(G159,0,1)+OFFSET(G170,0,1)+OFFSET(G171,0,1))*$B163/Параметры!G$30)</f>
        <v>0</v>
      </c>
      <c r="H162" s="316">
        <f ca="1">IF(AND($B163=0,H$2&gt;1),G162,(OFFSET(H159,0,1)+OFFSET(H170,0,1)+OFFSET(H171,0,1))*$B163/Параметры!H$30)</f>
        <v>0</v>
      </c>
      <c r="I162" s="316">
        <f ca="1">IF(AND($B163=0,I$2&gt;1),H162,(OFFSET(I159,0,1)+OFFSET(I170,0,1)+OFFSET(I171,0,1))*$B163/Параметры!I$30)</f>
        <v>0</v>
      </c>
      <c r="J162" s="316">
        <f ca="1">IF(AND($B163=0,J$2&gt;1),I162,(OFFSET(J159,0,1)+OFFSET(J170,0,1)+OFFSET(J171,0,1))*$B163/Параметры!J$30)</f>
        <v>0</v>
      </c>
      <c r="K162" s="316">
        <f ca="1">IF(AND($B163=0,K$2&gt;1),J162,(OFFSET(K159,0,1)+OFFSET(K170,0,1)+OFFSET(K171,0,1))*$B163/Параметры!K$30)</f>
        <v>0</v>
      </c>
      <c r="L162" s="316">
        <f ca="1">IF(AND($B163=0,L$2&gt;1),K162,(OFFSET(L159,0,1)+OFFSET(L170,0,1)+OFFSET(L171,0,1))*$B163/Параметры!L$30)</f>
        <v>0</v>
      </c>
      <c r="M162" s="316">
        <f ca="1">IF(AND($B163=0,M$2&gt;1),L162,(OFFSET(M159,0,1)+OFFSET(M170,0,1)+OFFSET(M171,0,1))*$B163/Параметры!M$30)</f>
        <v>0</v>
      </c>
      <c r="N162" s="316">
        <f ca="1">IF(AND($B163=0,N$2&gt;1),M162,(OFFSET(N159,0,1)+OFFSET(N170,0,1)+OFFSET(N171,0,1))*$B163/Параметры!N$30)</f>
        <v>0</v>
      </c>
      <c r="O162" s="316">
        <f ca="1">IF(AND($B163=0,O$2&gt;1),N162,(OFFSET(O159,0,1)+OFFSET(O170,0,1)+OFFSET(O171,0,1))*$B163/Параметры!O$30)</f>
        <v>0</v>
      </c>
      <c r="P162" s="316">
        <f ca="1">IF(AND($B163=0,P$2&gt;1),O162,(OFFSET(P159,0,1)+OFFSET(P170,0,1)+OFFSET(P171,0,1))*$B163/Параметры!P$30)</f>
        <v>0</v>
      </c>
      <c r="Q162" s="316">
        <f ca="1">IF(AND($B163=0,Q$2&gt;1),P162,(OFFSET(Q159,0,1)+OFFSET(Q170,0,1)+OFFSET(Q171,0,1))*$B163/Параметры!Q$30)</f>
        <v>0</v>
      </c>
      <c r="R162" s="316">
        <f ca="1">IF(AND($B163=0,R$2&gt;1),Q162,(OFFSET(R159,0,1)+OFFSET(R170,0,1)+OFFSET(R171,0,1))*$B163/Параметры!R$30)</f>
        <v>0</v>
      </c>
      <c r="S162" s="316">
        <f ca="1">IF(AND($B163=0,S$2&gt;1),R162,(OFFSET(S159,0,1)+OFFSET(S170,0,1)+OFFSET(S171,0,1))*$B163/Параметры!S$30)</f>
        <v>0</v>
      </c>
      <c r="T162" s="316">
        <f ca="1">IF(AND($B163=0,T$2&gt;1),S162,(OFFSET(T159,0,1)+OFFSET(T170,0,1)+OFFSET(T171,0,1))*$B163/Параметры!T$30)</f>
        <v>0</v>
      </c>
      <c r="U162" s="316">
        <f ca="1">IF(AND($B163=0,U$2&gt;1),T162,(OFFSET(U159,0,1)+OFFSET(U170,0,1)+OFFSET(U171,0,1))*$B163/Параметры!U$30)</f>
        <v>0</v>
      </c>
      <c r="V162" s="316">
        <f ca="1">IF(AND($B163=0,V$2&gt;1),U162,(OFFSET(V159,0,1)+OFFSET(V170,0,1)+OFFSET(V171,0,1))*$B163/Параметры!V$30)</f>
        <v>0</v>
      </c>
      <c r="W162" s="316">
        <f ca="1">IF(AND($B163=0,W$2&gt;1),V162,(OFFSET(W159,0,1)+OFFSET(W170,0,1)+OFFSET(W171,0,1))*$B163/Параметры!W$30)</f>
        <v>0</v>
      </c>
      <c r="X162" s="316">
        <f ca="1">IF(AND($B163=0,X$2&gt;1),W162,(OFFSET(X159,0,1)+OFFSET(X170,0,1)+OFFSET(X171,0,1))*$B163/Параметры!X$30)</f>
        <v>0</v>
      </c>
      <c r="Y162" s="316">
        <f ca="1">IF(AND($B163=0,Y$2&gt;1),X162,(OFFSET(Y159,0,1)+OFFSET(Y170,0,1)+OFFSET(Y171,0,1))*$B163/Параметры!Y$30)</f>
        <v>0</v>
      </c>
      <c r="Z162" s="316">
        <f ca="1">IF(AND($B163=0,Z$2&gt;1),Y162,(OFFSET(Z159,0,1)+OFFSET(Z170,0,1)+OFFSET(Z171,0,1))*$B163/Параметры!Z$30)</f>
        <v>0</v>
      </c>
      <c r="AA162" s="316">
        <f ca="1">IF(AND($B163=0,AA$2&gt;1),Z162,(OFFSET(AA159,0,1)+OFFSET(AA170,0,1)+OFFSET(AA171,0,1))*$B163/Параметры!AA$30)</f>
        <v>0</v>
      </c>
      <c r="AB162" s="316">
        <f ca="1">IF(AND($B163=0,AB$2&gt;1),AA162,(OFFSET(AB159,0,1)+OFFSET(AB170,0,1)+OFFSET(AB171,0,1))*$B163/Параметры!AB$30)</f>
        <v>0</v>
      </c>
      <c r="AC162" s="316">
        <f ca="1">IF(AND($B163=0,AC$2&gt;1),AB162,(OFFSET(AC159,0,1)+OFFSET(AC170,0,1)+OFFSET(AC171,0,1))*$B163/Параметры!AC$30)</f>
        <v>0</v>
      </c>
      <c r="AD162" s="316">
        <f ca="1">IF(AND($B163=0,AD$2&gt;1),AC162,(OFFSET(AD159,0,1)+OFFSET(AD170,0,1)+OFFSET(AD171,0,1))*$B163/Параметры!AD$30)</f>
        <v>0</v>
      </c>
      <c r="AE162" s="316">
        <f ca="1">IF(AND($B163=0,AE$2&gt;1),AD162,(OFFSET(AE159,0,1)+OFFSET(AE170,0,1)+OFFSET(AE171,0,1))*$B163/Параметры!AE$30)</f>
        <v>0</v>
      </c>
      <c r="AF162" s="316">
        <f ca="1">IF(AND($B163=0,AF$2&gt;1),AE162,(OFFSET(AF159,0,1)+OFFSET(AF170,0,1)+OFFSET(AF171,0,1))*$B163/Параметры!AF$30)</f>
        <v>0</v>
      </c>
      <c r="AG162" s="316">
        <f ca="1">IF(AND($B163=0,AG$2&gt;1),AF162,(OFFSET(AG159,0,1)+OFFSET(AG170,0,1)+OFFSET(AG171,0,1))*$B163/Параметры!AG$30)</f>
        <v>0</v>
      </c>
      <c r="AH162" s="316">
        <f ca="1">IF(AND($B163=0,AH$2&gt;1),AG162,(OFFSET(AH159,0,1)+OFFSET(AH170,0,1)+OFFSET(AH171,0,1))*$B163/Параметры!AH$30)</f>
        <v>0</v>
      </c>
      <c r="AI162" s="316">
        <f ca="1">IF(AND($B163=0,AI$2&gt;1),AH162,(OFFSET(AI159,0,1)+OFFSET(AI170,0,1)+OFFSET(AI171,0,1))*$B163/Параметры!AI$30)</f>
        <v>0</v>
      </c>
      <c r="AJ162" s="316">
        <f ca="1">IF(AND($B163=0,AJ$2&gt;1),AI162,(OFFSET(AJ159,0,1)+OFFSET(AJ170,0,1)+OFFSET(AJ171,0,1))*$B163/Параметры!AJ$30)</f>
        <v>0</v>
      </c>
      <c r="AK162" s="316">
        <f ca="1">IF(AND($B163=0,AK$2&gt;1),AJ162,(OFFSET(AK159,0,1)+OFFSET(AK170,0,1)+OFFSET(AK171,0,1))*$B163/Параметры!AK$30)</f>
        <v>0</v>
      </c>
      <c r="AL162" s="316">
        <f ca="1">IF(AND($B163=0,AL$2&gt;1),AK162,(OFFSET(AL159,0,1)+OFFSET(AL170,0,1)+OFFSET(AL171,0,1))*$B163/Параметры!AL$30)</f>
        <v>0</v>
      </c>
      <c r="AM162" s="316">
        <f ca="1">IF(AND($B163=0,AM$2&gt;1),AL162,(OFFSET(AM159,0,1)+OFFSET(AM170,0,1)+OFFSET(AM171,0,1))*$B163/Параметры!AM$30)</f>
        <v>0</v>
      </c>
      <c r="AN162" s="316">
        <f ca="1">IF(AND($B163=0,AN$2&gt;1),AM162,(OFFSET(AN159,0,1)+OFFSET(AN170,0,1)+OFFSET(AN171,0,1))*$B163/Параметры!AN$30)</f>
        <v>0</v>
      </c>
      <c r="AO162" s="316">
        <f ca="1">IF(AND($B163=0,AO$2&gt;1),AN162,(OFFSET(AO159,0,1)+OFFSET(AO170,0,1)+OFFSET(AO171,0,1))*$B163/Параметры!AO$30)</f>
        <v>0</v>
      </c>
      <c r="AP162" s="316">
        <f ca="1">IF(AND($B163=0,AP$2&gt;1),AO162,(OFFSET(AP159,0,1)+OFFSET(AP170,0,1)+OFFSET(AP171,0,1))*$B163/Параметры!AP$30)</f>
        <v>0</v>
      </c>
      <c r="AQ162" s="316">
        <f ca="1">IF(AND($B163=0,AQ$2&gt;1),AP162,(OFFSET(AQ159,0,1)+OFFSET(AQ170,0,1)+OFFSET(AQ171,0,1))*$B163/Параметры!AQ$30)</f>
        <v>0</v>
      </c>
      <c r="AR162" s="316">
        <f ca="1">IF(AND($B163=0,AR$2&gt;1),AQ162,(OFFSET(AR159,0,1)+OFFSET(AR170,0,1)+OFFSET(AR171,0,1))*$B163/Параметры!AR$30)</f>
        <v>0</v>
      </c>
      <c r="AS162" s="316">
        <f ca="1">IF(AND($B163=0,AS$2&gt;1),AR162,(OFFSET(AS159,0,1)+OFFSET(AS170,0,1)+OFFSET(AS171,0,1))*$B163/Параметры!AS$30)</f>
        <v>0</v>
      </c>
      <c r="AT162" s="316">
        <f ca="1">IF(AND($B163=0,AT$2&gt;1),AS162,(OFFSET(AT159,0,1)+OFFSET(AT170,0,1)+OFFSET(AT171,0,1))*$B163/Параметры!AT$30)</f>
        <v>0</v>
      </c>
      <c r="AU162" s="316">
        <f ca="1">IF(AND($B163=0,AU$2&gt;1),AT162,(OFFSET(AU159,0,1)+OFFSET(AU170,0,1)+OFFSET(AU171,0,1))*$B163/Параметры!AU$30)</f>
        <v>0</v>
      </c>
      <c r="AV162" s="316">
        <f ca="1">IF(AND($B163=0,AV$2&gt;1),AU162,(OFFSET(AV159,0,1)+OFFSET(AV170,0,1)+OFFSET(AV171,0,1))*$B163/Параметры!AV$30)</f>
        <v>0</v>
      </c>
      <c r="AW162" s="168"/>
      <c r="AX162" s="182"/>
    </row>
    <row r="163" spans="1:50" hidden="1" outlineLevel="1" x14ac:dyDescent="0.2">
      <c r="A163" s="181" t="str">
        <f ca="1">Language!A$601</f>
        <v>средний период предоплаты</v>
      </c>
      <c r="B163" s="320">
        <f>$B$624</f>
        <v>0</v>
      </c>
      <c r="C163" s="152" t="str">
        <f ca="1">Language!$A$1446</f>
        <v>дней</v>
      </c>
      <c r="D163" s="100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48"/>
      <c r="AX163" s="150"/>
    </row>
    <row r="164" spans="1:50" hidden="1" outlineLevel="1" x14ac:dyDescent="0.2">
      <c r="A164" s="179" t="str">
        <f ca="1">Language!A$602</f>
        <v>поступление денежных средств, с НДС</v>
      </c>
      <c r="B164" s="52"/>
      <c r="C164" s="103" t="str">
        <f ca="1">CHOOSE(D164,CurName1,CurName2,CurName3)</f>
        <v>тыс. руб.</v>
      </c>
      <c r="D164" s="155">
        <f>D155</f>
        <v>1</v>
      </c>
      <c r="E164" s="57" t="s">
        <v>993</v>
      </c>
      <c r="F164" s="57" t="s">
        <v>753</v>
      </c>
      <c r="G164" s="180">
        <f ca="1">G159+G170+G171-IF(G$2=1,G160,G160-F160)+IF(G$2=1,G162,G162-F162)</f>
        <v>0</v>
      </c>
      <c r="H164" s="180">
        <f t="shared" ref="H164" ca="1" si="718">H159+H170+H171-IF(H$2=1,H160,H160-G160)+IF(H$2=1,H162,H162-G162)</f>
        <v>0</v>
      </c>
      <c r="I164" s="180">
        <f t="shared" ref="I164" ca="1" si="719">I159+I170+I171-IF(I$2=1,I160,I160-H160)+IF(I$2=1,I162,I162-H162)</f>
        <v>5286.2226583555021</v>
      </c>
      <c r="J164" s="180">
        <f t="shared" ref="J164" ca="1" si="720">J159+J170+J171-IF(J$2=1,J160,J160-I160)+IF(J$2=1,J162,J162-I162)</f>
        <v>8424.2365734001505</v>
      </c>
      <c r="K164" s="180">
        <f t="shared" ref="K164" ca="1" si="721">K159+K170+K171-IF(K$2=1,K160,K160-J160)+IF(K$2=1,K162,K162-J162)</f>
        <v>8547.8525249666181</v>
      </c>
      <c r="L164" s="180">
        <f t="shared" ref="L164" ca="1" si="722">L159+L170+L171-IF(L$2=1,L160,L160-K160)+IF(L$2=1,L162,L162-K162)</f>
        <v>8673.282397990366</v>
      </c>
      <c r="M164" s="180">
        <f t="shared" ref="M164" ca="1" si="723">M159+M170+M171-IF(M$2=1,M160,M160-L160)+IF(M$2=1,M162,M162-L162)</f>
        <v>6040.6711889403614</v>
      </c>
      <c r="N164" s="180">
        <f t="shared" ref="N164" ca="1" si="724">N159+N170+N171-IF(N$2=1,N160,N160-M160)+IF(N$2=1,N162,N162-M162)</f>
        <v>4531.484867243903</v>
      </c>
      <c r="O164" s="180">
        <f t="shared" ref="O164" ca="1" si="725">O159+O170+O171-IF(O$2=1,O160,O160-N160)+IF(O$2=1,O162,O162-N162)</f>
        <v>4597.9791791014477</v>
      </c>
      <c r="P164" s="180">
        <f t="shared" ref="P164" ca="1" si="726">P159+P170+P171-IF(P$2=1,P160,P160-O160)+IF(P$2=1,P162,P162-O162)</f>
        <v>4665.4492182622807</v>
      </c>
      <c r="Q164" s="180">
        <f t="shared" ref="Q164" ca="1" si="727">Q159+Q170+Q171-IF(Q$2=1,Q160,Q160-P160)+IF(Q$2=1,Q162,Q162-P162)</f>
        <v>2783.5929570790313</v>
      </c>
      <c r="R164" s="180">
        <f t="shared" ref="R164" ca="1" si="728">R159+R170+R171-IF(R$2=1,R160,R160-Q160)+IF(R$2=1,R162,R162-Q162)</f>
        <v>1695.3084562159543</v>
      </c>
      <c r="S164" s="180">
        <f t="shared" ref="S164" ca="1" si="729">S159+S170+S171-IF(S$2=1,S160,S160-R160)+IF(S$2=1,S162,S162-R162)</f>
        <v>1720.1851517108944</v>
      </c>
      <c r="T164" s="180">
        <f t="shared" ref="T164" ca="1" si="730">T159+T170+T171-IF(T$2=1,T160,T160-S160)+IF(T$2=1,T162,T162-S162)</f>
        <v>1745.4268840087122</v>
      </c>
      <c r="U164" s="180">
        <f t="shared" ref="U164" ca="1" si="731">U159+U170+U171-IF(U$2=1,U160,U160-T160)+IF(U$2=1,U162,U162-T162)</f>
        <v>6939.377324700562</v>
      </c>
      <c r="V164" s="180">
        <f t="shared" ref="V164" ca="1" si="732">V159+V170+V171-IF(V$2=1,V160,V160-U160)+IF(V$2=1,V162,V162-U162)</f>
        <v>10033.400546704757</v>
      </c>
      <c r="W164" s="180">
        <f t="shared" ref="W164" ca="1" si="733">W159+W170+W171-IF(W$2=1,W160,W160-V160)+IF(W$2=1,W162,W162-V162)</f>
        <v>10180.629122875645</v>
      </c>
      <c r="X164" s="180">
        <f t="shared" ref="X164" ca="1" si="734">X159+X170+X171-IF(X$2=1,X160,X160-W160)+IF(X$2=1,X162,X162-W162)</f>
        <v>10330.018108524897</v>
      </c>
      <c r="Y164" s="180">
        <f t="shared" ref="Y164" ca="1" si="735">Y159+Y170+Y171-IF(Y$2=1,Y160,Y160-X160)+IF(Y$2=1,Y162,Y162-X162)</f>
        <v>9784.3433815684602</v>
      </c>
      <c r="Z164" s="180">
        <f t="shared" ref="Z164" ca="1" si="736">Z159+Z170+Z171-IF(Z$2=1,Z160,Z160-Y160)+IF(Z$2=1,Z162,Z162-Y162)</f>
        <v>9524.2429070212347</v>
      </c>
      <c r="AA164" s="180">
        <f t="shared" ref="AA164" ca="1" si="737">AA159+AA170+AA171-IF(AA$2=1,AA160,AA160-Z160)+IF(AA$2=1,AA162,AA162-Z162)</f>
        <v>9664.0001823118091</v>
      </c>
      <c r="AB164" s="180">
        <f t="shared" ref="AB164" ca="1" si="738">AB159+AB170+AB171-IF(AB$2=1,AB160,AB160-AA160)+IF(AB$2=1,AB162,AB162-AA162)</f>
        <v>9805.8082343609494</v>
      </c>
      <c r="AC164" s="180">
        <f t="shared" ref="AC164" ca="1" si="739">AC159+AC170+AC171-IF(AC$2=1,AC160,AC160-AB160)+IF(AC$2=1,AC162,AC162-AB162)</f>
        <v>14700.997553914021</v>
      </c>
      <c r="AD164" s="180">
        <f t="shared" ref="AD164" ca="1" si="740">AD159+AD170+AD171-IF(AD$2=1,AD160,AD160-AC160)+IF(AD$2=1,AD162,AD162-AC162)</f>
        <v>17667.470592524391</v>
      </c>
      <c r="AE164" s="180">
        <f t="shared" ref="AE164" ca="1" si="741">AE159+AE170+AE171-IF(AE$2=1,AE160,AE160-AD160)+IF(AE$2=1,AE162,AE162-AD162)</f>
        <v>17926.72033818841</v>
      </c>
      <c r="AF164" s="180">
        <f t="shared" ref="AF164" ca="1" si="742">AF159+AF170+AF171-IF(AF$2=1,AF160,AF160-AE160)+IF(AF$2=1,AF162,AF162-AE162)</f>
        <v>18189.77427473956</v>
      </c>
      <c r="AG164" s="180">
        <f t="shared" ref="AG164" ca="1" si="743">AG159+AG170+AG171-IF(AG$2=1,AG160,AG160-AF160)+IF(AG$2=1,AG162,AG162-AF162)</f>
        <v>20135.481031569878</v>
      </c>
      <c r="AH164" s="180">
        <f t="shared" ref="AH164" ca="1" si="744">AH159+AH170+AH171-IF(AH$2=1,AH160,AH160-AG160)+IF(AH$2=1,AH162,AH162-AG162)</f>
        <v>21402.878660658123</v>
      </c>
      <c r="AI164" s="180">
        <f t="shared" ref="AI164" ca="1" si="745">AI159+AI170+AI171-IF(AI$2=1,AI160,AI160-AH160)+IF(AI$2=1,AI162,AI162-AH162)</f>
        <v>21716.9412096911</v>
      </c>
      <c r="AJ164" s="180">
        <f t="shared" ref="AJ164" ca="1" si="746">AJ159+AJ170+AJ171-IF(AJ$2=1,AJ160,AJ160-AI160)+IF(AJ$2=1,AJ162,AJ162-AI162)</f>
        <v>22035.612264255928</v>
      </c>
      <c r="AK164" s="180">
        <f t="shared" ref="AK164" ca="1" si="747">AK159+AK170+AK171-IF(AK$2=1,AK160,AK160-AJ160)+IF(AK$2=1,AK162,AK162-AJ162)</f>
        <v>22003.055373710449</v>
      </c>
      <c r="AL164" s="180">
        <f t="shared" ref="AL164" ca="1" si="748">AL159+AL170+AL171-IF(AL$2=1,AL160,AL160-AK160)+IF(AL$2=1,AL162,AL162-AK162)</f>
        <v>22119.875095790172</v>
      </c>
      <c r="AM164" s="180">
        <f t="shared" ref="AM164" ca="1" si="749">AM159+AM170+AM171-IF(AM$2=1,AM160,AM160-AL160)+IF(AM$2=1,AM162,AM162-AL162)</f>
        <v>22444.458740215756</v>
      </c>
      <c r="AN164" s="180">
        <f t="shared" ref="AN164" ca="1" si="750">AN159+AN170+AN171-IF(AN$2=1,AN160,AN160-AM160)+IF(AN$2=1,AN162,AN162-AM162)</f>
        <v>22773.805275108505</v>
      </c>
      <c r="AO164" s="180">
        <f t="shared" ref="AO164" ca="1" si="751">AO159+AO170+AO171-IF(AO$2=1,AO160,AO160-AN160)+IF(AO$2=1,AO162,AO162-AN162)</f>
        <v>23107.984590390446</v>
      </c>
      <c r="AP164" s="180">
        <f t="shared" ref="AP164" ca="1" si="752">AP159+AP170+AP171-IF(AP$2=1,AP160,AP160-AO160)+IF(AP$2=1,AP162,AP162-AO162)</f>
        <v>23447.067601537587</v>
      </c>
      <c r="AQ164" s="180">
        <f t="shared" ref="AQ164" ca="1" si="753">AQ159+AQ170+AQ171-IF(AQ$2=1,AQ160,AQ160-AP160)+IF(AQ$2=1,AQ162,AQ162-AP162)</f>
        <v>23791.126264628703</v>
      </c>
      <c r="AR164" s="180">
        <f t="shared" ref="AR164" ca="1" si="754">AR159+AR170+AR171-IF(AR$2=1,AR160,AR160-AQ160)+IF(AR$2=1,AR162,AR162-AQ162)</f>
        <v>24140.233591615011</v>
      </c>
      <c r="AS164" s="180">
        <f t="shared" ref="AS164" ca="1" si="755">AS159+AS170+AS171-IF(AS$2=1,AS160,AS160-AR160)+IF(AS$2=1,AS162,AS162-AR162)</f>
        <v>8898.6047314003808</v>
      </c>
      <c r="AT164" s="180">
        <f t="shared" ref="AT164" ca="1" si="756">AT159+AT170+AT171-IF(AT$2=1,AT160,AT160-AS160)+IF(AT$2=1,AT162,AT162-AS162)</f>
        <v>0</v>
      </c>
      <c r="AU164" s="180">
        <f t="shared" ref="AU164" ca="1" si="757">AU159+AU170+AU171-IF(AU$2=1,AU160,AU160-AT160)+IF(AU$2=1,AU162,AU162-AT162)</f>
        <v>0</v>
      </c>
      <c r="AV164" s="180">
        <f t="shared" ref="AV164" ca="1" si="758">AV159+AV170+AV171-IF(AV$2=1,AV160,AV160-AU160)+IF(AV$2=1,AV162,AV162-AU162)</f>
        <v>0</v>
      </c>
      <c r="AW164" s="180"/>
      <c r="AX164" s="169">
        <f ca="1">SUM(G164:AW164)</f>
        <v>481475.59905528196</v>
      </c>
    </row>
    <row r="165" spans="1:50" hidden="1" outlineLevel="1" x14ac:dyDescent="0.2">
      <c r="A165" s="179" t="str">
        <f ca="1">Language!A$603</f>
        <v>темп изменения цен</v>
      </c>
      <c r="B165" s="84"/>
      <c r="C165" s="82" t="str">
        <f ca="1">Language!$A$471</f>
        <v>% в год</v>
      </c>
      <c r="D165" s="153"/>
      <c r="F165" s="57" t="s">
        <v>756</v>
      </c>
      <c r="G165" s="321">
        <f>CHOOSE($D155,Параметры!G$47,Параметры!G$56,Параметры!G$62)</f>
        <v>0.06</v>
      </c>
      <c r="H165" s="321">
        <f>CHOOSE($D155,Параметры!H$47,Параметры!H$56,Параметры!H$62)</f>
        <v>0.06</v>
      </c>
      <c r="I165" s="321">
        <f>CHOOSE($D155,Параметры!I$47,Параметры!I$56,Параметры!I$62)</f>
        <v>0.06</v>
      </c>
      <c r="J165" s="321">
        <f>CHOOSE($D155,Параметры!J$47,Параметры!J$56,Параметры!J$62)</f>
        <v>0.06</v>
      </c>
      <c r="K165" s="321">
        <f>CHOOSE($D155,Параметры!K$47,Параметры!K$56,Параметры!K$62)</f>
        <v>0.06</v>
      </c>
      <c r="L165" s="321">
        <f>CHOOSE($D155,Параметры!L$47,Параметры!L$56,Параметры!L$62)</f>
        <v>0.06</v>
      </c>
      <c r="M165" s="321">
        <f>CHOOSE($D155,Параметры!M$47,Параметры!M$56,Параметры!M$62)</f>
        <v>0.06</v>
      </c>
      <c r="N165" s="321">
        <f>CHOOSE($D155,Параметры!N$47,Параметры!N$56,Параметры!N$62)</f>
        <v>0.06</v>
      </c>
      <c r="O165" s="321">
        <f>CHOOSE($D155,Параметры!O$47,Параметры!O$56,Параметры!O$62)</f>
        <v>0.06</v>
      </c>
      <c r="P165" s="321">
        <f>CHOOSE($D155,Параметры!P$47,Параметры!P$56,Параметры!P$62)</f>
        <v>0.06</v>
      </c>
      <c r="Q165" s="321">
        <f>CHOOSE($D155,Параметры!Q$47,Параметры!Q$56,Параметры!Q$62)</f>
        <v>0.06</v>
      </c>
      <c r="R165" s="321">
        <f>CHOOSE($D155,Параметры!R$47,Параметры!R$56,Параметры!R$62)</f>
        <v>0.06</v>
      </c>
      <c r="S165" s="321">
        <f>CHOOSE($D155,Параметры!S$47,Параметры!S$56,Параметры!S$62)</f>
        <v>0.06</v>
      </c>
      <c r="T165" s="321">
        <f>CHOOSE($D155,Параметры!T$47,Параметры!T$56,Параметры!T$62)</f>
        <v>0.06</v>
      </c>
      <c r="U165" s="321">
        <f>CHOOSE($D155,Параметры!U$47,Параметры!U$56,Параметры!U$62)</f>
        <v>0.06</v>
      </c>
      <c r="V165" s="321">
        <f>CHOOSE($D155,Параметры!V$47,Параметры!V$56,Параметры!V$62)</f>
        <v>0.06</v>
      </c>
      <c r="W165" s="321">
        <f>CHOOSE($D155,Параметры!W$47,Параметры!W$56,Параметры!W$62)</f>
        <v>0.06</v>
      </c>
      <c r="X165" s="321">
        <f>CHOOSE($D155,Параметры!X$47,Параметры!X$56,Параметры!X$62)</f>
        <v>0.06</v>
      </c>
      <c r="Y165" s="321">
        <f>CHOOSE($D155,Параметры!Y$47,Параметры!Y$56,Параметры!Y$62)</f>
        <v>0.06</v>
      </c>
      <c r="Z165" s="321">
        <f>CHOOSE($D155,Параметры!Z$47,Параметры!Z$56,Параметры!Z$62)</f>
        <v>0.06</v>
      </c>
      <c r="AA165" s="321">
        <f>CHOOSE($D155,Параметры!AA$47,Параметры!AA$56,Параметры!AA$62)</f>
        <v>0.06</v>
      </c>
      <c r="AB165" s="321">
        <f>CHOOSE($D155,Параметры!AB$47,Параметры!AB$56,Параметры!AB$62)</f>
        <v>0.06</v>
      </c>
      <c r="AC165" s="321">
        <f>CHOOSE($D155,Параметры!AC$47,Параметры!AC$56,Параметры!AC$62)</f>
        <v>0.06</v>
      </c>
      <c r="AD165" s="321">
        <f>CHOOSE($D155,Параметры!AD$47,Параметры!AD$56,Параметры!AD$62)</f>
        <v>0.06</v>
      </c>
      <c r="AE165" s="321">
        <f>CHOOSE($D155,Параметры!AE$47,Параметры!AE$56,Параметры!AE$62)</f>
        <v>0.06</v>
      </c>
      <c r="AF165" s="321">
        <f>CHOOSE($D155,Параметры!AF$47,Параметры!AF$56,Параметры!AF$62)</f>
        <v>0.06</v>
      </c>
      <c r="AG165" s="321">
        <f>CHOOSE($D155,Параметры!AG$47,Параметры!AG$56,Параметры!AG$62)</f>
        <v>0.06</v>
      </c>
      <c r="AH165" s="321">
        <f>CHOOSE($D155,Параметры!AH$47,Параметры!AH$56,Параметры!AH$62)</f>
        <v>0.06</v>
      </c>
      <c r="AI165" s="321">
        <f>CHOOSE($D155,Параметры!AI$47,Параметры!AI$56,Параметры!AI$62)</f>
        <v>0.06</v>
      </c>
      <c r="AJ165" s="321">
        <f>CHOOSE($D155,Параметры!AJ$47,Параметры!AJ$56,Параметры!AJ$62)</f>
        <v>0.06</v>
      </c>
      <c r="AK165" s="321">
        <f>CHOOSE($D155,Параметры!AK$47,Параметры!AK$56,Параметры!AK$62)</f>
        <v>0.06</v>
      </c>
      <c r="AL165" s="321">
        <f>CHOOSE($D155,Параметры!AL$47,Параметры!AL$56,Параметры!AL$62)</f>
        <v>0.06</v>
      </c>
      <c r="AM165" s="321">
        <f>CHOOSE($D155,Параметры!AM$47,Параметры!AM$56,Параметры!AM$62)</f>
        <v>0.06</v>
      </c>
      <c r="AN165" s="321">
        <f>CHOOSE($D155,Параметры!AN$47,Параметры!AN$56,Параметры!AN$62)</f>
        <v>0.06</v>
      </c>
      <c r="AO165" s="321">
        <f>CHOOSE($D155,Параметры!AO$47,Параметры!AO$56,Параметры!AO$62)</f>
        <v>0.06</v>
      </c>
      <c r="AP165" s="321">
        <f>CHOOSE($D155,Параметры!AP$47,Параметры!AP$56,Параметры!AP$62)</f>
        <v>0.06</v>
      </c>
      <c r="AQ165" s="321">
        <f>CHOOSE($D155,Параметры!AQ$47,Параметры!AQ$56,Параметры!AQ$62)</f>
        <v>0.06</v>
      </c>
      <c r="AR165" s="321">
        <f>CHOOSE($D155,Параметры!AR$47,Параметры!AR$56,Параметры!AR$62)</f>
        <v>0.06</v>
      </c>
      <c r="AS165" s="321">
        <f>CHOOSE($D155,Параметры!AS$47,Параметры!AS$56,Параметры!AS$62)</f>
        <v>0.06</v>
      </c>
      <c r="AT165" s="321">
        <f>CHOOSE($D155,Параметры!AT$47,Параметры!AT$56,Параметры!AT$62)</f>
        <v>0.06</v>
      </c>
      <c r="AU165" s="321">
        <f>CHOOSE($D155,Параметры!AU$47,Параметры!AU$56,Параметры!AU$62)</f>
        <v>0.06</v>
      </c>
      <c r="AV165" s="321">
        <f>CHOOSE($D155,Параметры!AV$47,Параметры!AV$56,Параметры!AV$62)</f>
        <v>0.06</v>
      </c>
      <c r="AW165" s="183"/>
      <c r="AX165" s="184"/>
    </row>
    <row r="166" spans="1:50" hidden="1" outlineLevel="1" x14ac:dyDescent="0.2">
      <c r="A166" s="179" t="str">
        <f ca="1">Language!A$604</f>
        <v>ставка НДС</v>
      </c>
      <c r="B166" s="84"/>
      <c r="C166" s="82" t="s">
        <v>1</v>
      </c>
      <c r="D166" s="66"/>
      <c r="F166" s="57" t="s">
        <v>756</v>
      </c>
      <c r="G166" s="321">
        <f>Параметры!G$72*10/18</f>
        <v>9.9999999999999992E-2</v>
      </c>
      <c r="H166" s="321">
        <f>Параметры!H$72*10/18</f>
        <v>9.9999999999999992E-2</v>
      </c>
      <c r="I166" s="321">
        <f>Параметры!I$72*10/18</f>
        <v>9.9999999999999992E-2</v>
      </c>
      <c r="J166" s="321">
        <f>Параметры!J$72*10/18</f>
        <v>9.9999999999999992E-2</v>
      </c>
      <c r="K166" s="321">
        <f>Параметры!K$72*10/18</f>
        <v>9.9999999999999992E-2</v>
      </c>
      <c r="L166" s="321">
        <f>Параметры!L$72*10/18</f>
        <v>9.9999999999999992E-2</v>
      </c>
      <c r="M166" s="321">
        <f>Параметры!M$72*10/18</f>
        <v>9.9999999999999992E-2</v>
      </c>
      <c r="N166" s="321">
        <f>Параметры!N$72*10/18</f>
        <v>9.9999999999999992E-2</v>
      </c>
      <c r="O166" s="321">
        <f>Параметры!O$72*10/18</f>
        <v>9.9999999999999992E-2</v>
      </c>
      <c r="P166" s="321">
        <f>Параметры!P$72*10/18</f>
        <v>9.9999999999999992E-2</v>
      </c>
      <c r="Q166" s="321">
        <f>Параметры!Q$72*10/18</f>
        <v>9.9999999999999992E-2</v>
      </c>
      <c r="R166" s="321">
        <f>Параметры!R$72*10/18</f>
        <v>9.9999999999999992E-2</v>
      </c>
      <c r="S166" s="321">
        <f>Параметры!S$72*10/18</f>
        <v>9.9999999999999992E-2</v>
      </c>
      <c r="T166" s="321">
        <f>Параметры!T$72*10/18</f>
        <v>9.9999999999999992E-2</v>
      </c>
      <c r="U166" s="321">
        <f>Параметры!U$72*10/18</f>
        <v>9.9999999999999992E-2</v>
      </c>
      <c r="V166" s="321">
        <f>Параметры!V$72*10/18</f>
        <v>9.9999999999999992E-2</v>
      </c>
      <c r="W166" s="321">
        <f>Параметры!W$72*10/18</f>
        <v>9.9999999999999992E-2</v>
      </c>
      <c r="X166" s="321">
        <f>Параметры!X$72*10/18</f>
        <v>9.9999999999999992E-2</v>
      </c>
      <c r="Y166" s="321">
        <f>Параметры!Y$72*10/18</f>
        <v>9.9999999999999992E-2</v>
      </c>
      <c r="Z166" s="321">
        <f>Параметры!Z$72*10/18</f>
        <v>9.9999999999999992E-2</v>
      </c>
      <c r="AA166" s="321">
        <f>Параметры!AA$72*10/18</f>
        <v>9.9999999999999992E-2</v>
      </c>
      <c r="AB166" s="321">
        <f>Параметры!AB$72*10/18</f>
        <v>9.9999999999999992E-2</v>
      </c>
      <c r="AC166" s="321">
        <f>Параметры!AC$72*10/18</f>
        <v>9.9999999999999992E-2</v>
      </c>
      <c r="AD166" s="321">
        <f>Параметры!AD$72*10/18</f>
        <v>9.9999999999999992E-2</v>
      </c>
      <c r="AE166" s="321">
        <f>Параметры!AE$72*10/18</f>
        <v>9.9999999999999992E-2</v>
      </c>
      <c r="AF166" s="321">
        <f>Параметры!AF$72*10/18</f>
        <v>9.9999999999999992E-2</v>
      </c>
      <c r="AG166" s="321">
        <f>Параметры!AG$72*10/18</f>
        <v>9.9999999999999992E-2</v>
      </c>
      <c r="AH166" s="321">
        <f>Параметры!AH$72*10/18</f>
        <v>9.9999999999999992E-2</v>
      </c>
      <c r="AI166" s="321">
        <f>Параметры!AI$72*10/18</f>
        <v>9.9999999999999992E-2</v>
      </c>
      <c r="AJ166" s="321">
        <f>Параметры!AJ$72*10/18</f>
        <v>9.9999999999999992E-2</v>
      </c>
      <c r="AK166" s="321">
        <f>Параметры!AK$72*10/18</f>
        <v>9.9999999999999992E-2</v>
      </c>
      <c r="AL166" s="321">
        <f>Параметры!AL$72*10/18</f>
        <v>9.9999999999999992E-2</v>
      </c>
      <c r="AM166" s="321">
        <f>Параметры!AM$72*10/18</f>
        <v>9.9999999999999992E-2</v>
      </c>
      <c r="AN166" s="321">
        <f>Параметры!AN$72*10/18</f>
        <v>9.9999999999999992E-2</v>
      </c>
      <c r="AO166" s="321">
        <f>Параметры!AO$72*10/18</f>
        <v>9.9999999999999992E-2</v>
      </c>
      <c r="AP166" s="321">
        <f>Параметры!AP$72*10/18</f>
        <v>9.9999999999999992E-2</v>
      </c>
      <c r="AQ166" s="321">
        <f>Параметры!AQ$72*10/18</f>
        <v>9.9999999999999992E-2</v>
      </c>
      <c r="AR166" s="321">
        <f>Параметры!AR$72*10/18</f>
        <v>9.9999999999999992E-2</v>
      </c>
      <c r="AS166" s="321">
        <f>Параметры!AS$72*10/18</f>
        <v>9.9999999999999992E-2</v>
      </c>
      <c r="AT166" s="321">
        <f>Параметры!AT$72*10/18</f>
        <v>9.9999999999999992E-2</v>
      </c>
      <c r="AU166" s="321">
        <f>Параметры!AU$72*10/18</f>
        <v>9.9999999999999992E-2</v>
      </c>
      <c r="AV166" s="321">
        <f>Параметры!AV$72*10/18</f>
        <v>9.9999999999999992E-2</v>
      </c>
      <c r="AW166" s="183"/>
      <c r="AX166" s="87"/>
    </row>
    <row r="167" spans="1:50" hidden="1" outlineLevel="1" x14ac:dyDescent="0.2">
      <c r="A167" s="179" t="str">
        <f ca="1">Language!A$605</f>
        <v>акцизы, на единицу</v>
      </c>
      <c r="B167" s="66"/>
      <c r="C167" s="82" t="str">
        <f ca="1">CHOOSE(D167,CurName1,CurName2,CurName3)&amp;"/"&amp;C157</f>
        <v>тыс. руб./гол</v>
      </c>
      <c r="D167" s="66">
        <f>D155</f>
        <v>1</v>
      </c>
      <c r="F167" s="57" t="s">
        <v>756</v>
      </c>
      <c r="G167" s="319">
        <v>0</v>
      </c>
      <c r="H167" s="319">
        <f t="shared" ref="H167:H168" si="759">G167</f>
        <v>0</v>
      </c>
      <c r="I167" s="319">
        <f t="shared" ref="I167:I168" si="760">H167</f>
        <v>0</v>
      </c>
      <c r="J167" s="319">
        <f t="shared" ref="J167:J168" si="761">I167</f>
        <v>0</v>
      </c>
      <c r="K167" s="319">
        <f t="shared" ref="K167:K168" si="762">J167</f>
        <v>0</v>
      </c>
      <c r="L167" s="319">
        <f t="shared" ref="L167:L168" si="763">K167</f>
        <v>0</v>
      </c>
      <c r="M167" s="319">
        <f t="shared" ref="M167:M168" si="764">L167</f>
        <v>0</v>
      </c>
      <c r="N167" s="319">
        <f t="shared" ref="N167:N168" si="765">M167</f>
        <v>0</v>
      </c>
      <c r="O167" s="319">
        <f t="shared" ref="O167:O168" si="766">N167</f>
        <v>0</v>
      </c>
      <c r="P167" s="319">
        <f t="shared" ref="P167:P168" si="767">O167</f>
        <v>0</v>
      </c>
      <c r="Q167" s="319">
        <f t="shared" ref="Q167:Q168" si="768">P167</f>
        <v>0</v>
      </c>
      <c r="R167" s="319">
        <f t="shared" ref="R167:R168" si="769">Q167</f>
        <v>0</v>
      </c>
      <c r="S167" s="319">
        <f t="shared" ref="S167:S168" si="770">R167</f>
        <v>0</v>
      </c>
      <c r="T167" s="319">
        <f t="shared" ref="T167:T168" si="771">S167</f>
        <v>0</v>
      </c>
      <c r="U167" s="319">
        <f t="shared" ref="U167:U168" si="772">T167</f>
        <v>0</v>
      </c>
      <c r="V167" s="319">
        <f t="shared" ref="V167:V168" si="773">U167</f>
        <v>0</v>
      </c>
      <c r="W167" s="319">
        <f t="shared" ref="W167:W168" si="774">V167</f>
        <v>0</v>
      </c>
      <c r="X167" s="319">
        <f t="shared" ref="X167:X168" si="775">W167</f>
        <v>0</v>
      </c>
      <c r="Y167" s="319">
        <f t="shared" ref="Y167:Y168" si="776">X167</f>
        <v>0</v>
      </c>
      <c r="Z167" s="319">
        <f t="shared" ref="Z167:Z168" si="777">Y167</f>
        <v>0</v>
      </c>
      <c r="AA167" s="319">
        <f t="shared" ref="AA167:AA168" si="778">Z167</f>
        <v>0</v>
      </c>
      <c r="AB167" s="319">
        <f t="shared" ref="AB167:AB168" si="779">AA167</f>
        <v>0</v>
      </c>
      <c r="AC167" s="319">
        <f t="shared" ref="AC167:AC168" si="780">AB167</f>
        <v>0</v>
      </c>
      <c r="AD167" s="319">
        <f t="shared" ref="AD167:AD168" si="781">AC167</f>
        <v>0</v>
      </c>
      <c r="AE167" s="319">
        <f t="shared" ref="AE167:AE168" si="782">AD167</f>
        <v>0</v>
      </c>
      <c r="AF167" s="319">
        <f t="shared" ref="AF167:AF168" si="783">AE167</f>
        <v>0</v>
      </c>
      <c r="AG167" s="319">
        <f t="shared" ref="AG167:AG168" si="784">AF167</f>
        <v>0</v>
      </c>
      <c r="AH167" s="319">
        <f t="shared" ref="AH167:AH168" si="785">AG167</f>
        <v>0</v>
      </c>
      <c r="AI167" s="319">
        <f t="shared" ref="AI167:AI168" si="786">AH167</f>
        <v>0</v>
      </c>
      <c r="AJ167" s="319">
        <f t="shared" ref="AJ167:AJ168" si="787">AI167</f>
        <v>0</v>
      </c>
      <c r="AK167" s="319">
        <f t="shared" ref="AK167:AK168" si="788">AJ167</f>
        <v>0</v>
      </c>
      <c r="AL167" s="319">
        <f t="shared" ref="AL167:AL168" si="789">AK167</f>
        <v>0</v>
      </c>
      <c r="AM167" s="319">
        <f t="shared" ref="AM167:AM168" si="790">AL167</f>
        <v>0</v>
      </c>
      <c r="AN167" s="319">
        <f t="shared" ref="AN167:AN168" si="791">AM167</f>
        <v>0</v>
      </c>
      <c r="AO167" s="319">
        <f t="shared" ref="AO167:AO168" si="792">AN167</f>
        <v>0</v>
      </c>
      <c r="AP167" s="319">
        <f t="shared" ref="AP167:AP168" si="793">AO167</f>
        <v>0</v>
      </c>
      <c r="AQ167" s="319">
        <f t="shared" ref="AQ167:AQ168" si="794">AP167</f>
        <v>0</v>
      </c>
      <c r="AR167" s="319">
        <f t="shared" ref="AR167:AR168" si="795">AQ167</f>
        <v>0</v>
      </c>
      <c r="AS167" s="319">
        <f t="shared" ref="AS167:AS168" si="796">AR167</f>
        <v>0</v>
      </c>
      <c r="AT167" s="319">
        <f t="shared" ref="AT167:AT168" si="797">AS167</f>
        <v>0</v>
      </c>
      <c r="AU167" s="319">
        <f t="shared" ref="AU167:AU168" si="798">AT167</f>
        <v>0</v>
      </c>
      <c r="AV167" s="319">
        <f t="shared" ref="AV167:AV168" si="799">AU167</f>
        <v>0</v>
      </c>
      <c r="AW167" s="180"/>
      <c r="AX167" s="87"/>
    </row>
    <row r="168" spans="1:50" hidden="1" outlineLevel="1" x14ac:dyDescent="0.2">
      <c r="A168" s="179" t="str">
        <f ca="1">Language!A$606</f>
        <v>ставка акцизов, в процентах</v>
      </c>
      <c r="B168" s="84"/>
      <c r="C168" s="82" t="s">
        <v>1</v>
      </c>
      <c r="D168" s="66"/>
      <c r="F168" s="57" t="s">
        <v>756</v>
      </c>
      <c r="G168" s="321">
        <v>0</v>
      </c>
      <c r="H168" s="321">
        <f t="shared" si="759"/>
        <v>0</v>
      </c>
      <c r="I168" s="321">
        <f t="shared" si="760"/>
        <v>0</v>
      </c>
      <c r="J168" s="321">
        <f t="shared" si="761"/>
        <v>0</v>
      </c>
      <c r="K168" s="321">
        <f t="shared" si="762"/>
        <v>0</v>
      </c>
      <c r="L168" s="321">
        <f t="shared" si="763"/>
        <v>0</v>
      </c>
      <c r="M168" s="321">
        <f t="shared" si="764"/>
        <v>0</v>
      </c>
      <c r="N168" s="321">
        <f t="shared" si="765"/>
        <v>0</v>
      </c>
      <c r="O168" s="321">
        <f t="shared" si="766"/>
        <v>0</v>
      </c>
      <c r="P168" s="321">
        <f t="shared" si="767"/>
        <v>0</v>
      </c>
      <c r="Q168" s="321">
        <f t="shared" si="768"/>
        <v>0</v>
      </c>
      <c r="R168" s="321">
        <f t="shared" si="769"/>
        <v>0</v>
      </c>
      <c r="S168" s="321">
        <f t="shared" si="770"/>
        <v>0</v>
      </c>
      <c r="T168" s="321">
        <f t="shared" si="771"/>
        <v>0</v>
      </c>
      <c r="U168" s="321">
        <f t="shared" si="772"/>
        <v>0</v>
      </c>
      <c r="V168" s="321">
        <f t="shared" si="773"/>
        <v>0</v>
      </c>
      <c r="W168" s="321">
        <f t="shared" si="774"/>
        <v>0</v>
      </c>
      <c r="X168" s="321">
        <f t="shared" si="775"/>
        <v>0</v>
      </c>
      <c r="Y168" s="321">
        <f t="shared" si="776"/>
        <v>0</v>
      </c>
      <c r="Z168" s="321">
        <f t="shared" si="777"/>
        <v>0</v>
      </c>
      <c r="AA168" s="321">
        <f t="shared" si="778"/>
        <v>0</v>
      </c>
      <c r="AB168" s="321">
        <f t="shared" si="779"/>
        <v>0</v>
      </c>
      <c r="AC168" s="321">
        <f t="shared" si="780"/>
        <v>0</v>
      </c>
      <c r="AD168" s="321">
        <f t="shared" si="781"/>
        <v>0</v>
      </c>
      <c r="AE168" s="321">
        <f t="shared" si="782"/>
        <v>0</v>
      </c>
      <c r="AF168" s="321">
        <f t="shared" si="783"/>
        <v>0</v>
      </c>
      <c r="AG168" s="321">
        <f t="shared" si="784"/>
        <v>0</v>
      </c>
      <c r="AH168" s="321">
        <f t="shared" si="785"/>
        <v>0</v>
      </c>
      <c r="AI168" s="321">
        <f t="shared" si="786"/>
        <v>0</v>
      </c>
      <c r="AJ168" s="321">
        <f t="shared" si="787"/>
        <v>0</v>
      </c>
      <c r="AK168" s="321">
        <f t="shared" si="788"/>
        <v>0</v>
      </c>
      <c r="AL168" s="321">
        <f t="shared" si="789"/>
        <v>0</v>
      </c>
      <c r="AM168" s="321">
        <f t="shared" si="790"/>
        <v>0</v>
      </c>
      <c r="AN168" s="321">
        <f t="shared" si="791"/>
        <v>0</v>
      </c>
      <c r="AO168" s="321">
        <f t="shared" si="792"/>
        <v>0</v>
      </c>
      <c r="AP168" s="321">
        <f t="shared" si="793"/>
        <v>0</v>
      </c>
      <c r="AQ168" s="321">
        <f t="shared" si="794"/>
        <v>0</v>
      </c>
      <c r="AR168" s="321">
        <f t="shared" si="795"/>
        <v>0</v>
      </c>
      <c r="AS168" s="321">
        <f t="shared" si="796"/>
        <v>0</v>
      </c>
      <c r="AT168" s="321">
        <f t="shared" si="797"/>
        <v>0</v>
      </c>
      <c r="AU168" s="321">
        <f t="shared" si="798"/>
        <v>0</v>
      </c>
      <c r="AV168" s="321">
        <f t="shared" si="799"/>
        <v>0</v>
      </c>
      <c r="AW168" s="183"/>
      <c r="AX168" s="87"/>
    </row>
    <row r="169" spans="1:50" hidden="1" outlineLevel="1" x14ac:dyDescent="0.2">
      <c r="A169" s="179" t="str">
        <f ca="1">Language!A$607</f>
        <v>коэффициент прироста цен к предыдущему периоду</v>
      </c>
      <c r="B169" s="84"/>
      <c r="C169" s="82" t="str">
        <f ca="1">Language!$A$1449</f>
        <v>раз</v>
      </c>
      <c r="D169" s="66"/>
      <c r="F169" s="57" t="s">
        <v>756</v>
      </c>
      <c r="G169" s="86">
        <f ca="1">IF(G$2=1,1,IF(Prj_Inflation=1,POWER(1+OFFSET(G165,0,-1),Параметры!G$30/360),1))</f>
        <v>1</v>
      </c>
      <c r="H169" s="86">
        <f ca="1">IF(H$2=1,1,IF(Prj_Inflation=1,POWER(1+OFFSET(H165,0,-1),Параметры!H$30/360),1))</f>
        <v>1.0146738461686593</v>
      </c>
      <c r="I169" s="86">
        <f ca="1">IF(I$2=1,1,IF(Prj_Inflation=1,POWER(1+OFFSET(I165,0,-1),Параметры!I$30/360),1))</f>
        <v>1.0146738461686593</v>
      </c>
      <c r="J169" s="86">
        <f ca="1">IF(J$2=1,1,IF(Prj_Inflation=1,POWER(1+OFFSET(J165,0,-1),Параметры!J$30/360),1))</f>
        <v>1.0146738461686593</v>
      </c>
      <c r="K169" s="86">
        <f ca="1">IF(K$2=1,1,IF(Prj_Inflation=1,POWER(1+OFFSET(K165,0,-1),Параметры!K$30/360),1))</f>
        <v>1.0146738461686593</v>
      </c>
      <c r="L169" s="86">
        <f ca="1">IF(L$2=1,1,IF(Prj_Inflation=1,POWER(1+OFFSET(L165,0,-1),Параметры!L$30/360),1))</f>
        <v>1.0146738461686593</v>
      </c>
      <c r="M169" s="86">
        <f ca="1">IF(M$2=1,1,IF(Prj_Inflation=1,POWER(1+OFFSET(M165,0,-1),Параметры!M$30/360),1))</f>
        <v>1.0146738461686593</v>
      </c>
      <c r="N169" s="86">
        <f ca="1">IF(N$2=1,1,IF(Prj_Inflation=1,POWER(1+OFFSET(N165,0,-1),Параметры!N$30/360),1))</f>
        <v>1.0146738461686593</v>
      </c>
      <c r="O169" s="86">
        <f ca="1">IF(O$2=1,1,IF(Prj_Inflation=1,POWER(1+OFFSET(O165,0,-1),Параметры!O$30/360),1))</f>
        <v>1.0146738461686593</v>
      </c>
      <c r="P169" s="86">
        <f ca="1">IF(P$2=1,1,IF(Prj_Inflation=1,POWER(1+OFFSET(P165,0,-1),Параметры!P$30/360),1))</f>
        <v>1.0146738461686593</v>
      </c>
      <c r="Q169" s="86">
        <f ca="1">IF(Q$2=1,1,IF(Prj_Inflation=1,POWER(1+OFFSET(Q165,0,-1),Параметры!Q$30/360),1))</f>
        <v>1.0146738461686593</v>
      </c>
      <c r="R169" s="86">
        <f ca="1">IF(R$2=1,1,IF(Prj_Inflation=1,POWER(1+OFFSET(R165,0,-1),Параметры!R$30/360),1))</f>
        <v>1.0146738461686593</v>
      </c>
      <c r="S169" s="86">
        <f ca="1">IF(S$2=1,1,IF(Prj_Inflation=1,POWER(1+OFFSET(S165,0,-1),Параметры!S$30/360),1))</f>
        <v>1.0146738461686593</v>
      </c>
      <c r="T169" s="86">
        <f ca="1">IF(T$2=1,1,IF(Prj_Inflation=1,POWER(1+OFFSET(T165,0,-1),Параметры!T$30/360),1))</f>
        <v>1.0146738461686593</v>
      </c>
      <c r="U169" s="86">
        <f ca="1">IF(U$2=1,1,IF(Prj_Inflation=1,POWER(1+OFFSET(U165,0,-1),Параметры!U$30/360),1))</f>
        <v>1.0146738461686593</v>
      </c>
      <c r="V169" s="86">
        <f ca="1">IF(V$2=1,1,IF(Prj_Inflation=1,POWER(1+OFFSET(V165,0,-1),Параметры!V$30/360),1))</f>
        <v>1.0146738461686593</v>
      </c>
      <c r="W169" s="86">
        <f ca="1">IF(W$2=1,1,IF(Prj_Inflation=1,POWER(1+OFFSET(W165,0,-1),Параметры!W$30/360),1))</f>
        <v>1.0146738461686593</v>
      </c>
      <c r="X169" s="86">
        <f ca="1">IF(X$2=1,1,IF(Prj_Inflation=1,POWER(1+OFFSET(X165,0,-1),Параметры!X$30/360),1))</f>
        <v>1.0146738461686593</v>
      </c>
      <c r="Y169" s="86">
        <f ca="1">IF(Y$2=1,1,IF(Prj_Inflation=1,POWER(1+OFFSET(Y165,0,-1),Параметры!Y$30/360),1))</f>
        <v>1.0146738461686593</v>
      </c>
      <c r="Z169" s="86">
        <f ca="1">IF(Z$2=1,1,IF(Prj_Inflation=1,POWER(1+OFFSET(Z165,0,-1),Параметры!Z$30/360),1))</f>
        <v>1.0146738461686593</v>
      </c>
      <c r="AA169" s="86">
        <f ca="1">IF(AA$2=1,1,IF(Prj_Inflation=1,POWER(1+OFFSET(AA165,0,-1),Параметры!AA$30/360),1))</f>
        <v>1.0146738461686593</v>
      </c>
      <c r="AB169" s="86">
        <f ca="1">IF(AB$2=1,1,IF(Prj_Inflation=1,POWER(1+OFFSET(AB165,0,-1),Параметры!AB$30/360),1))</f>
        <v>1.0146738461686593</v>
      </c>
      <c r="AC169" s="86">
        <f ca="1">IF(AC$2=1,1,IF(Prj_Inflation=1,POWER(1+OFFSET(AC165,0,-1),Параметры!AC$30/360),1))</f>
        <v>1.0146738461686593</v>
      </c>
      <c r="AD169" s="86">
        <f ca="1">IF(AD$2=1,1,IF(Prj_Inflation=1,POWER(1+OFFSET(AD165,0,-1),Параметры!AD$30/360),1))</f>
        <v>1.0146738461686593</v>
      </c>
      <c r="AE169" s="86">
        <f ca="1">IF(AE$2=1,1,IF(Prj_Inflation=1,POWER(1+OFFSET(AE165,0,-1),Параметры!AE$30/360),1))</f>
        <v>1.0146738461686593</v>
      </c>
      <c r="AF169" s="86">
        <f ca="1">IF(AF$2=1,1,IF(Prj_Inflation=1,POWER(1+OFFSET(AF165,0,-1),Параметры!AF$30/360),1))</f>
        <v>1.0146738461686593</v>
      </c>
      <c r="AG169" s="86">
        <f ca="1">IF(AG$2=1,1,IF(Prj_Inflation=1,POWER(1+OFFSET(AG165,0,-1),Параметры!AG$30/360),1))</f>
        <v>1.0146738461686593</v>
      </c>
      <c r="AH169" s="86">
        <f ca="1">IF(AH$2=1,1,IF(Prj_Inflation=1,POWER(1+OFFSET(AH165,0,-1),Параметры!AH$30/360),1))</f>
        <v>1.0146738461686593</v>
      </c>
      <c r="AI169" s="86">
        <f ca="1">IF(AI$2=1,1,IF(Prj_Inflation=1,POWER(1+OFFSET(AI165,0,-1),Параметры!AI$30/360),1))</f>
        <v>1.0146738461686593</v>
      </c>
      <c r="AJ169" s="86">
        <f ca="1">IF(AJ$2=1,1,IF(Prj_Inflation=1,POWER(1+OFFSET(AJ165,0,-1),Параметры!AJ$30/360),1))</f>
        <v>1.0146738461686593</v>
      </c>
      <c r="AK169" s="86">
        <f ca="1">IF(AK$2=1,1,IF(Prj_Inflation=1,POWER(1+OFFSET(AK165,0,-1),Параметры!AK$30/360),1))</f>
        <v>1.0146738461686593</v>
      </c>
      <c r="AL169" s="86">
        <f ca="1">IF(AL$2=1,1,IF(Prj_Inflation=1,POWER(1+OFFSET(AL165,0,-1),Параметры!AL$30/360),1))</f>
        <v>1.0146738461686593</v>
      </c>
      <c r="AM169" s="86">
        <f ca="1">IF(AM$2=1,1,IF(Prj_Inflation=1,POWER(1+OFFSET(AM165,0,-1),Параметры!AM$30/360),1))</f>
        <v>1.0146738461686593</v>
      </c>
      <c r="AN169" s="86">
        <f ca="1">IF(AN$2=1,1,IF(Prj_Inflation=1,POWER(1+OFFSET(AN165,0,-1),Параметры!AN$30/360),1))</f>
        <v>1.0146738461686593</v>
      </c>
      <c r="AO169" s="86">
        <f ca="1">IF(AO$2=1,1,IF(Prj_Inflation=1,POWER(1+OFFSET(AO165,0,-1),Параметры!AO$30/360),1))</f>
        <v>1.0146738461686593</v>
      </c>
      <c r="AP169" s="86">
        <f ca="1">IF(AP$2=1,1,IF(Prj_Inflation=1,POWER(1+OFFSET(AP165,0,-1),Параметры!AP$30/360),1))</f>
        <v>1.0146738461686593</v>
      </c>
      <c r="AQ169" s="86">
        <f ca="1">IF(AQ$2=1,1,IF(Prj_Inflation=1,POWER(1+OFFSET(AQ165,0,-1),Параметры!AQ$30/360),1))</f>
        <v>1.0146738461686593</v>
      </c>
      <c r="AR169" s="86">
        <f ca="1">IF(AR$2=1,1,IF(Prj_Inflation=1,POWER(1+OFFSET(AR165,0,-1),Параметры!AR$30/360),1))</f>
        <v>1.0146738461686593</v>
      </c>
      <c r="AS169" s="86">
        <f ca="1">IF(AS$2=1,1,IF(Prj_Inflation=1,POWER(1+OFFSET(AS165,0,-1),Параметры!AS$30/360),1))</f>
        <v>1.0146738461686593</v>
      </c>
      <c r="AT169" s="86">
        <f ca="1">IF(AT$2=1,1,IF(Prj_Inflation=1,POWER(1+OFFSET(AT165,0,-1),Параметры!AT$30/360),1))</f>
        <v>1.0146738461686593</v>
      </c>
      <c r="AU169" s="86">
        <f ca="1">IF(AU$2=1,1,IF(Prj_Inflation=1,POWER(1+OFFSET(AU165,0,-1),Параметры!AU$30/360),1))</f>
        <v>1.0146738461686593</v>
      </c>
      <c r="AV169" s="86">
        <f ca="1">IF(AV$2=1,1,IF(Prj_Inflation=1,POWER(1+OFFSET(AV165,0,-1),Параметры!AV$30/360),1))</f>
        <v>1.0146738461686593</v>
      </c>
      <c r="AW169" s="86"/>
      <c r="AX169" s="87"/>
    </row>
    <row r="170" spans="1:50" hidden="1" outlineLevel="1" x14ac:dyDescent="0.2">
      <c r="A170" s="179" t="str">
        <f ca="1">Language!A$608</f>
        <v>акцизы начисленные</v>
      </c>
      <c r="B170" s="66"/>
      <c r="C170" s="82" t="str">
        <f ca="1">CHOOSE(D170,CurName1,CurName2,CurName3)</f>
        <v>тыс. руб.</v>
      </c>
      <c r="D170" s="155">
        <f>D155</f>
        <v>1</v>
      </c>
      <c r="E170" s="57" t="s">
        <v>996</v>
      </c>
      <c r="F170" s="57" t="s">
        <v>753</v>
      </c>
      <c r="G170" s="185">
        <f t="shared" ref="G170:AV170" ca="1" si="800">G159*G168+G157*G167</f>
        <v>0</v>
      </c>
      <c r="H170" s="185">
        <f t="shared" ca="1" si="800"/>
        <v>0</v>
      </c>
      <c r="I170" s="185">
        <f t="shared" ca="1" si="800"/>
        <v>0</v>
      </c>
      <c r="J170" s="185">
        <f t="shared" ca="1" si="800"/>
        <v>0</v>
      </c>
      <c r="K170" s="185">
        <f t="shared" ca="1" si="800"/>
        <v>0</v>
      </c>
      <c r="L170" s="185">
        <f t="shared" ca="1" si="800"/>
        <v>0</v>
      </c>
      <c r="M170" s="185">
        <f t="shared" ca="1" si="800"/>
        <v>0</v>
      </c>
      <c r="N170" s="185">
        <f t="shared" ca="1" si="800"/>
        <v>0</v>
      </c>
      <c r="O170" s="185">
        <f t="shared" ca="1" si="800"/>
        <v>0</v>
      </c>
      <c r="P170" s="185">
        <f t="shared" ca="1" si="800"/>
        <v>0</v>
      </c>
      <c r="Q170" s="185">
        <f t="shared" ca="1" si="800"/>
        <v>0</v>
      </c>
      <c r="R170" s="185">
        <f t="shared" ca="1" si="800"/>
        <v>0</v>
      </c>
      <c r="S170" s="185">
        <f t="shared" ca="1" si="800"/>
        <v>0</v>
      </c>
      <c r="T170" s="185">
        <f t="shared" ca="1" si="800"/>
        <v>0</v>
      </c>
      <c r="U170" s="185">
        <f t="shared" ca="1" si="800"/>
        <v>0</v>
      </c>
      <c r="V170" s="185">
        <f t="shared" ca="1" si="800"/>
        <v>0</v>
      </c>
      <c r="W170" s="185">
        <f t="shared" ca="1" si="800"/>
        <v>0</v>
      </c>
      <c r="X170" s="185">
        <f t="shared" ca="1" si="800"/>
        <v>0</v>
      </c>
      <c r="Y170" s="185">
        <f t="shared" ca="1" si="800"/>
        <v>0</v>
      </c>
      <c r="Z170" s="185">
        <f t="shared" ca="1" si="800"/>
        <v>0</v>
      </c>
      <c r="AA170" s="185">
        <f t="shared" ca="1" si="800"/>
        <v>0</v>
      </c>
      <c r="AB170" s="185">
        <f t="shared" ca="1" si="800"/>
        <v>0</v>
      </c>
      <c r="AC170" s="185">
        <f t="shared" ca="1" si="800"/>
        <v>0</v>
      </c>
      <c r="AD170" s="185">
        <f t="shared" ca="1" si="800"/>
        <v>0</v>
      </c>
      <c r="AE170" s="185">
        <f t="shared" ca="1" si="800"/>
        <v>0</v>
      </c>
      <c r="AF170" s="185">
        <f t="shared" ca="1" si="800"/>
        <v>0</v>
      </c>
      <c r="AG170" s="185">
        <f t="shared" ca="1" si="800"/>
        <v>0</v>
      </c>
      <c r="AH170" s="185">
        <f t="shared" ca="1" si="800"/>
        <v>0</v>
      </c>
      <c r="AI170" s="185">
        <f t="shared" ca="1" si="800"/>
        <v>0</v>
      </c>
      <c r="AJ170" s="185">
        <f t="shared" ca="1" si="800"/>
        <v>0</v>
      </c>
      <c r="AK170" s="185">
        <f t="shared" ca="1" si="800"/>
        <v>0</v>
      </c>
      <c r="AL170" s="185">
        <f t="shared" ca="1" si="800"/>
        <v>0</v>
      </c>
      <c r="AM170" s="185">
        <f t="shared" ca="1" si="800"/>
        <v>0</v>
      </c>
      <c r="AN170" s="185">
        <f t="shared" ca="1" si="800"/>
        <v>0</v>
      </c>
      <c r="AO170" s="185">
        <f t="shared" ca="1" si="800"/>
        <v>0</v>
      </c>
      <c r="AP170" s="185">
        <f t="shared" ca="1" si="800"/>
        <v>0</v>
      </c>
      <c r="AQ170" s="185">
        <f t="shared" ca="1" si="800"/>
        <v>0</v>
      </c>
      <c r="AR170" s="185">
        <f t="shared" ca="1" si="800"/>
        <v>0</v>
      </c>
      <c r="AS170" s="185">
        <f t="shared" ca="1" si="800"/>
        <v>0</v>
      </c>
      <c r="AT170" s="185">
        <f t="shared" ca="1" si="800"/>
        <v>0</v>
      </c>
      <c r="AU170" s="185">
        <f t="shared" ca="1" si="800"/>
        <v>0</v>
      </c>
      <c r="AV170" s="185">
        <f t="shared" ca="1" si="800"/>
        <v>0</v>
      </c>
      <c r="AW170" s="180"/>
      <c r="AX170" s="169">
        <f ca="1">SUM(G170:AW170)</f>
        <v>0</v>
      </c>
    </row>
    <row r="171" spans="1:50" hidden="1" outlineLevel="1" x14ac:dyDescent="0.2">
      <c r="A171" s="179" t="str">
        <f ca="1">Language!A$609</f>
        <v>НДС начисленный</v>
      </c>
      <c r="B171" s="66"/>
      <c r="C171" s="82" t="str">
        <f ca="1">CHOOSE(D171,CurName1,CurName2,CurName3)</f>
        <v>тыс. руб.</v>
      </c>
      <c r="D171" s="155">
        <f>D155</f>
        <v>1</v>
      </c>
      <c r="E171" s="57" t="s">
        <v>789</v>
      </c>
      <c r="F171" s="57" t="s">
        <v>753</v>
      </c>
      <c r="G171" s="185">
        <f t="shared" ref="G171:AV171" ca="1" si="801">(G159+G170)*G166</f>
        <v>0</v>
      </c>
      <c r="H171" s="185">
        <f t="shared" ca="1" si="801"/>
        <v>0</v>
      </c>
      <c r="I171" s="185">
        <f t="shared" ca="1" si="801"/>
        <v>758.78794139074193</v>
      </c>
      <c r="J171" s="185">
        <f t="shared" ca="1" si="801"/>
        <v>769.92227891734331</v>
      </c>
      <c r="K171" s="185">
        <f t="shared" ca="1" si="801"/>
        <v>781.22</v>
      </c>
      <c r="L171" s="185">
        <f t="shared" ca="1" si="801"/>
        <v>792.68350210388007</v>
      </c>
      <c r="M171" s="185">
        <f t="shared" ca="1" si="801"/>
        <v>408.15996130928869</v>
      </c>
      <c r="N171" s="185">
        <f t="shared" ca="1" si="801"/>
        <v>414.14923779374709</v>
      </c>
      <c r="O171" s="185">
        <f t="shared" ca="1" si="801"/>
        <v>420.22640000000007</v>
      </c>
      <c r="P171" s="185">
        <f t="shared" ca="1" si="801"/>
        <v>426.39273754960954</v>
      </c>
      <c r="Q171" s="185">
        <f t="shared" ca="1" si="801"/>
        <v>152.69984434865154</v>
      </c>
      <c r="R171" s="185">
        <f t="shared" ca="1" si="801"/>
        <v>154.94053837460186</v>
      </c>
      <c r="S171" s="185">
        <f t="shared" ca="1" si="801"/>
        <v>157.21411200000003</v>
      </c>
      <c r="T171" s="185">
        <f t="shared" ca="1" si="801"/>
        <v>159.52104769503043</v>
      </c>
      <c r="U171" s="185">
        <f t="shared" ca="1" si="801"/>
        <v>903.72857880343611</v>
      </c>
      <c r="V171" s="185">
        <f t="shared" ca="1" si="801"/>
        <v>916.98975294701893</v>
      </c>
      <c r="W171" s="185">
        <f t="shared" ca="1" si="801"/>
        <v>930.44551952000029</v>
      </c>
      <c r="X171" s="185">
        <f t="shared" ca="1" si="801"/>
        <v>944.09873394175509</v>
      </c>
      <c r="Y171" s="185">
        <f t="shared" ca="1" si="801"/>
        <v>857.86772555072446</v>
      </c>
      <c r="Z171" s="185">
        <f t="shared" ca="1" si="801"/>
        <v>870.45594458851372</v>
      </c>
      <c r="AA171" s="185">
        <f t="shared" ca="1" si="801"/>
        <v>883.22888121600056</v>
      </c>
      <c r="AB171" s="185">
        <f t="shared" ca="1" si="801"/>
        <v>896.1892459506812</v>
      </c>
      <c r="AC171" s="185">
        <f t="shared" ca="1" si="801"/>
        <v>1591.3446308965943</v>
      </c>
      <c r="AD171" s="185">
        <f t="shared" ca="1" si="801"/>
        <v>1614.695777211693</v>
      </c>
      <c r="AE171" s="185">
        <f t="shared" ca="1" si="801"/>
        <v>1638.3895746556811</v>
      </c>
      <c r="AF171" s="185">
        <f t="shared" ca="1" si="801"/>
        <v>1662.4310512385136</v>
      </c>
      <c r="AG171" s="185">
        <f t="shared" ca="1" si="801"/>
        <v>1927.8003528575887</v>
      </c>
      <c r="AH171" s="185">
        <f t="shared" ca="1" si="801"/>
        <v>1956.0885986793082</v>
      </c>
      <c r="AI171" s="185">
        <f t="shared" ca="1" si="801"/>
        <v>1984.7919418685965</v>
      </c>
      <c r="AJ171" s="185">
        <f t="shared" ca="1" si="801"/>
        <v>2013.916473500371</v>
      </c>
      <c r="AK171" s="185">
        <f t="shared" ca="1" si="801"/>
        <v>1992.3816646783182</v>
      </c>
      <c r="AL171" s="185">
        <f t="shared" ca="1" si="801"/>
        <v>2021.6175667350651</v>
      </c>
      <c r="AM171" s="185">
        <f t="shared" ca="1" si="801"/>
        <v>2051.2824719211949</v>
      </c>
      <c r="AN171" s="185">
        <f t="shared" ca="1" si="801"/>
        <v>2081.3826753626336</v>
      </c>
      <c r="AO171" s="185">
        <f t="shared" ca="1" si="801"/>
        <v>2111.9245645590177</v>
      </c>
      <c r="AP171" s="185">
        <f t="shared" ca="1" si="801"/>
        <v>2142.9146207391695</v>
      </c>
      <c r="AQ171" s="185">
        <f t="shared" ca="1" si="801"/>
        <v>2174.3594202364666</v>
      </c>
      <c r="AR171" s="185">
        <f t="shared" ca="1" si="801"/>
        <v>2206.2656358843919</v>
      </c>
      <c r="AS171" s="185">
        <f t="shared" ca="1" si="801"/>
        <v>0</v>
      </c>
      <c r="AT171" s="185">
        <f t="shared" ca="1" si="801"/>
        <v>0</v>
      </c>
      <c r="AU171" s="185">
        <f t="shared" ca="1" si="801"/>
        <v>0</v>
      </c>
      <c r="AV171" s="185">
        <f t="shared" ca="1" si="801"/>
        <v>0</v>
      </c>
      <c r="AW171" s="180"/>
      <c r="AX171" s="169">
        <f ca="1">SUM(G171:AW171)</f>
        <v>43770.509005025633</v>
      </c>
    </row>
    <row r="172" spans="1:50" hidden="1" outlineLevel="1" x14ac:dyDescent="0.2">
      <c r="A172" s="179" t="str">
        <f ca="1">Language!A$610</f>
        <v>НДС полученный с авансов</v>
      </c>
      <c r="B172" s="66"/>
      <c r="C172" s="82" t="str">
        <f ca="1">CHOOSE(D172,CurName1,CurName2,CurName3)</f>
        <v>тыс. руб.</v>
      </c>
      <c r="D172" s="155">
        <f>D155</f>
        <v>1</v>
      </c>
      <c r="E172" s="57" t="s">
        <v>1450</v>
      </c>
      <c r="F172" s="57" t="s">
        <v>753</v>
      </c>
      <c r="G172" s="185">
        <f ca="1">G162*G166/(1+G166)</f>
        <v>0</v>
      </c>
      <c r="H172" s="185">
        <f t="shared" ref="H172:AV172" ca="1" si="802">H162*H166/(1+H166)</f>
        <v>0</v>
      </c>
      <c r="I172" s="185">
        <f t="shared" ca="1" si="802"/>
        <v>0</v>
      </c>
      <c r="J172" s="185">
        <f t="shared" ca="1" si="802"/>
        <v>0</v>
      </c>
      <c r="K172" s="185">
        <f t="shared" ca="1" si="802"/>
        <v>0</v>
      </c>
      <c r="L172" s="185">
        <f t="shared" ca="1" si="802"/>
        <v>0</v>
      </c>
      <c r="M172" s="185">
        <f t="shared" ca="1" si="802"/>
        <v>0</v>
      </c>
      <c r="N172" s="185">
        <f t="shared" ca="1" si="802"/>
        <v>0</v>
      </c>
      <c r="O172" s="185">
        <f t="shared" ca="1" si="802"/>
        <v>0</v>
      </c>
      <c r="P172" s="185">
        <f t="shared" ca="1" si="802"/>
        <v>0</v>
      </c>
      <c r="Q172" s="185">
        <f t="shared" ca="1" si="802"/>
        <v>0</v>
      </c>
      <c r="R172" s="185">
        <f t="shared" ca="1" si="802"/>
        <v>0</v>
      </c>
      <c r="S172" s="185">
        <f t="shared" ca="1" si="802"/>
        <v>0</v>
      </c>
      <c r="T172" s="185">
        <f t="shared" ca="1" si="802"/>
        <v>0</v>
      </c>
      <c r="U172" s="185">
        <f t="shared" ca="1" si="802"/>
        <v>0</v>
      </c>
      <c r="V172" s="185">
        <f t="shared" ca="1" si="802"/>
        <v>0</v>
      </c>
      <c r="W172" s="185">
        <f t="shared" ca="1" si="802"/>
        <v>0</v>
      </c>
      <c r="X172" s="185">
        <f t="shared" ca="1" si="802"/>
        <v>0</v>
      </c>
      <c r="Y172" s="185">
        <f t="shared" ca="1" si="802"/>
        <v>0</v>
      </c>
      <c r="Z172" s="185">
        <f t="shared" ca="1" si="802"/>
        <v>0</v>
      </c>
      <c r="AA172" s="185">
        <f t="shared" ca="1" si="802"/>
        <v>0</v>
      </c>
      <c r="AB172" s="185">
        <f t="shared" ca="1" si="802"/>
        <v>0</v>
      </c>
      <c r="AC172" s="185">
        <f t="shared" ca="1" si="802"/>
        <v>0</v>
      </c>
      <c r="AD172" s="185">
        <f t="shared" ca="1" si="802"/>
        <v>0</v>
      </c>
      <c r="AE172" s="185">
        <f t="shared" ca="1" si="802"/>
        <v>0</v>
      </c>
      <c r="AF172" s="185">
        <f t="shared" ca="1" si="802"/>
        <v>0</v>
      </c>
      <c r="AG172" s="185">
        <f t="shared" ca="1" si="802"/>
        <v>0</v>
      </c>
      <c r="AH172" s="185">
        <f t="shared" ca="1" si="802"/>
        <v>0</v>
      </c>
      <c r="AI172" s="185">
        <f t="shared" ca="1" si="802"/>
        <v>0</v>
      </c>
      <c r="AJ172" s="185">
        <f t="shared" ca="1" si="802"/>
        <v>0</v>
      </c>
      <c r="AK172" s="185">
        <f t="shared" ca="1" si="802"/>
        <v>0</v>
      </c>
      <c r="AL172" s="185">
        <f t="shared" ca="1" si="802"/>
        <v>0</v>
      </c>
      <c r="AM172" s="185">
        <f t="shared" ca="1" si="802"/>
        <v>0</v>
      </c>
      <c r="AN172" s="185">
        <f t="shared" ca="1" si="802"/>
        <v>0</v>
      </c>
      <c r="AO172" s="185">
        <f t="shared" ca="1" si="802"/>
        <v>0</v>
      </c>
      <c r="AP172" s="185">
        <f t="shared" ca="1" si="802"/>
        <v>0</v>
      </c>
      <c r="AQ172" s="185">
        <f t="shared" ca="1" si="802"/>
        <v>0</v>
      </c>
      <c r="AR172" s="185">
        <f t="shared" ca="1" si="802"/>
        <v>0</v>
      </c>
      <c r="AS172" s="185">
        <f t="shared" ca="1" si="802"/>
        <v>0</v>
      </c>
      <c r="AT172" s="185">
        <f t="shared" ca="1" si="802"/>
        <v>0</v>
      </c>
      <c r="AU172" s="185">
        <f t="shared" ca="1" si="802"/>
        <v>0</v>
      </c>
      <c r="AV172" s="185">
        <f t="shared" ca="1" si="802"/>
        <v>0</v>
      </c>
      <c r="AW172" s="180"/>
      <c r="AX172" s="169">
        <f ca="1">SUM(G172:AW172)</f>
        <v>0</v>
      </c>
    </row>
    <row r="173" spans="1:50" x14ac:dyDescent="0.2">
      <c r="A173" s="179"/>
      <c r="B173" s="66"/>
      <c r="C173" s="82"/>
      <c r="D173" s="155"/>
      <c r="F173" s="57" t="s">
        <v>2279</v>
      </c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0"/>
      <c r="AX173" s="169"/>
    </row>
    <row r="174" spans="1:50" x14ac:dyDescent="0.2">
      <c r="A174" s="317" t="s">
        <v>2280</v>
      </c>
      <c r="B174" s="102"/>
      <c r="C174" s="166"/>
      <c r="D174" s="158">
        <v>1</v>
      </c>
      <c r="F174" s="57" t="s">
        <v>2281</v>
      </c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150"/>
    </row>
    <row r="175" spans="1:50" hidden="1" x14ac:dyDescent="0.2">
      <c r="A175" s="172" t="str">
        <f ca="1">Language!A$594</f>
        <v>коэффициент загрузки</v>
      </c>
      <c r="B175" s="173"/>
      <c r="C175" s="173"/>
      <c r="D175" s="174"/>
      <c r="F175" s="57" t="s">
        <v>756</v>
      </c>
      <c r="G175" s="318">
        <f t="shared" ref="G175:AV175" si="803">IF(G$2&gt;Prj_Invest,1,0)</f>
        <v>1</v>
      </c>
      <c r="H175" s="318">
        <f t="shared" si="803"/>
        <v>1</v>
      </c>
      <c r="I175" s="318">
        <f t="shared" si="803"/>
        <v>1</v>
      </c>
      <c r="J175" s="318">
        <f t="shared" si="803"/>
        <v>1</v>
      </c>
      <c r="K175" s="318">
        <f t="shared" si="803"/>
        <v>1</v>
      </c>
      <c r="L175" s="318">
        <f t="shared" si="803"/>
        <v>1</v>
      </c>
      <c r="M175" s="318">
        <f t="shared" si="803"/>
        <v>1</v>
      </c>
      <c r="N175" s="318">
        <f t="shared" si="803"/>
        <v>1</v>
      </c>
      <c r="O175" s="318">
        <f t="shared" si="803"/>
        <v>1</v>
      </c>
      <c r="P175" s="318">
        <f t="shared" si="803"/>
        <v>1</v>
      </c>
      <c r="Q175" s="318">
        <f t="shared" si="803"/>
        <v>1</v>
      </c>
      <c r="R175" s="318">
        <f t="shared" si="803"/>
        <v>1</v>
      </c>
      <c r="S175" s="318">
        <f t="shared" si="803"/>
        <v>1</v>
      </c>
      <c r="T175" s="318">
        <f t="shared" si="803"/>
        <v>1</v>
      </c>
      <c r="U175" s="318">
        <f t="shared" si="803"/>
        <v>1</v>
      </c>
      <c r="V175" s="318">
        <f t="shared" si="803"/>
        <v>1</v>
      </c>
      <c r="W175" s="318">
        <f t="shared" si="803"/>
        <v>1</v>
      </c>
      <c r="X175" s="318">
        <f t="shared" si="803"/>
        <v>1</v>
      </c>
      <c r="Y175" s="318">
        <f t="shared" si="803"/>
        <v>1</v>
      </c>
      <c r="Z175" s="318">
        <f t="shared" si="803"/>
        <v>1</v>
      </c>
      <c r="AA175" s="318">
        <f t="shared" si="803"/>
        <v>1</v>
      </c>
      <c r="AB175" s="318">
        <f t="shared" si="803"/>
        <v>1</v>
      </c>
      <c r="AC175" s="318">
        <f t="shared" si="803"/>
        <v>1</v>
      </c>
      <c r="AD175" s="318">
        <f t="shared" si="803"/>
        <v>1</v>
      </c>
      <c r="AE175" s="318">
        <f t="shared" si="803"/>
        <v>1</v>
      </c>
      <c r="AF175" s="318">
        <f t="shared" si="803"/>
        <v>1</v>
      </c>
      <c r="AG175" s="318">
        <f t="shared" si="803"/>
        <v>1</v>
      </c>
      <c r="AH175" s="318">
        <f t="shared" si="803"/>
        <v>1</v>
      </c>
      <c r="AI175" s="318">
        <f t="shared" si="803"/>
        <v>1</v>
      </c>
      <c r="AJ175" s="318">
        <f t="shared" si="803"/>
        <v>1</v>
      </c>
      <c r="AK175" s="318">
        <f t="shared" si="803"/>
        <v>1</v>
      </c>
      <c r="AL175" s="318">
        <f t="shared" si="803"/>
        <v>1</v>
      </c>
      <c r="AM175" s="318">
        <f t="shared" si="803"/>
        <v>1</v>
      </c>
      <c r="AN175" s="318">
        <f t="shared" si="803"/>
        <v>1</v>
      </c>
      <c r="AO175" s="318">
        <f t="shared" si="803"/>
        <v>1</v>
      </c>
      <c r="AP175" s="318">
        <f t="shared" si="803"/>
        <v>1</v>
      </c>
      <c r="AQ175" s="318">
        <f t="shared" si="803"/>
        <v>1</v>
      </c>
      <c r="AR175" s="318">
        <f t="shared" si="803"/>
        <v>1</v>
      </c>
      <c r="AS175" s="318">
        <f t="shared" si="803"/>
        <v>1</v>
      </c>
      <c r="AT175" s="318">
        <f t="shared" si="803"/>
        <v>1</v>
      </c>
      <c r="AU175" s="318">
        <f t="shared" si="803"/>
        <v>1</v>
      </c>
      <c r="AV175" s="318">
        <f t="shared" si="803"/>
        <v>1</v>
      </c>
      <c r="AW175" s="175"/>
      <c r="AX175" s="117"/>
    </row>
    <row r="176" spans="1:50" x14ac:dyDescent="0.2">
      <c r="A176" s="172" t="str">
        <f ca="1">Language!A$595</f>
        <v>объем продаж за период</v>
      </c>
      <c r="B176" s="337"/>
      <c r="C176" s="313" t="s">
        <v>2259</v>
      </c>
      <c r="D176" s="174"/>
      <c r="E176" s="57" t="s">
        <v>950</v>
      </c>
      <c r="F176" s="57" t="s">
        <v>753</v>
      </c>
      <c r="G176" s="311">
        <f t="shared" ref="G176:AV176" si="804">G47</f>
        <v>156</v>
      </c>
      <c r="H176" s="311">
        <f t="shared" si="804"/>
        <v>702</v>
      </c>
      <c r="I176" s="311">
        <f t="shared" si="804"/>
        <v>1404</v>
      </c>
      <c r="J176" s="311">
        <f t="shared" si="804"/>
        <v>1950</v>
      </c>
      <c r="K176" s="311">
        <f t="shared" si="804"/>
        <v>2340</v>
      </c>
      <c r="L176" s="311">
        <f t="shared" si="804"/>
        <v>2730</v>
      </c>
      <c r="M176" s="311">
        <f t="shared" si="804"/>
        <v>3120</v>
      </c>
      <c r="N176" s="311">
        <f t="shared" si="804"/>
        <v>3510</v>
      </c>
      <c r="O176" s="311">
        <f t="shared" si="804"/>
        <v>3900</v>
      </c>
      <c r="P176" s="311">
        <f t="shared" si="804"/>
        <v>4290</v>
      </c>
      <c r="Q176" s="311">
        <f t="shared" si="804"/>
        <v>4290</v>
      </c>
      <c r="R176" s="311">
        <f t="shared" si="804"/>
        <v>4290</v>
      </c>
      <c r="S176" s="311">
        <f t="shared" si="804"/>
        <v>4290</v>
      </c>
      <c r="T176" s="311">
        <f t="shared" si="804"/>
        <v>4290</v>
      </c>
      <c r="U176" s="311">
        <f t="shared" si="804"/>
        <v>4290</v>
      </c>
      <c r="V176" s="311">
        <f t="shared" si="804"/>
        <v>4290</v>
      </c>
      <c r="W176" s="311">
        <f t="shared" si="804"/>
        <v>4290</v>
      </c>
      <c r="X176" s="311">
        <f t="shared" si="804"/>
        <v>4290</v>
      </c>
      <c r="Y176" s="311">
        <f t="shared" si="804"/>
        <v>4290</v>
      </c>
      <c r="Z176" s="311">
        <f t="shared" si="804"/>
        <v>4290</v>
      </c>
      <c r="AA176" s="311">
        <f t="shared" si="804"/>
        <v>4290</v>
      </c>
      <c r="AB176" s="311">
        <f t="shared" si="804"/>
        <v>4290</v>
      </c>
      <c r="AC176" s="311">
        <f t="shared" si="804"/>
        <v>4290</v>
      </c>
      <c r="AD176" s="311">
        <f t="shared" si="804"/>
        <v>4290</v>
      </c>
      <c r="AE176" s="311">
        <f t="shared" si="804"/>
        <v>4290</v>
      </c>
      <c r="AF176" s="311">
        <f t="shared" si="804"/>
        <v>4290</v>
      </c>
      <c r="AG176" s="311">
        <f t="shared" si="804"/>
        <v>4290</v>
      </c>
      <c r="AH176" s="311">
        <f t="shared" si="804"/>
        <v>4290</v>
      </c>
      <c r="AI176" s="311">
        <f t="shared" si="804"/>
        <v>4290</v>
      </c>
      <c r="AJ176" s="311">
        <f t="shared" si="804"/>
        <v>4290</v>
      </c>
      <c r="AK176" s="311">
        <f t="shared" si="804"/>
        <v>4290</v>
      </c>
      <c r="AL176" s="311">
        <f t="shared" si="804"/>
        <v>4290</v>
      </c>
      <c r="AM176" s="311">
        <f t="shared" si="804"/>
        <v>4290</v>
      </c>
      <c r="AN176" s="311">
        <f t="shared" si="804"/>
        <v>4290</v>
      </c>
      <c r="AO176" s="311">
        <f t="shared" si="804"/>
        <v>4290</v>
      </c>
      <c r="AP176" s="311">
        <f t="shared" si="804"/>
        <v>4290</v>
      </c>
      <c r="AQ176" s="311">
        <f t="shared" si="804"/>
        <v>4290</v>
      </c>
      <c r="AR176" s="311">
        <f t="shared" si="804"/>
        <v>4290</v>
      </c>
      <c r="AS176" s="311">
        <f t="shared" si="804"/>
        <v>4290</v>
      </c>
      <c r="AT176" s="311">
        <f t="shared" si="804"/>
        <v>4290</v>
      </c>
      <c r="AU176" s="311">
        <f t="shared" si="804"/>
        <v>4290</v>
      </c>
      <c r="AV176" s="311">
        <f t="shared" si="804"/>
        <v>4290</v>
      </c>
      <c r="AW176" s="148"/>
      <c r="AX176" s="171">
        <f>SUM(G176:AW176)</f>
        <v>161382</v>
      </c>
    </row>
    <row r="177" spans="1:50" x14ac:dyDescent="0.2">
      <c r="A177" s="83" t="str">
        <f ca="1">Language!A$596 &amp; C176 &amp; Language!A$1457</f>
        <v>цена за единицу (тн), без НДС</v>
      </c>
      <c r="B177" s="322">
        <v>40</v>
      </c>
      <c r="C177" s="146" t="str">
        <f ca="1">CHOOSE(D174,CurName1,CurName2,CurName3)</f>
        <v>тыс. руб.</v>
      </c>
      <c r="E177" s="57" t="s">
        <v>848</v>
      </c>
      <c r="F177" s="57" t="s">
        <v>756</v>
      </c>
      <c r="G177" s="323">
        <f t="shared" ref="G177" ca="1" si="805">IF(G$2=1,$B177,F177)*G188</f>
        <v>40</v>
      </c>
      <c r="H177" s="323">
        <f t="shared" ref="H177" ca="1" si="806">IF(H$2=1,$B177,G177)*H188</f>
        <v>40.586953846746368</v>
      </c>
      <c r="I177" s="323">
        <f t="shared" ref="I177" ca="1" si="807">IF(I$2=1,$B177,H177)*I188</f>
        <v>41.182520563947996</v>
      </c>
      <c r="J177" s="323">
        <f t="shared" ref="J177" ca="1" si="808">IF(J$2=1,$B177,I177)*J188</f>
        <v>41.786826535541017</v>
      </c>
      <c r="K177" s="323">
        <f t="shared" ref="K177" ca="1" si="809">IF(K$2=1,$B177,J177)*K188</f>
        <v>42.4</v>
      </c>
      <c r="L177" s="323">
        <f t="shared" ref="L177" ca="1" si="810">IF(L$2=1,$B177,K177)*L188</f>
        <v>43.02217107755115</v>
      </c>
      <c r="M177" s="323">
        <f t="shared" ref="M177" ca="1" si="811">IF(M$2=1,$B177,L177)*M188</f>
        <v>43.653471797784881</v>
      </c>
      <c r="N177" s="323">
        <f t="shared" ref="N177" ca="1" si="812">IF(N$2=1,$B177,M177)*N188</f>
        <v>44.294036127673486</v>
      </c>
      <c r="O177" s="323">
        <f t="shared" ref="O177" ca="1" si="813">IF(O$2=1,$B177,N177)*O188</f>
        <v>44.944000000000003</v>
      </c>
      <c r="P177" s="323">
        <f t="shared" ref="P177" ca="1" si="814">IF(P$2=1,$B177,O177)*P188</f>
        <v>45.603501342204225</v>
      </c>
      <c r="Q177" s="323">
        <f t="shared" ref="Q177" ca="1" si="815">IF(Q$2=1,$B177,P177)*Q188</f>
        <v>46.272680105651979</v>
      </c>
      <c r="R177" s="323">
        <f t="shared" ref="R177" ca="1" si="816">IF(R$2=1,$B177,Q177)*R188</f>
        <v>46.951678295333899</v>
      </c>
      <c r="S177" s="323">
        <f t="shared" ref="S177" ca="1" si="817">IF(S$2=1,$B177,R177)*S188</f>
        <v>47.640640000000005</v>
      </c>
      <c r="T177" s="323">
        <f t="shared" ref="T177" ca="1" si="818">IF(T$2=1,$B177,S177)*T188</f>
        <v>48.339711422736485</v>
      </c>
      <c r="U177" s="323">
        <f t="shared" ref="U177" ca="1" si="819">IF(U$2=1,$B177,T177)*U188</f>
        <v>49.049040911991106</v>
      </c>
      <c r="V177" s="323">
        <f t="shared" ref="V177" ca="1" si="820">IF(V$2=1,$B177,U177)*V188</f>
        <v>49.768778993053942</v>
      </c>
      <c r="W177" s="323">
        <f t="shared" ref="W177" ca="1" si="821">IF(W$2=1,$B177,V177)*W188</f>
        <v>50.499078400000016</v>
      </c>
      <c r="X177" s="323">
        <f t="shared" ref="X177" ca="1" si="822">IF(X$2=1,$B177,W177)*X188</f>
        <v>51.240094108100685</v>
      </c>
      <c r="Y177" s="323">
        <f t="shared" ref="Y177" ca="1" si="823">IF(Y$2=1,$B177,X177)*Y188</f>
        <v>51.991983366710578</v>
      </c>
      <c r="Z177" s="323">
        <f t="shared" ref="Z177" ca="1" si="824">IF(Z$2=1,$B177,Y177)*Z188</f>
        <v>52.754905732637184</v>
      </c>
      <c r="AA177" s="323">
        <f t="shared" ref="AA177" ca="1" si="825">IF(AA$2=1,$B177,Z177)*AA188</f>
        <v>53.529023104000025</v>
      </c>
      <c r="AB177" s="323">
        <f t="shared" ref="AB177" ca="1" si="826">IF(AB$2=1,$B177,AA177)*AB188</f>
        <v>54.314499754586734</v>
      </c>
      <c r="AC177" s="323">
        <f t="shared" ref="AC177" ca="1" si="827">IF(AC$2=1,$B177,AB177)*AC188</f>
        <v>55.111502368713225</v>
      </c>
      <c r="AD177" s="323">
        <f t="shared" ref="AD177" ca="1" si="828">IF(AD$2=1,$B177,AC177)*AD188</f>
        <v>55.920200076595428</v>
      </c>
      <c r="AE177" s="323">
        <f t="shared" ref="AE177" ca="1" si="829">IF(AE$2=1,$B177,AD177)*AE188</f>
        <v>56.740764490240039</v>
      </c>
      <c r="AF177" s="323">
        <f t="shared" ref="AF177" ca="1" si="830">IF(AF$2=1,$B177,AE177)*AF188</f>
        <v>57.573369739861946</v>
      </c>
      <c r="AG177" s="323">
        <f t="shared" ref="AG177" ca="1" si="831">IF(AG$2=1,$B177,AF177)*AG188</f>
        <v>58.418192510836022</v>
      </c>
      <c r="AH177" s="323">
        <f t="shared" ref="AH177" ca="1" si="832">IF(AH$2=1,$B177,AG177)*AH188</f>
        <v>59.275412081191156</v>
      </c>
      <c r="AI177" s="323">
        <f t="shared" ref="AI177" ca="1" si="833">IF(AI$2=1,$B177,AH177)*AI188</f>
        <v>60.145210359654442</v>
      </c>
      <c r="AJ177" s="323">
        <f t="shared" ref="AJ177" ca="1" si="834">IF(AJ$2=1,$B177,AI177)*AJ188</f>
        <v>61.027771924253663</v>
      </c>
      <c r="AK177" s="323">
        <f t="shared" ref="AK177" ca="1" si="835">IF(AK$2=1,$B177,AJ177)*AK188</f>
        <v>61.923284061486186</v>
      </c>
      <c r="AL177" s="323">
        <f t="shared" ref="AL177" ca="1" si="836">IF(AL$2=1,$B177,AK177)*AL188</f>
        <v>62.831936806062629</v>
      </c>
      <c r="AM177" s="323">
        <f t="shared" ref="AM177" ca="1" si="837">IF(AM$2=1,$B177,AL177)*AM188</f>
        <v>63.753922981233714</v>
      </c>
      <c r="AN177" s="323">
        <f t="shared" ref="AN177" ca="1" si="838">IF(AN$2=1,$B177,AM177)*AN188</f>
        <v>64.689438239708892</v>
      </c>
      <c r="AO177" s="323">
        <f t="shared" ref="AO177" ca="1" si="839">IF(AO$2=1,$B177,AN177)*AO188</f>
        <v>65.638681105175365</v>
      </c>
      <c r="AP177" s="323">
        <f t="shared" ref="AP177" ca="1" si="840">IF(AP$2=1,$B177,AO177)*AP188</f>
        <v>66.601853014426396</v>
      </c>
      <c r="AQ177" s="323">
        <f t="shared" ref="AQ177" ca="1" si="841">IF(AQ$2=1,$B177,AP177)*AQ188</f>
        <v>67.579158360107741</v>
      </c>
      <c r="AR177" s="323">
        <f t="shared" ref="AR177" ca="1" si="842">IF(AR$2=1,$B177,AQ177)*AR188</f>
        <v>68.570804534091423</v>
      </c>
      <c r="AS177" s="323">
        <f t="shared" ref="AS177" ca="1" si="843">IF(AS$2=1,$B177,AR177)*AS188</f>
        <v>69.577001971485885</v>
      </c>
      <c r="AT177" s="323">
        <f t="shared" ref="AT177" ca="1" si="844">IF(AT$2=1,$B177,AS177)*AT188</f>
        <v>70.597964195291979</v>
      </c>
      <c r="AU177" s="323">
        <f t="shared" ref="AU177" ca="1" si="845">IF(AU$2=1,$B177,AT177)*AU188</f>
        <v>71.633907861714206</v>
      </c>
      <c r="AV177" s="323">
        <f t="shared" ref="AV177" ca="1" si="846">IF(AV$2=1,$B177,AU177)*AV188</f>
        <v>72.685052806136909</v>
      </c>
      <c r="AW177" s="148"/>
      <c r="AX177" s="117"/>
    </row>
    <row r="178" spans="1:50" collapsed="1" x14ac:dyDescent="0.2">
      <c r="A178" s="83" t="str">
        <f ca="1">Language!A$597</f>
        <v>выручка от реализации, без НДС</v>
      </c>
      <c r="B178" s="157"/>
      <c r="C178" s="146" t="str">
        <f t="shared" ref="C178" ca="1" si="847">CHOOSE(D178,CurName1,CurName2,CurName3)</f>
        <v>тыс. руб.</v>
      </c>
      <c r="D178" s="155">
        <f>D174</f>
        <v>1</v>
      </c>
      <c r="E178" s="57" t="s">
        <v>992</v>
      </c>
      <c r="F178" s="57" t="s">
        <v>753</v>
      </c>
      <c r="G178" s="176">
        <f t="shared" ref="G178:AV178" ca="1" si="848">G176*G177</f>
        <v>6240</v>
      </c>
      <c r="H178" s="176">
        <f t="shared" ca="1" si="848"/>
        <v>28492.041600415952</v>
      </c>
      <c r="I178" s="176">
        <f t="shared" ca="1" si="848"/>
        <v>57820.258871782986</v>
      </c>
      <c r="J178" s="176">
        <f t="shared" ca="1" si="848"/>
        <v>81484.311744304985</v>
      </c>
      <c r="K178" s="176">
        <f t="shared" ca="1" si="848"/>
        <v>99216</v>
      </c>
      <c r="L178" s="176">
        <f t="shared" ca="1" si="848"/>
        <v>117450.52704171464</v>
      </c>
      <c r="M178" s="176">
        <f t="shared" ca="1" si="848"/>
        <v>136198.83200908883</v>
      </c>
      <c r="N178" s="176">
        <f t="shared" ca="1" si="848"/>
        <v>155472.06680813394</v>
      </c>
      <c r="O178" s="176">
        <f t="shared" ca="1" si="848"/>
        <v>175281.6</v>
      </c>
      <c r="P178" s="176">
        <f t="shared" ca="1" si="848"/>
        <v>195639.02075805614</v>
      </c>
      <c r="Q178" s="176">
        <f t="shared" ca="1" si="848"/>
        <v>198509.79765324699</v>
      </c>
      <c r="R178" s="176">
        <f t="shared" ca="1" si="848"/>
        <v>201422.69988698242</v>
      </c>
      <c r="S178" s="176">
        <f t="shared" ca="1" si="848"/>
        <v>204378.34560000003</v>
      </c>
      <c r="T178" s="176">
        <f t="shared" ca="1" si="848"/>
        <v>207377.36200353951</v>
      </c>
      <c r="U178" s="176">
        <f t="shared" ca="1" si="848"/>
        <v>210420.38551244183</v>
      </c>
      <c r="V178" s="176">
        <f t="shared" ca="1" si="848"/>
        <v>213508.06188020142</v>
      </c>
      <c r="W178" s="176">
        <f t="shared" ca="1" si="848"/>
        <v>216641.04633600006</v>
      </c>
      <c r="X178" s="176">
        <f t="shared" ca="1" si="848"/>
        <v>219820.00372375193</v>
      </c>
      <c r="Y178" s="176">
        <f t="shared" ca="1" si="848"/>
        <v>223045.60864318837</v>
      </c>
      <c r="Z178" s="176">
        <f t="shared" ca="1" si="848"/>
        <v>226318.54559301352</v>
      </c>
      <c r="AA178" s="176">
        <f t="shared" ca="1" si="848"/>
        <v>229639.5091161601</v>
      </c>
      <c r="AB178" s="176">
        <f t="shared" ca="1" si="848"/>
        <v>233009.2039471771</v>
      </c>
      <c r="AC178" s="176">
        <f t="shared" ca="1" si="848"/>
        <v>236428.34516177973</v>
      </c>
      <c r="AD178" s="176">
        <f t="shared" ca="1" si="848"/>
        <v>239897.65832859438</v>
      </c>
      <c r="AE178" s="176">
        <f t="shared" ca="1" si="848"/>
        <v>243417.87966312977</v>
      </c>
      <c r="AF178" s="176">
        <f t="shared" ca="1" si="848"/>
        <v>246989.75618400774</v>
      </c>
      <c r="AG178" s="176">
        <f t="shared" ca="1" si="848"/>
        <v>250614.04587148654</v>
      </c>
      <c r="AH178" s="176">
        <f t="shared" ca="1" si="848"/>
        <v>254291.51782831005</v>
      </c>
      <c r="AI178" s="176">
        <f t="shared" ca="1" si="848"/>
        <v>258022.95244291757</v>
      </c>
      <c r="AJ178" s="176">
        <f t="shared" ca="1" si="848"/>
        <v>261809.14155504821</v>
      </c>
      <c r="AK178" s="176">
        <f t="shared" ca="1" si="848"/>
        <v>265650.88862377574</v>
      </c>
      <c r="AL178" s="176">
        <f t="shared" ca="1" si="848"/>
        <v>269549.00889800867</v>
      </c>
      <c r="AM178" s="176">
        <f t="shared" ca="1" si="848"/>
        <v>273504.32958949264</v>
      </c>
      <c r="AN178" s="176">
        <f t="shared" ca="1" si="848"/>
        <v>277517.69004835113</v>
      </c>
      <c r="AO178" s="176">
        <f t="shared" ca="1" si="848"/>
        <v>281589.94194120233</v>
      </c>
      <c r="AP178" s="176">
        <f t="shared" ca="1" si="848"/>
        <v>285721.94943188922</v>
      </c>
      <c r="AQ178" s="176">
        <f t="shared" ca="1" si="848"/>
        <v>289914.58936486219</v>
      </c>
      <c r="AR178" s="176">
        <f t="shared" ca="1" si="848"/>
        <v>294168.7514512522</v>
      </c>
      <c r="AS178" s="176">
        <f t="shared" ca="1" si="848"/>
        <v>298485.33845767443</v>
      </c>
      <c r="AT178" s="176">
        <f t="shared" ca="1" si="848"/>
        <v>302865.26639780257</v>
      </c>
      <c r="AU178" s="176">
        <f t="shared" ca="1" si="848"/>
        <v>307309.46472675394</v>
      </c>
      <c r="AV178" s="176">
        <f t="shared" ca="1" si="848"/>
        <v>311818.87653832731</v>
      </c>
      <c r="AW178" s="177"/>
      <c r="AX178" s="178">
        <f ca="1">SUM(G178:AW178)</f>
        <v>9086952.6212338675</v>
      </c>
    </row>
    <row r="179" spans="1:50" hidden="1" outlineLevel="1" x14ac:dyDescent="0.2">
      <c r="A179" s="179" t="str">
        <f ca="1">Language!A$598</f>
        <v>дебиторская задолженность</v>
      </c>
      <c r="B179" s="82"/>
      <c r="C179" s="82" t="str">
        <f ca="1">CHOOSE(D179,CurName1,CurName2,CurName3)</f>
        <v>тыс. руб.</v>
      </c>
      <c r="D179" s="155">
        <f>D174</f>
        <v>1</v>
      </c>
      <c r="E179" s="57" t="s">
        <v>994</v>
      </c>
      <c r="F179" s="57" t="s">
        <v>754</v>
      </c>
      <c r="G179" s="319">
        <f ca="1">IF(AND($B180=0,G$2&gt;1),F179,(G178+G189+G190)*$B180/Параметры!G$30)</f>
        <v>2516.8000000000002</v>
      </c>
      <c r="H179" s="319">
        <f ca="1">IF(AND($B180=0,H$2&gt;1),G179,(H178+H189+H190)*$B180/Параметры!H$30)</f>
        <v>11491.790112167768</v>
      </c>
      <c r="I179" s="319">
        <f ca="1">IF(AND($B180=0,I$2&gt;1),H179,(I178+I189+I190)*$B180/Параметры!I$30)</f>
        <v>23320.837744952471</v>
      </c>
      <c r="J179" s="319">
        <f ca="1">IF(AND($B180=0,J$2&gt;1),I179,(J178+J189+J190)*$B180/Параметры!J$30)</f>
        <v>32865.339070203008</v>
      </c>
      <c r="K179" s="319">
        <f ca="1">IF(AND($B180=0,K$2&gt;1),J179,(K178+K189+K190)*$B180/Параметры!K$30)</f>
        <v>40017.120000000003</v>
      </c>
      <c r="L179" s="319">
        <f ca="1">IF(AND($B180=0,L$2&gt;1),K179,(L178+L189+L190)*$B180/Параметры!L$30)</f>
        <v>47371.712573491575</v>
      </c>
      <c r="M179" s="319">
        <f ca="1">IF(AND($B180=0,M$2&gt;1),L179,(M178+M189+M190)*$B180/Параметры!M$30)</f>
        <v>54933.528910332505</v>
      </c>
      <c r="N179" s="319">
        <f ca="1">IF(AND($B180=0,N$2&gt;1),M179,(N178+N189+N190)*$B180/Параметры!N$30)</f>
        <v>62707.066945947357</v>
      </c>
      <c r="O179" s="319">
        <f ca="1">IF(AND($B180=0,O$2&gt;1),N179,(O178+O189+O190)*$B180/Параметры!O$30)</f>
        <v>70696.911999999997</v>
      </c>
      <c r="P179" s="319">
        <f ca="1">IF(AND($B180=0,P$2&gt;1),O179,(P178+P189+P190)*$B180/Параметры!P$30)</f>
        <v>78907.738372415974</v>
      </c>
      <c r="Q179" s="319">
        <f ca="1">IF(AND($B180=0,Q$2&gt;1),P179,(Q178+Q189+Q190)*$B180/Параметры!Q$30)</f>
        <v>80065.618386809627</v>
      </c>
      <c r="R179" s="319">
        <f ca="1">IF(AND($B180=0,R$2&gt;1),Q179,(R178+R189+R190)*$B180/Параметры!R$30)</f>
        <v>81240.488954416243</v>
      </c>
      <c r="S179" s="319">
        <f ca="1">IF(AND($B180=0,S$2&gt;1),R179,(S178+S189+S190)*$B180/Параметры!S$30)</f>
        <v>82432.599392000018</v>
      </c>
      <c r="T179" s="319">
        <f ca="1">IF(AND($B180=0,T$2&gt;1),S179,(T178+T189+T190)*$B180/Параметры!T$30)</f>
        <v>83642.202674760934</v>
      </c>
      <c r="U179" s="319">
        <f ca="1">IF(AND($B180=0,U$2&gt;1),T179,(U178+U189+U190)*$B180/Параметры!U$30)</f>
        <v>84869.555490018203</v>
      </c>
      <c r="V179" s="319">
        <f ca="1">IF(AND($B180=0,V$2&gt;1),U179,(V178+V189+V190)*$B180/Параметры!V$30)</f>
        <v>86114.918291681242</v>
      </c>
      <c r="W179" s="319">
        <f ca="1">IF(AND($B180=0,W$2&gt;1),V179,(W178+W189+W190)*$B180/Параметры!W$30)</f>
        <v>87378.555355520031</v>
      </c>
      <c r="X179" s="319">
        <f ca="1">IF(AND($B180=0,X$2&gt;1),W179,(X178+X189+X190)*$B180/Параметры!X$30)</f>
        <v>88660.734835246607</v>
      </c>
      <c r="Y179" s="319">
        <f ca="1">IF(AND($B180=0,Y$2&gt;1),X179,(Y178+Y189+Y190)*$B180/Параметры!Y$30)</f>
        <v>89961.72881941931</v>
      </c>
      <c r="Z179" s="319">
        <f ca="1">IF(AND($B180=0,Z$2&gt;1),Y179,(Z178+Z189+Z190)*$B180/Параметры!Z$30)</f>
        <v>91281.813389182105</v>
      </c>
      <c r="AA179" s="319">
        <f ca="1">IF(AND($B180=0,AA$2&gt;1),Z179,(AA178+AA189+AA190)*$B180/Параметры!AA$30)</f>
        <v>92621.268676851236</v>
      </c>
      <c r="AB179" s="319">
        <f ca="1">IF(AND($B180=0,AB$2&gt;1),AA179,(AB178+AB189+AB190)*$B180/Параметры!AB$30)</f>
        <v>93980.378925361423</v>
      </c>
      <c r="AC179" s="319">
        <f ca="1">IF(AND($B180=0,AC$2&gt;1),AB179,(AC178+AC189+AC190)*$B180/Параметры!AC$30)</f>
        <v>95359.432548584504</v>
      </c>
      <c r="AD179" s="319">
        <f ca="1">IF(AND($B180=0,AD$2&gt;1),AC179,(AD178+AD189+AD190)*$B180/Параметры!AD$30)</f>
        <v>96758.722192533067</v>
      </c>
      <c r="AE179" s="319">
        <f ca="1">IF(AND($B180=0,AE$2&gt;1),AD179,(AE178+AE189+AE190)*$B180/Параметры!AE$30)</f>
        <v>98178.544797462353</v>
      </c>
      <c r="AF179" s="319">
        <f ca="1">IF(AND($B180=0,AF$2&gt;1),AE179,(AF178+AF189+AF190)*$B180/Параметры!AF$30)</f>
        <v>99619.201660883118</v>
      </c>
      <c r="AG179" s="319">
        <f ca="1">IF(AND($B180=0,AG$2&gt;1),AF179,(AG178+AG189+AG190)*$B180/Параметры!AG$30)</f>
        <v>101080.99850149956</v>
      </c>
      <c r="AH179" s="319">
        <f ca="1">IF(AND($B180=0,AH$2&gt;1),AG179,(AH178+AH189+AH190)*$B180/Параметры!AH$30)</f>
        <v>102564.24552408507</v>
      </c>
      <c r="AI179" s="319">
        <f ca="1">IF(AND($B180=0,AI$2&gt;1),AH179,(AI178+AI189+AI190)*$B180/Параметры!AI$30)</f>
        <v>104069.2574853101</v>
      </c>
      <c r="AJ179" s="319">
        <f ca="1">IF(AND($B180=0,AJ$2&gt;1),AI179,(AJ178+AJ189+AJ190)*$B180/Параметры!AJ$30)</f>
        <v>105596.35376053609</v>
      </c>
      <c r="AK179" s="319">
        <f ca="1">IF(AND($B180=0,AK$2&gt;1),AJ179,(AK178+AK189+AK190)*$B180/Параметры!AK$30)</f>
        <v>107145.85841158955</v>
      </c>
      <c r="AL179" s="319">
        <f ca="1">IF(AND($B180=0,AL$2&gt;1),AK179,(AL178+AL189+AL190)*$B180/Параметры!AL$30)</f>
        <v>108718.10025553017</v>
      </c>
      <c r="AM179" s="319">
        <f ca="1">IF(AND($B180=0,AM$2&gt;1),AL179,(AM178+AM189+AM190)*$B180/Параметры!AM$30)</f>
        <v>110313.41293442868</v>
      </c>
      <c r="AN179" s="319">
        <f ca="1">IF(AND($B180=0,AN$2&gt;1),AM179,(AN178+AN189+AN190)*$B180/Параметры!AN$30)</f>
        <v>111932.1349861683</v>
      </c>
      <c r="AO179" s="319">
        <f ca="1">IF(AND($B180=0,AO$2&gt;1),AN179,(AO178+AO189+AO190)*$B180/Параметры!AO$30)</f>
        <v>113574.60991628493</v>
      </c>
      <c r="AP179" s="319">
        <f ca="1">IF(AND($B180=0,AP$2&gt;1),AO179,(AP178+AP189+AP190)*$B180/Параметры!AP$30)</f>
        <v>115241.18627086199</v>
      </c>
      <c r="AQ179" s="319">
        <f ca="1">IF(AND($B180=0,AQ$2&gt;1),AP179,(AQ178+AQ189+AQ190)*$B180/Параметры!AQ$30)</f>
        <v>116932.21771049441</v>
      </c>
      <c r="AR179" s="319">
        <f ca="1">IF(AND($B180=0,AR$2&gt;1),AQ179,(AR178+AR189+AR190)*$B180/Параметры!AR$30)</f>
        <v>118648.06308533839</v>
      </c>
      <c r="AS179" s="319">
        <f ca="1">IF(AND($B180=0,AS$2&gt;1),AR179,(AS178+AS189+AS190)*$B180/Параметры!AS$30)</f>
        <v>120389.08651126201</v>
      </c>
      <c r="AT179" s="319">
        <f ca="1">IF(AND($B180=0,AT$2&gt;1),AS179,(AT178+AT189+AT190)*$B180/Параметры!AT$30)</f>
        <v>122155.6574471137</v>
      </c>
      <c r="AU179" s="319">
        <f ca="1">IF(AND($B180=0,AU$2&gt;1),AT179,(AU178+AU189+AU190)*$B180/Параметры!AU$30)</f>
        <v>123948.15077312409</v>
      </c>
      <c r="AV179" s="319">
        <f ca="1">IF(AND($B180=0,AV$2&gt;1),AU179,(AV178+AV189+AV190)*$B180/Параметры!AV$30)</f>
        <v>125766.94687045869</v>
      </c>
      <c r="AW179" s="180"/>
      <c r="AX179" s="87"/>
    </row>
    <row r="180" spans="1:50" hidden="1" outlineLevel="1" x14ac:dyDescent="0.2">
      <c r="A180" s="181" t="str">
        <f ca="1">Language!A$599</f>
        <v>средний период отсрочки платежа</v>
      </c>
      <c r="B180" s="320">
        <f>$B$618</f>
        <v>33</v>
      </c>
      <c r="C180" s="152" t="str">
        <f ca="1">Language!$A$1446</f>
        <v>дней</v>
      </c>
      <c r="D180" s="100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48"/>
      <c r="AX180" s="150"/>
    </row>
    <row r="181" spans="1:50" hidden="1" outlineLevel="1" x14ac:dyDescent="0.2">
      <c r="A181" s="179" t="str">
        <f ca="1">Language!A$600</f>
        <v xml:space="preserve">авансы полученные </v>
      </c>
      <c r="B181" s="82"/>
      <c r="C181" s="103" t="str">
        <f ca="1">CHOOSE(D181,CurName1,CurName2,CurName3)</f>
        <v>тыс. руб.</v>
      </c>
      <c r="D181" s="155">
        <f>D174</f>
        <v>1</v>
      </c>
      <c r="E181" s="57" t="s">
        <v>995</v>
      </c>
      <c r="F181" s="57" t="s">
        <v>754</v>
      </c>
      <c r="G181" s="316">
        <f ca="1">IF(AND($B182=0,G$2&gt;1),F181,(OFFSET(G178,0,1)+OFFSET(G189,0,1)+OFFSET(G190,0,1))*$B182/Параметры!G$30)</f>
        <v>0</v>
      </c>
      <c r="H181" s="316">
        <f ca="1">IF(AND($B182=0,H$2&gt;1),G181,(OFFSET(H178,0,1)+OFFSET(H189,0,1)+OFFSET(H190,0,1))*$B182/Параметры!H$30)</f>
        <v>0</v>
      </c>
      <c r="I181" s="316">
        <f ca="1">IF(AND($B182=0,I$2&gt;1),H181,(OFFSET(I178,0,1)+OFFSET(I189,0,1)+OFFSET(I190,0,1))*$B182/Параметры!I$30)</f>
        <v>0</v>
      </c>
      <c r="J181" s="316">
        <f ca="1">IF(AND($B182=0,J$2&gt;1),I181,(OFFSET(J178,0,1)+OFFSET(J189,0,1)+OFFSET(J190,0,1))*$B182/Параметры!J$30)</f>
        <v>0</v>
      </c>
      <c r="K181" s="316">
        <f ca="1">IF(AND($B182=0,K$2&gt;1),J181,(OFFSET(K178,0,1)+OFFSET(K189,0,1)+OFFSET(K190,0,1))*$B182/Параметры!K$30)</f>
        <v>0</v>
      </c>
      <c r="L181" s="316">
        <f ca="1">IF(AND($B182=0,L$2&gt;1),K181,(OFFSET(L178,0,1)+OFFSET(L189,0,1)+OFFSET(L190,0,1))*$B182/Параметры!L$30)</f>
        <v>0</v>
      </c>
      <c r="M181" s="316">
        <f ca="1">IF(AND($B182=0,M$2&gt;1),L181,(OFFSET(M178,0,1)+OFFSET(M189,0,1)+OFFSET(M190,0,1))*$B182/Параметры!M$30)</f>
        <v>0</v>
      </c>
      <c r="N181" s="316">
        <f ca="1">IF(AND($B182=0,N$2&gt;1),M181,(OFFSET(N178,0,1)+OFFSET(N189,0,1)+OFFSET(N190,0,1))*$B182/Параметры!N$30)</f>
        <v>0</v>
      </c>
      <c r="O181" s="316">
        <f ca="1">IF(AND($B182=0,O$2&gt;1),N181,(OFFSET(O178,0,1)+OFFSET(O189,0,1)+OFFSET(O190,0,1))*$B182/Параметры!O$30)</f>
        <v>0</v>
      </c>
      <c r="P181" s="316">
        <f ca="1">IF(AND($B182=0,P$2&gt;1),O181,(OFFSET(P178,0,1)+OFFSET(P189,0,1)+OFFSET(P190,0,1))*$B182/Параметры!P$30)</f>
        <v>0</v>
      </c>
      <c r="Q181" s="316">
        <f ca="1">IF(AND($B182=0,Q$2&gt;1),P181,(OFFSET(Q178,0,1)+OFFSET(Q189,0,1)+OFFSET(Q190,0,1))*$B182/Параметры!Q$30)</f>
        <v>0</v>
      </c>
      <c r="R181" s="316">
        <f ca="1">IF(AND($B182=0,R$2&gt;1),Q181,(OFFSET(R178,0,1)+OFFSET(R189,0,1)+OFFSET(R190,0,1))*$B182/Параметры!R$30)</f>
        <v>0</v>
      </c>
      <c r="S181" s="316">
        <f ca="1">IF(AND($B182=0,S$2&gt;1),R181,(OFFSET(S178,0,1)+OFFSET(S189,0,1)+OFFSET(S190,0,1))*$B182/Параметры!S$30)</f>
        <v>0</v>
      </c>
      <c r="T181" s="316">
        <f ca="1">IF(AND($B182=0,T$2&gt;1),S181,(OFFSET(T178,0,1)+OFFSET(T189,0,1)+OFFSET(T190,0,1))*$B182/Параметры!T$30)</f>
        <v>0</v>
      </c>
      <c r="U181" s="316">
        <f ca="1">IF(AND($B182=0,U$2&gt;1),T181,(OFFSET(U178,0,1)+OFFSET(U189,0,1)+OFFSET(U190,0,1))*$B182/Параметры!U$30)</f>
        <v>0</v>
      </c>
      <c r="V181" s="316">
        <f ca="1">IF(AND($B182=0,V$2&gt;1),U181,(OFFSET(V178,0,1)+OFFSET(V189,0,1)+OFFSET(V190,0,1))*$B182/Параметры!V$30)</f>
        <v>0</v>
      </c>
      <c r="W181" s="316">
        <f ca="1">IF(AND($B182=0,W$2&gt;1),V181,(OFFSET(W178,0,1)+OFFSET(W189,0,1)+OFFSET(W190,0,1))*$B182/Параметры!W$30)</f>
        <v>0</v>
      </c>
      <c r="X181" s="316">
        <f ca="1">IF(AND($B182=0,X$2&gt;1),W181,(OFFSET(X178,0,1)+OFFSET(X189,0,1)+OFFSET(X190,0,1))*$B182/Параметры!X$30)</f>
        <v>0</v>
      </c>
      <c r="Y181" s="316">
        <f ca="1">IF(AND($B182=0,Y$2&gt;1),X181,(OFFSET(Y178,0,1)+OFFSET(Y189,0,1)+OFFSET(Y190,0,1))*$B182/Параметры!Y$30)</f>
        <v>0</v>
      </c>
      <c r="Z181" s="316">
        <f ca="1">IF(AND($B182=0,Z$2&gt;1),Y181,(OFFSET(Z178,0,1)+OFFSET(Z189,0,1)+OFFSET(Z190,0,1))*$B182/Параметры!Z$30)</f>
        <v>0</v>
      </c>
      <c r="AA181" s="316">
        <f ca="1">IF(AND($B182=0,AA$2&gt;1),Z181,(OFFSET(AA178,0,1)+OFFSET(AA189,0,1)+OFFSET(AA190,0,1))*$B182/Параметры!AA$30)</f>
        <v>0</v>
      </c>
      <c r="AB181" s="316">
        <f ca="1">IF(AND($B182=0,AB$2&gt;1),AA181,(OFFSET(AB178,0,1)+OFFSET(AB189,0,1)+OFFSET(AB190,0,1))*$B182/Параметры!AB$30)</f>
        <v>0</v>
      </c>
      <c r="AC181" s="316">
        <f ca="1">IF(AND($B182=0,AC$2&gt;1),AB181,(OFFSET(AC178,0,1)+OFFSET(AC189,0,1)+OFFSET(AC190,0,1))*$B182/Параметры!AC$30)</f>
        <v>0</v>
      </c>
      <c r="AD181" s="316">
        <f ca="1">IF(AND($B182=0,AD$2&gt;1),AC181,(OFFSET(AD178,0,1)+OFFSET(AD189,0,1)+OFFSET(AD190,0,1))*$B182/Параметры!AD$30)</f>
        <v>0</v>
      </c>
      <c r="AE181" s="316">
        <f ca="1">IF(AND($B182=0,AE$2&gt;1),AD181,(OFFSET(AE178,0,1)+OFFSET(AE189,0,1)+OFFSET(AE190,0,1))*$B182/Параметры!AE$30)</f>
        <v>0</v>
      </c>
      <c r="AF181" s="316">
        <f ca="1">IF(AND($B182=0,AF$2&gt;1),AE181,(OFFSET(AF178,0,1)+OFFSET(AF189,0,1)+OFFSET(AF190,0,1))*$B182/Параметры!AF$30)</f>
        <v>0</v>
      </c>
      <c r="AG181" s="316">
        <f ca="1">IF(AND($B182=0,AG$2&gt;1),AF181,(OFFSET(AG178,0,1)+OFFSET(AG189,0,1)+OFFSET(AG190,0,1))*$B182/Параметры!AG$30)</f>
        <v>0</v>
      </c>
      <c r="AH181" s="316">
        <f ca="1">IF(AND($B182=0,AH$2&gt;1),AG181,(OFFSET(AH178,0,1)+OFFSET(AH189,0,1)+OFFSET(AH190,0,1))*$B182/Параметры!AH$30)</f>
        <v>0</v>
      </c>
      <c r="AI181" s="316">
        <f ca="1">IF(AND($B182=0,AI$2&gt;1),AH181,(OFFSET(AI178,0,1)+OFFSET(AI189,0,1)+OFFSET(AI190,0,1))*$B182/Параметры!AI$30)</f>
        <v>0</v>
      </c>
      <c r="AJ181" s="316">
        <f ca="1">IF(AND($B182=0,AJ$2&gt;1),AI181,(OFFSET(AJ178,0,1)+OFFSET(AJ189,0,1)+OFFSET(AJ190,0,1))*$B182/Параметры!AJ$30)</f>
        <v>0</v>
      </c>
      <c r="AK181" s="316">
        <f ca="1">IF(AND($B182=0,AK$2&gt;1),AJ181,(OFFSET(AK178,0,1)+OFFSET(AK189,0,1)+OFFSET(AK190,0,1))*$B182/Параметры!AK$30)</f>
        <v>0</v>
      </c>
      <c r="AL181" s="316">
        <f ca="1">IF(AND($B182=0,AL$2&gt;1),AK181,(OFFSET(AL178,0,1)+OFFSET(AL189,0,1)+OFFSET(AL190,0,1))*$B182/Параметры!AL$30)</f>
        <v>0</v>
      </c>
      <c r="AM181" s="316">
        <f ca="1">IF(AND($B182=0,AM$2&gt;1),AL181,(OFFSET(AM178,0,1)+OFFSET(AM189,0,1)+OFFSET(AM190,0,1))*$B182/Параметры!AM$30)</f>
        <v>0</v>
      </c>
      <c r="AN181" s="316">
        <f ca="1">IF(AND($B182=0,AN$2&gt;1),AM181,(OFFSET(AN178,0,1)+OFFSET(AN189,0,1)+OFFSET(AN190,0,1))*$B182/Параметры!AN$30)</f>
        <v>0</v>
      </c>
      <c r="AO181" s="316">
        <f ca="1">IF(AND($B182=0,AO$2&gt;1),AN181,(OFFSET(AO178,0,1)+OFFSET(AO189,0,1)+OFFSET(AO190,0,1))*$B182/Параметры!AO$30)</f>
        <v>0</v>
      </c>
      <c r="AP181" s="316">
        <f ca="1">IF(AND($B182=0,AP$2&gt;1),AO181,(OFFSET(AP178,0,1)+OFFSET(AP189,0,1)+OFFSET(AP190,0,1))*$B182/Параметры!AP$30)</f>
        <v>0</v>
      </c>
      <c r="AQ181" s="316">
        <f ca="1">IF(AND($B182=0,AQ$2&gt;1),AP181,(OFFSET(AQ178,0,1)+OFFSET(AQ189,0,1)+OFFSET(AQ190,0,1))*$B182/Параметры!AQ$30)</f>
        <v>0</v>
      </c>
      <c r="AR181" s="316">
        <f ca="1">IF(AND($B182=0,AR$2&gt;1),AQ181,(OFFSET(AR178,0,1)+OFFSET(AR189,0,1)+OFFSET(AR190,0,1))*$B182/Параметры!AR$30)</f>
        <v>0</v>
      </c>
      <c r="AS181" s="316">
        <f ca="1">IF(AND($B182=0,AS$2&gt;1),AR181,(OFFSET(AS178,0,1)+OFFSET(AS189,0,1)+OFFSET(AS190,0,1))*$B182/Параметры!AS$30)</f>
        <v>0</v>
      </c>
      <c r="AT181" s="316">
        <f ca="1">IF(AND($B182=0,AT$2&gt;1),AS181,(OFFSET(AT178,0,1)+OFFSET(AT189,0,1)+OFFSET(AT190,0,1))*$B182/Параметры!AT$30)</f>
        <v>0</v>
      </c>
      <c r="AU181" s="316">
        <f ca="1">IF(AND($B182=0,AU$2&gt;1),AT181,(OFFSET(AU178,0,1)+OFFSET(AU189,0,1)+OFFSET(AU190,0,1))*$B182/Параметры!AU$30)</f>
        <v>0</v>
      </c>
      <c r="AV181" s="316">
        <f ca="1">IF(AND($B182=0,AV$2&gt;1),AU181,(OFFSET(AV178,0,1)+OFFSET(AV189,0,1)+OFFSET(AV190,0,1))*$B182/Параметры!AV$30)</f>
        <v>0</v>
      </c>
      <c r="AW181" s="168"/>
      <c r="AX181" s="182"/>
    </row>
    <row r="182" spans="1:50" hidden="1" outlineLevel="1" x14ac:dyDescent="0.2">
      <c r="A182" s="181" t="str">
        <f ca="1">Language!A$601</f>
        <v>средний период предоплаты</v>
      </c>
      <c r="B182" s="320">
        <f>$B$624</f>
        <v>0</v>
      </c>
      <c r="C182" s="152" t="str">
        <f ca="1">Language!$A$1446</f>
        <v>дней</v>
      </c>
      <c r="D182" s="100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48"/>
      <c r="AX182" s="150"/>
    </row>
    <row r="183" spans="1:50" hidden="1" outlineLevel="1" x14ac:dyDescent="0.2">
      <c r="A183" s="179" t="str">
        <f ca="1">Language!A$602</f>
        <v>поступление денежных средств, с НДС</v>
      </c>
      <c r="B183" s="52"/>
      <c r="C183" s="103" t="str">
        <f ca="1">CHOOSE(D183,CurName1,CurName2,CurName3)</f>
        <v>тыс. руб.</v>
      </c>
      <c r="D183" s="155">
        <f>D174</f>
        <v>1</v>
      </c>
      <c r="E183" s="57" t="s">
        <v>993</v>
      </c>
      <c r="F183" s="57" t="s">
        <v>753</v>
      </c>
      <c r="G183" s="180">
        <f ca="1">G178+G189+G190-IF(G$2=1,G179,G179-F179)+IF(G$2=1,G181,G181-F181)</f>
        <v>4347.2</v>
      </c>
      <c r="H183" s="180">
        <f t="shared" ref="H183" ca="1" si="849">H178+H189+H190-IF(H$2=1,H179,H179-G179)+IF(H$2=1,H181,H181-G181)</f>
        <v>22366.255648289778</v>
      </c>
      <c r="I183" s="180">
        <f t="shared" ref="I183" ca="1" si="850">I178+I189+I190-IF(I$2=1,I179,I179-H179)+IF(I$2=1,I181,I181-H181)</f>
        <v>51773.23712617658</v>
      </c>
      <c r="J183" s="180">
        <f t="shared" ref="J183" ca="1" si="851">J178+J189+J190-IF(J$2=1,J179,J179-I179)+IF(J$2=1,J181,J181-I181)</f>
        <v>80088.241593484941</v>
      </c>
      <c r="K183" s="180">
        <f t="shared" ref="K183" ca="1" si="852">K178+K189+K190-IF(K$2=1,K179,K179-J179)+IF(K$2=1,K181,K181-J181)</f>
        <v>101985.81907020301</v>
      </c>
      <c r="L183" s="180">
        <f t="shared" ref="L183" ca="1" si="853">L178+L189+L190-IF(L$2=1,L179,L179-K179)+IF(L$2=1,L181,L181-K181)</f>
        <v>121840.98717239453</v>
      </c>
      <c r="M183" s="180">
        <f t="shared" ref="M183" ca="1" si="854">M178+M189+M190-IF(M$2=1,M179,M179-L179)+IF(M$2=1,M181,M181-L181)</f>
        <v>142256.89887315681</v>
      </c>
      <c r="N183" s="180">
        <f t="shared" ref="N183" ca="1" si="855">N178+N189+N190-IF(N$2=1,N179,N179-M179)+IF(N$2=1,N181,N181-M181)</f>
        <v>163245.73545333248</v>
      </c>
      <c r="O183" s="180">
        <f t="shared" ref="O183" ca="1" si="856">O178+O189+O190-IF(O$2=1,O179,O179-N179)+IF(O$2=1,O181,O181-N181)</f>
        <v>184819.91494594736</v>
      </c>
      <c r="P183" s="180">
        <f t="shared" ref="P183" ca="1" si="857">P178+P189+P190-IF(P$2=1,P179,P179-O179)+IF(P$2=1,P181,P181-O181)</f>
        <v>206992.09646144579</v>
      </c>
      <c r="Q183" s="180">
        <f t="shared" ref="Q183" ca="1" si="858">Q178+Q189+Q190-IF(Q$2=1,Q179,Q179-P179)+IF(Q$2=1,Q181,Q181-P181)</f>
        <v>217202.89740417805</v>
      </c>
      <c r="R183" s="180">
        <f t="shared" ref="R183" ca="1" si="859">R178+R189+R190-IF(R$2=1,R179,R179-Q179)+IF(R$2=1,R181,R181-Q181)</f>
        <v>220390.09930807404</v>
      </c>
      <c r="S183" s="180">
        <f t="shared" ref="S183" ca="1" si="860">S178+S189+S190-IF(S$2=1,S179,S179-R179)+IF(S$2=1,S181,S181-R181)</f>
        <v>223624.06972241629</v>
      </c>
      <c r="T183" s="180">
        <f t="shared" ref="T183" ca="1" si="861">T178+T189+T190-IF(T$2=1,T179,T179-S179)+IF(T$2=1,T181,T181-S181)</f>
        <v>226905.49492113254</v>
      </c>
      <c r="U183" s="180">
        <f t="shared" ref="U183" ca="1" si="862">U178+U189+U190-IF(U$2=1,U179,U179-T179)+IF(U$2=1,U181,U181-T181)</f>
        <v>230235.07124842875</v>
      </c>
      <c r="V183" s="180">
        <f t="shared" ref="V183" ca="1" si="863">V178+V189+V190-IF(V$2=1,V179,V179-U179)+IF(V$2=1,V181,V181-U181)</f>
        <v>233613.5052665585</v>
      </c>
      <c r="W183" s="180">
        <f t="shared" ref="W183" ca="1" si="864">W178+W189+W190-IF(W$2=1,W179,W179-V179)+IF(W$2=1,W181,W181-V181)</f>
        <v>237041.5139057613</v>
      </c>
      <c r="X183" s="180">
        <f t="shared" ref="X183" ca="1" si="865">X178+X189+X190-IF(X$2=1,X179,X179-W179)+IF(X$2=1,X181,X181-W181)</f>
        <v>240519.82461640052</v>
      </c>
      <c r="Y183" s="180">
        <f t="shared" ref="Y183" ca="1" si="866">Y178+Y189+Y190-IF(Y$2=1,Y179,Y179-X179)+IF(Y$2=1,Y181,Y181-X181)</f>
        <v>244049.1755233345</v>
      </c>
      <c r="Z183" s="180">
        <f t="shared" ref="Z183" ca="1" si="867">Z178+Z189+Z190-IF(Z$2=1,Z179,Z179-Y179)+IF(Z$2=1,Z181,Z181-Y181)</f>
        <v>247630.31558255205</v>
      </c>
      <c r="AA183" s="180">
        <f t="shared" ref="AA183" ca="1" si="868">AA178+AA189+AA190-IF(AA$2=1,AA179,AA179-Z179)+IF(AA$2=1,AA181,AA181-Z181)</f>
        <v>251264.00474010699</v>
      </c>
      <c r="AB183" s="180">
        <f t="shared" ref="AB183" ca="1" si="869">AB178+AB189+AB190-IF(AB$2=1,AB179,AB179-AA179)+IF(AB$2=1,AB181,AB181-AA181)</f>
        <v>254951.01409338461</v>
      </c>
      <c r="AC183" s="180">
        <f t="shared" ref="AC183" ca="1" si="870">AC178+AC189+AC190-IF(AC$2=1,AC179,AC179-AB179)+IF(AC$2=1,AC181,AC181-AB181)</f>
        <v>258692.12605473463</v>
      </c>
      <c r="AD183" s="180">
        <f t="shared" ref="AD183" ca="1" si="871">AD178+AD189+AD190-IF(AD$2=1,AD179,AD179-AC179)+IF(AD$2=1,AD181,AD181-AC181)</f>
        <v>262488.13451750524</v>
      </c>
      <c r="AE183" s="180">
        <f t="shared" ref="AE183" ca="1" si="872">AE178+AE189+AE190-IF(AE$2=1,AE179,AE179-AD179)+IF(AE$2=1,AE181,AE181-AD181)</f>
        <v>266339.84502451349</v>
      </c>
      <c r="AF183" s="180">
        <f t="shared" ref="AF183" ca="1" si="873">AF178+AF189+AF190-IF(AF$2=1,AF179,AF179-AE179)+IF(AF$2=1,AF181,AF181-AE181)</f>
        <v>270248.07493898773</v>
      </c>
      <c r="AG183" s="180">
        <f t="shared" ref="AG183" ca="1" si="874">AG178+AG189+AG190-IF(AG$2=1,AG179,AG179-AF179)+IF(AG$2=1,AG181,AG181-AF181)</f>
        <v>274213.65361801872</v>
      </c>
      <c r="AH183" s="180">
        <f t="shared" ref="AH183" ca="1" si="875">AH178+AH189+AH190-IF(AH$2=1,AH179,AH179-AG179)+IF(AH$2=1,AH181,AH181-AG181)</f>
        <v>278237.42258855561</v>
      </c>
      <c r="AI183" s="180">
        <f t="shared" ref="AI183" ca="1" si="876">AI178+AI189+AI190-IF(AI$2=1,AI179,AI179-AH179)+IF(AI$2=1,AI181,AI181-AH181)</f>
        <v>282320.23572598433</v>
      </c>
      <c r="AJ183" s="180">
        <f t="shared" ref="AJ183" ca="1" si="877">AJ178+AJ189+AJ190-IF(AJ$2=1,AJ179,AJ179-AI179)+IF(AJ$2=1,AJ181,AJ181-AI181)</f>
        <v>286462.95943532704</v>
      </c>
      <c r="AK183" s="180">
        <f t="shared" ref="AK183" ca="1" si="878">AK178+AK189+AK190-IF(AK$2=1,AK179,AK179-AJ179)+IF(AK$2=1,AK181,AK181-AJ181)</f>
        <v>290666.47283509985</v>
      </c>
      <c r="AL183" s="180">
        <f t="shared" ref="AL183" ca="1" si="879">AL178+AL189+AL190-IF(AL$2=1,AL179,AL179-AK179)+IF(AL$2=1,AL181,AL181-AK181)</f>
        <v>294931.6679438689</v>
      </c>
      <c r="AM183" s="180">
        <f t="shared" ref="AM183" ca="1" si="880">AM178+AM189+AM190-IF(AM$2=1,AM179,AM179-AL179)+IF(AM$2=1,AM181,AM181-AL181)</f>
        <v>299259.44986954337</v>
      </c>
      <c r="AN183" s="180">
        <f t="shared" ref="AN183" ca="1" si="881">AN178+AN189+AN190-IF(AN$2=1,AN179,AN179-AM179)+IF(AN$2=1,AN181,AN181-AM181)</f>
        <v>303650.7370014466</v>
      </c>
      <c r="AO183" s="180">
        <f t="shared" ref="AO183" ca="1" si="882">AO178+AO189+AO190-IF(AO$2=1,AO179,AO179-AN179)+IF(AO$2=1,AO181,AO181-AN181)</f>
        <v>308106.46120520594</v>
      </c>
      <c r="AP183" s="180">
        <f t="shared" ref="AP183" ca="1" si="883">AP178+AP189+AP190-IF(AP$2=1,AP179,AP179-AO179)+IF(AP$2=1,AP181,AP181-AO181)</f>
        <v>312627.56802050106</v>
      </c>
      <c r="AQ183" s="180">
        <f t="shared" ref="AQ183" ca="1" si="884">AQ178+AQ189+AQ190-IF(AQ$2=1,AQ179,AQ179-AP179)+IF(AQ$2=1,AQ181,AQ181-AP181)</f>
        <v>317215.01686171599</v>
      </c>
      <c r="AR183" s="180">
        <f t="shared" ref="AR183" ca="1" si="885">AR178+AR189+AR190-IF(AR$2=1,AR179,AR179-AQ179)+IF(AR$2=1,AR181,AR181-AQ181)</f>
        <v>321869.78122153343</v>
      </c>
      <c r="AS183" s="180">
        <f t="shared" ref="AS183" ca="1" si="886">AS178+AS189+AS190-IF(AS$2=1,AS179,AS179-AR179)+IF(AS$2=1,AS181,AS181-AR181)</f>
        <v>326592.84887751826</v>
      </c>
      <c r="AT183" s="180">
        <f t="shared" ref="AT183" ca="1" si="887">AT178+AT189+AT190-IF(AT$2=1,AT179,AT179-AS179)+IF(AT$2=1,AT181,AT181-AS181)</f>
        <v>331385.22210173111</v>
      </c>
      <c r="AU183" s="180">
        <f t="shared" ref="AU183" ca="1" si="888">AU178+AU189+AU190-IF(AU$2=1,AU179,AU179-AT179)+IF(AU$2=1,AU181,AU181-AT181)</f>
        <v>336247.91787341889</v>
      </c>
      <c r="AV183" s="180">
        <f t="shared" ref="AV183" ca="1" si="889">AV178+AV189+AV190-IF(AV$2=1,AV179,AV179-AU179)+IF(AV$2=1,AV181,AV181-AU181)</f>
        <v>341181.96809482545</v>
      </c>
      <c r="AW183" s="180"/>
      <c r="AX183" s="169">
        <f ca="1">SUM(G183:AW183)</f>
        <v>9869880.9364867955</v>
      </c>
    </row>
    <row r="184" spans="1:50" hidden="1" outlineLevel="1" x14ac:dyDescent="0.2">
      <c r="A184" s="179" t="str">
        <f ca="1">Language!A$603</f>
        <v>темп изменения цен</v>
      </c>
      <c r="B184" s="84"/>
      <c r="C184" s="82" t="str">
        <f ca="1">Language!$A$471</f>
        <v>% в год</v>
      </c>
      <c r="D184" s="153"/>
      <c r="F184" s="57" t="s">
        <v>756</v>
      </c>
      <c r="G184" s="321">
        <f>CHOOSE($D174,Параметры!G$47,Параметры!G$56,Параметры!G$62)</f>
        <v>0.06</v>
      </c>
      <c r="H184" s="321">
        <f>CHOOSE($D174,Параметры!H$47,Параметры!H$56,Параметры!H$62)</f>
        <v>0.06</v>
      </c>
      <c r="I184" s="321">
        <f>CHOOSE($D174,Параметры!I$47,Параметры!I$56,Параметры!I$62)</f>
        <v>0.06</v>
      </c>
      <c r="J184" s="321">
        <f>CHOOSE($D174,Параметры!J$47,Параметры!J$56,Параметры!J$62)</f>
        <v>0.06</v>
      </c>
      <c r="K184" s="321">
        <f>CHOOSE($D174,Параметры!K$47,Параметры!K$56,Параметры!K$62)</f>
        <v>0.06</v>
      </c>
      <c r="L184" s="321">
        <f>CHOOSE($D174,Параметры!L$47,Параметры!L$56,Параметры!L$62)</f>
        <v>0.06</v>
      </c>
      <c r="M184" s="321">
        <f>CHOOSE($D174,Параметры!M$47,Параметры!M$56,Параметры!M$62)</f>
        <v>0.06</v>
      </c>
      <c r="N184" s="321">
        <f>CHOOSE($D174,Параметры!N$47,Параметры!N$56,Параметры!N$62)</f>
        <v>0.06</v>
      </c>
      <c r="O184" s="321">
        <f>CHOOSE($D174,Параметры!O$47,Параметры!O$56,Параметры!O$62)</f>
        <v>0.06</v>
      </c>
      <c r="P184" s="321">
        <f>CHOOSE($D174,Параметры!P$47,Параметры!P$56,Параметры!P$62)</f>
        <v>0.06</v>
      </c>
      <c r="Q184" s="321">
        <f>CHOOSE($D174,Параметры!Q$47,Параметры!Q$56,Параметры!Q$62)</f>
        <v>0.06</v>
      </c>
      <c r="R184" s="321">
        <f>CHOOSE($D174,Параметры!R$47,Параметры!R$56,Параметры!R$62)</f>
        <v>0.06</v>
      </c>
      <c r="S184" s="321">
        <f>CHOOSE($D174,Параметры!S$47,Параметры!S$56,Параметры!S$62)</f>
        <v>0.06</v>
      </c>
      <c r="T184" s="321">
        <f>CHOOSE($D174,Параметры!T$47,Параметры!T$56,Параметры!T$62)</f>
        <v>0.06</v>
      </c>
      <c r="U184" s="321">
        <f>CHOOSE($D174,Параметры!U$47,Параметры!U$56,Параметры!U$62)</f>
        <v>0.06</v>
      </c>
      <c r="V184" s="321">
        <f>CHOOSE($D174,Параметры!V$47,Параметры!V$56,Параметры!V$62)</f>
        <v>0.06</v>
      </c>
      <c r="W184" s="321">
        <f>CHOOSE($D174,Параметры!W$47,Параметры!W$56,Параметры!W$62)</f>
        <v>0.06</v>
      </c>
      <c r="X184" s="321">
        <f>CHOOSE($D174,Параметры!X$47,Параметры!X$56,Параметры!X$62)</f>
        <v>0.06</v>
      </c>
      <c r="Y184" s="321">
        <f>CHOOSE($D174,Параметры!Y$47,Параметры!Y$56,Параметры!Y$62)</f>
        <v>0.06</v>
      </c>
      <c r="Z184" s="321">
        <f>CHOOSE($D174,Параметры!Z$47,Параметры!Z$56,Параметры!Z$62)</f>
        <v>0.06</v>
      </c>
      <c r="AA184" s="321">
        <f>CHOOSE($D174,Параметры!AA$47,Параметры!AA$56,Параметры!AA$62)</f>
        <v>0.06</v>
      </c>
      <c r="AB184" s="321">
        <f>CHOOSE($D174,Параметры!AB$47,Параметры!AB$56,Параметры!AB$62)</f>
        <v>0.06</v>
      </c>
      <c r="AC184" s="321">
        <f>CHOOSE($D174,Параметры!AC$47,Параметры!AC$56,Параметры!AC$62)</f>
        <v>0.06</v>
      </c>
      <c r="AD184" s="321">
        <f>CHOOSE($D174,Параметры!AD$47,Параметры!AD$56,Параметры!AD$62)</f>
        <v>0.06</v>
      </c>
      <c r="AE184" s="321">
        <f>CHOOSE($D174,Параметры!AE$47,Параметры!AE$56,Параметры!AE$62)</f>
        <v>0.06</v>
      </c>
      <c r="AF184" s="321">
        <f>CHOOSE($D174,Параметры!AF$47,Параметры!AF$56,Параметры!AF$62)</f>
        <v>0.06</v>
      </c>
      <c r="AG184" s="321">
        <f>CHOOSE($D174,Параметры!AG$47,Параметры!AG$56,Параметры!AG$62)</f>
        <v>0.06</v>
      </c>
      <c r="AH184" s="321">
        <f>CHOOSE($D174,Параметры!AH$47,Параметры!AH$56,Параметры!AH$62)</f>
        <v>0.06</v>
      </c>
      <c r="AI184" s="321">
        <f>CHOOSE($D174,Параметры!AI$47,Параметры!AI$56,Параметры!AI$62)</f>
        <v>0.06</v>
      </c>
      <c r="AJ184" s="321">
        <f>CHOOSE($D174,Параметры!AJ$47,Параметры!AJ$56,Параметры!AJ$62)</f>
        <v>0.06</v>
      </c>
      <c r="AK184" s="321">
        <f>CHOOSE($D174,Параметры!AK$47,Параметры!AK$56,Параметры!AK$62)</f>
        <v>0.06</v>
      </c>
      <c r="AL184" s="321">
        <f>CHOOSE($D174,Параметры!AL$47,Параметры!AL$56,Параметры!AL$62)</f>
        <v>0.06</v>
      </c>
      <c r="AM184" s="321">
        <f>CHOOSE($D174,Параметры!AM$47,Параметры!AM$56,Параметры!AM$62)</f>
        <v>0.06</v>
      </c>
      <c r="AN184" s="321">
        <f>CHOOSE($D174,Параметры!AN$47,Параметры!AN$56,Параметры!AN$62)</f>
        <v>0.06</v>
      </c>
      <c r="AO184" s="321">
        <f>CHOOSE($D174,Параметры!AO$47,Параметры!AO$56,Параметры!AO$62)</f>
        <v>0.06</v>
      </c>
      <c r="AP184" s="321">
        <f>CHOOSE($D174,Параметры!AP$47,Параметры!AP$56,Параметры!AP$62)</f>
        <v>0.06</v>
      </c>
      <c r="AQ184" s="321">
        <f>CHOOSE($D174,Параметры!AQ$47,Параметры!AQ$56,Параметры!AQ$62)</f>
        <v>0.06</v>
      </c>
      <c r="AR184" s="321">
        <f>CHOOSE($D174,Параметры!AR$47,Параметры!AR$56,Параметры!AR$62)</f>
        <v>0.06</v>
      </c>
      <c r="AS184" s="321">
        <f>CHOOSE($D174,Параметры!AS$47,Параметры!AS$56,Параметры!AS$62)</f>
        <v>0.06</v>
      </c>
      <c r="AT184" s="321">
        <f>CHOOSE($D174,Параметры!AT$47,Параметры!AT$56,Параметры!AT$62)</f>
        <v>0.06</v>
      </c>
      <c r="AU184" s="321">
        <f>CHOOSE($D174,Параметры!AU$47,Параметры!AU$56,Параметры!AU$62)</f>
        <v>0.06</v>
      </c>
      <c r="AV184" s="321">
        <f>CHOOSE($D174,Параметры!AV$47,Параметры!AV$56,Параметры!AV$62)</f>
        <v>0.06</v>
      </c>
      <c r="AW184" s="183"/>
      <c r="AX184" s="184"/>
    </row>
    <row r="185" spans="1:50" hidden="1" outlineLevel="1" x14ac:dyDescent="0.2">
      <c r="A185" s="179" t="str">
        <f ca="1">Language!A$604</f>
        <v>ставка НДС</v>
      </c>
      <c r="B185" s="84"/>
      <c r="C185" s="82" t="s">
        <v>1</v>
      </c>
      <c r="D185" s="66"/>
      <c r="F185" s="57" t="s">
        <v>756</v>
      </c>
      <c r="G185" s="321">
        <f>Параметры!G$72*10/18</f>
        <v>9.9999999999999992E-2</v>
      </c>
      <c r="H185" s="321">
        <f>Параметры!H$72*10/18</f>
        <v>9.9999999999999992E-2</v>
      </c>
      <c r="I185" s="321">
        <f>Параметры!I$72*10/18</f>
        <v>9.9999999999999992E-2</v>
      </c>
      <c r="J185" s="321">
        <f>Параметры!J$72*10/18</f>
        <v>9.9999999999999992E-2</v>
      </c>
      <c r="K185" s="321">
        <f>Параметры!K$72*10/18</f>
        <v>9.9999999999999992E-2</v>
      </c>
      <c r="L185" s="321">
        <f>Параметры!L$72*10/18</f>
        <v>9.9999999999999992E-2</v>
      </c>
      <c r="M185" s="321">
        <f>Параметры!M$72*10/18</f>
        <v>9.9999999999999992E-2</v>
      </c>
      <c r="N185" s="321">
        <f>Параметры!N$72*10/18</f>
        <v>9.9999999999999992E-2</v>
      </c>
      <c r="O185" s="321">
        <f>Параметры!O$72*10/18</f>
        <v>9.9999999999999992E-2</v>
      </c>
      <c r="P185" s="321">
        <f>Параметры!P$72*10/18</f>
        <v>9.9999999999999992E-2</v>
      </c>
      <c r="Q185" s="321">
        <f>Параметры!Q$72*10/18</f>
        <v>9.9999999999999992E-2</v>
      </c>
      <c r="R185" s="321">
        <f>Параметры!R$72*10/18</f>
        <v>9.9999999999999992E-2</v>
      </c>
      <c r="S185" s="321">
        <f>Параметры!S$72*10/18</f>
        <v>9.9999999999999992E-2</v>
      </c>
      <c r="T185" s="321">
        <f>Параметры!T$72*10/18</f>
        <v>9.9999999999999992E-2</v>
      </c>
      <c r="U185" s="321">
        <f>Параметры!U$72*10/18</f>
        <v>9.9999999999999992E-2</v>
      </c>
      <c r="V185" s="321">
        <f>Параметры!V$72*10/18</f>
        <v>9.9999999999999992E-2</v>
      </c>
      <c r="W185" s="321">
        <f>Параметры!W$72*10/18</f>
        <v>9.9999999999999992E-2</v>
      </c>
      <c r="X185" s="321">
        <f>Параметры!X$72*10/18</f>
        <v>9.9999999999999992E-2</v>
      </c>
      <c r="Y185" s="321">
        <f>Параметры!Y$72*10/18</f>
        <v>9.9999999999999992E-2</v>
      </c>
      <c r="Z185" s="321">
        <f>Параметры!Z$72*10/18</f>
        <v>9.9999999999999992E-2</v>
      </c>
      <c r="AA185" s="321">
        <f>Параметры!AA$72*10/18</f>
        <v>9.9999999999999992E-2</v>
      </c>
      <c r="AB185" s="321">
        <f>Параметры!AB$72*10/18</f>
        <v>9.9999999999999992E-2</v>
      </c>
      <c r="AC185" s="321">
        <f>Параметры!AC$72*10/18</f>
        <v>9.9999999999999992E-2</v>
      </c>
      <c r="AD185" s="321">
        <f>Параметры!AD$72*10/18</f>
        <v>9.9999999999999992E-2</v>
      </c>
      <c r="AE185" s="321">
        <f>Параметры!AE$72*10/18</f>
        <v>9.9999999999999992E-2</v>
      </c>
      <c r="AF185" s="321">
        <f>Параметры!AF$72*10/18</f>
        <v>9.9999999999999992E-2</v>
      </c>
      <c r="AG185" s="321">
        <f>Параметры!AG$72*10/18</f>
        <v>9.9999999999999992E-2</v>
      </c>
      <c r="AH185" s="321">
        <f>Параметры!AH$72*10/18</f>
        <v>9.9999999999999992E-2</v>
      </c>
      <c r="AI185" s="321">
        <f>Параметры!AI$72*10/18</f>
        <v>9.9999999999999992E-2</v>
      </c>
      <c r="AJ185" s="321">
        <f>Параметры!AJ$72*10/18</f>
        <v>9.9999999999999992E-2</v>
      </c>
      <c r="AK185" s="321">
        <f>Параметры!AK$72*10/18</f>
        <v>9.9999999999999992E-2</v>
      </c>
      <c r="AL185" s="321">
        <f>Параметры!AL$72*10/18</f>
        <v>9.9999999999999992E-2</v>
      </c>
      <c r="AM185" s="321">
        <f>Параметры!AM$72*10/18</f>
        <v>9.9999999999999992E-2</v>
      </c>
      <c r="AN185" s="321">
        <f>Параметры!AN$72*10/18</f>
        <v>9.9999999999999992E-2</v>
      </c>
      <c r="AO185" s="321">
        <f>Параметры!AO$72*10/18</f>
        <v>9.9999999999999992E-2</v>
      </c>
      <c r="AP185" s="321">
        <f>Параметры!AP$72*10/18</f>
        <v>9.9999999999999992E-2</v>
      </c>
      <c r="AQ185" s="321">
        <f>Параметры!AQ$72*10/18</f>
        <v>9.9999999999999992E-2</v>
      </c>
      <c r="AR185" s="321">
        <f>Параметры!AR$72*10/18</f>
        <v>9.9999999999999992E-2</v>
      </c>
      <c r="AS185" s="321">
        <f>Параметры!AS$72*10/18</f>
        <v>9.9999999999999992E-2</v>
      </c>
      <c r="AT185" s="321">
        <f>Параметры!AT$72*10/18</f>
        <v>9.9999999999999992E-2</v>
      </c>
      <c r="AU185" s="321">
        <f>Параметры!AU$72*10/18</f>
        <v>9.9999999999999992E-2</v>
      </c>
      <c r="AV185" s="321">
        <f>Параметры!AV$72*10/18</f>
        <v>9.9999999999999992E-2</v>
      </c>
      <c r="AW185" s="183"/>
      <c r="AX185" s="87"/>
    </row>
    <row r="186" spans="1:50" hidden="1" outlineLevel="1" x14ac:dyDescent="0.2">
      <c r="A186" s="179" t="str">
        <f ca="1">Language!A$605</f>
        <v>акцизы, на единицу</v>
      </c>
      <c r="B186" s="66"/>
      <c r="C186" s="82" t="str">
        <f ca="1">CHOOSE(D186,CurName1,CurName2,CurName3)&amp;"/"&amp;C176</f>
        <v>тыс. руб./тн</v>
      </c>
      <c r="D186" s="66">
        <f>D174</f>
        <v>1</v>
      </c>
      <c r="F186" s="57" t="s">
        <v>756</v>
      </c>
      <c r="G186" s="319">
        <v>0</v>
      </c>
      <c r="H186" s="319">
        <f t="shared" ref="H186:H187" si="890">G186</f>
        <v>0</v>
      </c>
      <c r="I186" s="319">
        <f t="shared" ref="I186:I187" si="891">H186</f>
        <v>0</v>
      </c>
      <c r="J186" s="319">
        <f t="shared" ref="J186:J187" si="892">I186</f>
        <v>0</v>
      </c>
      <c r="K186" s="319">
        <f t="shared" ref="K186:K187" si="893">J186</f>
        <v>0</v>
      </c>
      <c r="L186" s="319">
        <f t="shared" ref="L186:L187" si="894">K186</f>
        <v>0</v>
      </c>
      <c r="M186" s="319">
        <f t="shared" ref="M186:M187" si="895">L186</f>
        <v>0</v>
      </c>
      <c r="N186" s="319">
        <f t="shared" ref="N186:N187" si="896">M186</f>
        <v>0</v>
      </c>
      <c r="O186" s="319">
        <f t="shared" ref="O186:O187" si="897">N186</f>
        <v>0</v>
      </c>
      <c r="P186" s="319">
        <f t="shared" ref="P186:P187" si="898">O186</f>
        <v>0</v>
      </c>
      <c r="Q186" s="319">
        <f t="shared" ref="Q186:Q187" si="899">P186</f>
        <v>0</v>
      </c>
      <c r="R186" s="319">
        <f t="shared" ref="R186:R187" si="900">Q186</f>
        <v>0</v>
      </c>
      <c r="S186" s="319">
        <f t="shared" ref="S186:S187" si="901">R186</f>
        <v>0</v>
      </c>
      <c r="T186" s="319">
        <f t="shared" ref="T186:T187" si="902">S186</f>
        <v>0</v>
      </c>
      <c r="U186" s="319">
        <f t="shared" ref="U186:U187" si="903">T186</f>
        <v>0</v>
      </c>
      <c r="V186" s="319">
        <f t="shared" ref="V186:V187" si="904">U186</f>
        <v>0</v>
      </c>
      <c r="W186" s="319">
        <f t="shared" ref="W186:W187" si="905">V186</f>
        <v>0</v>
      </c>
      <c r="X186" s="319">
        <f t="shared" ref="X186:X187" si="906">W186</f>
        <v>0</v>
      </c>
      <c r="Y186" s="319">
        <f t="shared" ref="Y186:Y187" si="907">X186</f>
        <v>0</v>
      </c>
      <c r="Z186" s="319">
        <f t="shared" ref="Z186:Z187" si="908">Y186</f>
        <v>0</v>
      </c>
      <c r="AA186" s="319">
        <f t="shared" ref="AA186:AA187" si="909">Z186</f>
        <v>0</v>
      </c>
      <c r="AB186" s="319">
        <f t="shared" ref="AB186:AB187" si="910">AA186</f>
        <v>0</v>
      </c>
      <c r="AC186" s="319">
        <f t="shared" ref="AC186:AC187" si="911">AB186</f>
        <v>0</v>
      </c>
      <c r="AD186" s="319">
        <f t="shared" ref="AD186:AD187" si="912">AC186</f>
        <v>0</v>
      </c>
      <c r="AE186" s="319">
        <f t="shared" ref="AE186:AE187" si="913">AD186</f>
        <v>0</v>
      </c>
      <c r="AF186" s="319">
        <f t="shared" ref="AF186:AF187" si="914">AE186</f>
        <v>0</v>
      </c>
      <c r="AG186" s="319">
        <f t="shared" ref="AG186:AG187" si="915">AF186</f>
        <v>0</v>
      </c>
      <c r="AH186" s="319">
        <f t="shared" ref="AH186:AH187" si="916">AG186</f>
        <v>0</v>
      </c>
      <c r="AI186" s="319">
        <f t="shared" ref="AI186:AI187" si="917">AH186</f>
        <v>0</v>
      </c>
      <c r="AJ186" s="319">
        <f t="shared" ref="AJ186:AJ187" si="918">AI186</f>
        <v>0</v>
      </c>
      <c r="AK186" s="319">
        <f t="shared" ref="AK186:AK187" si="919">AJ186</f>
        <v>0</v>
      </c>
      <c r="AL186" s="319">
        <f t="shared" ref="AL186:AL187" si="920">AK186</f>
        <v>0</v>
      </c>
      <c r="AM186" s="319">
        <f t="shared" ref="AM186:AM187" si="921">AL186</f>
        <v>0</v>
      </c>
      <c r="AN186" s="319">
        <f t="shared" ref="AN186:AN187" si="922">AM186</f>
        <v>0</v>
      </c>
      <c r="AO186" s="319">
        <f t="shared" ref="AO186:AO187" si="923">AN186</f>
        <v>0</v>
      </c>
      <c r="AP186" s="319">
        <f t="shared" ref="AP186:AP187" si="924">AO186</f>
        <v>0</v>
      </c>
      <c r="AQ186" s="319">
        <f t="shared" ref="AQ186:AQ187" si="925">AP186</f>
        <v>0</v>
      </c>
      <c r="AR186" s="319">
        <f t="shared" ref="AR186:AR187" si="926">AQ186</f>
        <v>0</v>
      </c>
      <c r="AS186" s="319">
        <f t="shared" ref="AS186:AS187" si="927">AR186</f>
        <v>0</v>
      </c>
      <c r="AT186" s="319">
        <f t="shared" ref="AT186:AT187" si="928">AS186</f>
        <v>0</v>
      </c>
      <c r="AU186" s="319">
        <f t="shared" ref="AU186:AU187" si="929">AT186</f>
        <v>0</v>
      </c>
      <c r="AV186" s="319">
        <f t="shared" ref="AV186:AV187" si="930">AU186</f>
        <v>0</v>
      </c>
      <c r="AW186" s="180"/>
      <c r="AX186" s="87"/>
    </row>
    <row r="187" spans="1:50" hidden="1" outlineLevel="1" x14ac:dyDescent="0.2">
      <c r="A187" s="179" t="str">
        <f ca="1">Language!A$606</f>
        <v>ставка акцизов, в процентах</v>
      </c>
      <c r="B187" s="84"/>
      <c r="C187" s="82" t="s">
        <v>1</v>
      </c>
      <c r="D187" s="66"/>
      <c r="F187" s="57" t="s">
        <v>756</v>
      </c>
      <c r="G187" s="321">
        <v>0</v>
      </c>
      <c r="H187" s="321">
        <f t="shared" si="890"/>
        <v>0</v>
      </c>
      <c r="I187" s="321">
        <f t="shared" si="891"/>
        <v>0</v>
      </c>
      <c r="J187" s="321">
        <f t="shared" si="892"/>
        <v>0</v>
      </c>
      <c r="K187" s="321">
        <f t="shared" si="893"/>
        <v>0</v>
      </c>
      <c r="L187" s="321">
        <f t="shared" si="894"/>
        <v>0</v>
      </c>
      <c r="M187" s="321">
        <f t="shared" si="895"/>
        <v>0</v>
      </c>
      <c r="N187" s="321">
        <f t="shared" si="896"/>
        <v>0</v>
      </c>
      <c r="O187" s="321">
        <f t="shared" si="897"/>
        <v>0</v>
      </c>
      <c r="P187" s="321">
        <f t="shared" si="898"/>
        <v>0</v>
      </c>
      <c r="Q187" s="321">
        <f t="shared" si="899"/>
        <v>0</v>
      </c>
      <c r="R187" s="321">
        <f t="shared" si="900"/>
        <v>0</v>
      </c>
      <c r="S187" s="321">
        <f t="shared" si="901"/>
        <v>0</v>
      </c>
      <c r="T187" s="321">
        <f t="shared" si="902"/>
        <v>0</v>
      </c>
      <c r="U187" s="321">
        <f t="shared" si="903"/>
        <v>0</v>
      </c>
      <c r="V187" s="321">
        <f t="shared" si="904"/>
        <v>0</v>
      </c>
      <c r="W187" s="321">
        <f t="shared" si="905"/>
        <v>0</v>
      </c>
      <c r="X187" s="321">
        <f t="shared" si="906"/>
        <v>0</v>
      </c>
      <c r="Y187" s="321">
        <f t="shared" si="907"/>
        <v>0</v>
      </c>
      <c r="Z187" s="321">
        <f t="shared" si="908"/>
        <v>0</v>
      </c>
      <c r="AA187" s="321">
        <f t="shared" si="909"/>
        <v>0</v>
      </c>
      <c r="AB187" s="321">
        <f t="shared" si="910"/>
        <v>0</v>
      </c>
      <c r="AC187" s="321">
        <f t="shared" si="911"/>
        <v>0</v>
      </c>
      <c r="AD187" s="321">
        <f t="shared" si="912"/>
        <v>0</v>
      </c>
      <c r="AE187" s="321">
        <f t="shared" si="913"/>
        <v>0</v>
      </c>
      <c r="AF187" s="321">
        <f t="shared" si="914"/>
        <v>0</v>
      </c>
      <c r="AG187" s="321">
        <f t="shared" si="915"/>
        <v>0</v>
      </c>
      <c r="AH187" s="321">
        <f t="shared" si="916"/>
        <v>0</v>
      </c>
      <c r="AI187" s="321">
        <f t="shared" si="917"/>
        <v>0</v>
      </c>
      <c r="AJ187" s="321">
        <f t="shared" si="918"/>
        <v>0</v>
      </c>
      <c r="AK187" s="321">
        <f t="shared" si="919"/>
        <v>0</v>
      </c>
      <c r="AL187" s="321">
        <f t="shared" si="920"/>
        <v>0</v>
      </c>
      <c r="AM187" s="321">
        <f t="shared" si="921"/>
        <v>0</v>
      </c>
      <c r="AN187" s="321">
        <f t="shared" si="922"/>
        <v>0</v>
      </c>
      <c r="AO187" s="321">
        <f t="shared" si="923"/>
        <v>0</v>
      </c>
      <c r="AP187" s="321">
        <f t="shared" si="924"/>
        <v>0</v>
      </c>
      <c r="AQ187" s="321">
        <f t="shared" si="925"/>
        <v>0</v>
      </c>
      <c r="AR187" s="321">
        <f t="shared" si="926"/>
        <v>0</v>
      </c>
      <c r="AS187" s="321">
        <f t="shared" si="927"/>
        <v>0</v>
      </c>
      <c r="AT187" s="321">
        <f t="shared" si="928"/>
        <v>0</v>
      </c>
      <c r="AU187" s="321">
        <f t="shared" si="929"/>
        <v>0</v>
      </c>
      <c r="AV187" s="321">
        <f t="shared" si="930"/>
        <v>0</v>
      </c>
      <c r="AW187" s="183"/>
      <c r="AX187" s="87"/>
    </row>
    <row r="188" spans="1:50" hidden="1" outlineLevel="1" x14ac:dyDescent="0.2">
      <c r="A188" s="179" t="str">
        <f ca="1">Language!A$607</f>
        <v>коэффициент прироста цен к предыдущему периоду</v>
      </c>
      <c r="B188" s="84"/>
      <c r="C188" s="82" t="str">
        <f ca="1">Language!$A$1449</f>
        <v>раз</v>
      </c>
      <c r="D188" s="66"/>
      <c r="F188" s="57" t="s">
        <v>756</v>
      </c>
      <c r="G188" s="86">
        <f ca="1">IF(G$2=1,1,IF(Prj_Inflation=1,POWER(1+OFFSET(G184,0,-1),Параметры!G$30/360),1))</f>
        <v>1</v>
      </c>
      <c r="H188" s="86">
        <f ca="1">IF(H$2=1,1,IF(Prj_Inflation=1,POWER(1+OFFSET(H184,0,-1),Параметры!H$30/360),1))</f>
        <v>1.0146738461686593</v>
      </c>
      <c r="I188" s="86">
        <f ca="1">IF(I$2=1,1,IF(Prj_Inflation=1,POWER(1+OFFSET(I184,0,-1),Параметры!I$30/360),1))</f>
        <v>1.0146738461686593</v>
      </c>
      <c r="J188" s="86">
        <f ca="1">IF(J$2=1,1,IF(Prj_Inflation=1,POWER(1+OFFSET(J184,0,-1),Параметры!J$30/360),1))</f>
        <v>1.0146738461686593</v>
      </c>
      <c r="K188" s="86">
        <f ca="1">IF(K$2=1,1,IF(Prj_Inflation=1,POWER(1+OFFSET(K184,0,-1),Параметры!K$30/360),1))</f>
        <v>1.0146738461686593</v>
      </c>
      <c r="L188" s="86">
        <f ca="1">IF(L$2=1,1,IF(Prj_Inflation=1,POWER(1+OFFSET(L184,0,-1),Параметры!L$30/360),1))</f>
        <v>1.0146738461686593</v>
      </c>
      <c r="M188" s="86">
        <f ca="1">IF(M$2=1,1,IF(Prj_Inflation=1,POWER(1+OFFSET(M184,0,-1),Параметры!M$30/360),1))</f>
        <v>1.0146738461686593</v>
      </c>
      <c r="N188" s="86">
        <f ca="1">IF(N$2=1,1,IF(Prj_Inflation=1,POWER(1+OFFSET(N184,0,-1),Параметры!N$30/360),1))</f>
        <v>1.0146738461686593</v>
      </c>
      <c r="O188" s="86">
        <f ca="1">IF(O$2=1,1,IF(Prj_Inflation=1,POWER(1+OFFSET(O184,0,-1),Параметры!O$30/360),1))</f>
        <v>1.0146738461686593</v>
      </c>
      <c r="P188" s="86">
        <f ca="1">IF(P$2=1,1,IF(Prj_Inflation=1,POWER(1+OFFSET(P184,0,-1),Параметры!P$30/360),1))</f>
        <v>1.0146738461686593</v>
      </c>
      <c r="Q188" s="86">
        <f ca="1">IF(Q$2=1,1,IF(Prj_Inflation=1,POWER(1+OFFSET(Q184,0,-1),Параметры!Q$30/360),1))</f>
        <v>1.0146738461686593</v>
      </c>
      <c r="R188" s="86">
        <f ca="1">IF(R$2=1,1,IF(Prj_Inflation=1,POWER(1+OFFSET(R184,0,-1),Параметры!R$30/360),1))</f>
        <v>1.0146738461686593</v>
      </c>
      <c r="S188" s="86">
        <f ca="1">IF(S$2=1,1,IF(Prj_Inflation=1,POWER(1+OFFSET(S184,0,-1),Параметры!S$30/360),1))</f>
        <v>1.0146738461686593</v>
      </c>
      <c r="T188" s="86">
        <f ca="1">IF(T$2=1,1,IF(Prj_Inflation=1,POWER(1+OFFSET(T184,0,-1),Параметры!T$30/360),1))</f>
        <v>1.0146738461686593</v>
      </c>
      <c r="U188" s="86">
        <f ca="1">IF(U$2=1,1,IF(Prj_Inflation=1,POWER(1+OFFSET(U184,0,-1),Параметры!U$30/360),1))</f>
        <v>1.0146738461686593</v>
      </c>
      <c r="V188" s="86">
        <f ca="1">IF(V$2=1,1,IF(Prj_Inflation=1,POWER(1+OFFSET(V184,0,-1),Параметры!V$30/360),1))</f>
        <v>1.0146738461686593</v>
      </c>
      <c r="W188" s="86">
        <f ca="1">IF(W$2=1,1,IF(Prj_Inflation=1,POWER(1+OFFSET(W184,0,-1),Параметры!W$30/360),1))</f>
        <v>1.0146738461686593</v>
      </c>
      <c r="X188" s="86">
        <f ca="1">IF(X$2=1,1,IF(Prj_Inflation=1,POWER(1+OFFSET(X184,0,-1),Параметры!X$30/360),1))</f>
        <v>1.0146738461686593</v>
      </c>
      <c r="Y188" s="86">
        <f ca="1">IF(Y$2=1,1,IF(Prj_Inflation=1,POWER(1+OFFSET(Y184,0,-1),Параметры!Y$30/360),1))</f>
        <v>1.0146738461686593</v>
      </c>
      <c r="Z188" s="86">
        <f ca="1">IF(Z$2=1,1,IF(Prj_Inflation=1,POWER(1+OFFSET(Z184,0,-1),Параметры!Z$30/360),1))</f>
        <v>1.0146738461686593</v>
      </c>
      <c r="AA188" s="86">
        <f ca="1">IF(AA$2=1,1,IF(Prj_Inflation=1,POWER(1+OFFSET(AA184,0,-1),Параметры!AA$30/360),1))</f>
        <v>1.0146738461686593</v>
      </c>
      <c r="AB188" s="86">
        <f ca="1">IF(AB$2=1,1,IF(Prj_Inflation=1,POWER(1+OFFSET(AB184,0,-1),Параметры!AB$30/360),1))</f>
        <v>1.0146738461686593</v>
      </c>
      <c r="AC188" s="86">
        <f ca="1">IF(AC$2=1,1,IF(Prj_Inflation=1,POWER(1+OFFSET(AC184,0,-1),Параметры!AC$30/360),1))</f>
        <v>1.0146738461686593</v>
      </c>
      <c r="AD188" s="86">
        <f ca="1">IF(AD$2=1,1,IF(Prj_Inflation=1,POWER(1+OFFSET(AD184,0,-1),Параметры!AD$30/360),1))</f>
        <v>1.0146738461686593</v>
      </c>
      <c r="AE188" s="86">
        <f ca="1">IF(AE$2=1,1,IF(Prj_Inflation=1,POWER(1+OFFSET(AE184,0,-1),Параметры!AE$30/360),1))</f>
        <v>1.0146738461686593</v>
      </c>
      <c r="AF188" s="86">
        <f ca="1">IF(AF$2=1,1,IF(Prj_Inflation=1,POWER(1+OFFSET(AF184,0,-1),Параметры!AF$30/360),1))</f>
        <v>1.0146738461686593</v>
      </c>
      <c r="AG188" s="86">
        <f ca="1">IF(AG$2=1,1,IF(Prj_Inflation=1,POWER(1+OFFSET(AG184,0,-1),Параметры!AG$30/360),1))</f>
        <v>1.0146738461686593</v>
      </c>
      <c r="AH188" s="86">
        <f ca="1">IF(AH$2=1,1,IF(Prj_Inflation=1,POWER(1+OFFSET(AH184,0,-1),Параметры!AH$30/360),1))</f>
        <v>1.0146738461686593</v>
      </c>
      <c r="AI188" s="86">
        <f ca="1">IF(AI$2=1,1,IF(Prj_Inflation=1,POWER(1+OFFSET(AI184,0,-1),Параметры!AI$30/360),1))</f>
        <v>1.0146738461686593</v>
      </c>
      <c r="AJ188" s="86">
        <f ca="1">IF(AJ$2=1,1,IF(Prj_Inflation=1,POWER(1+OFFSET(AJ184,0,-1),Параметры!AJ$30/360),1))</f>
        <v>1.0146738461686593</v>
      </c>
      <c r="AK188" s="86">
        <f ca="1">IF(AK$2=1,1,IF(Prj_Inflation=1,POWER(1+OFFSET(AK184,0,-1),Параметры!AK$30/360),1))</f>
        <v>1.0146738461686593</v>
      </c>
      <c r="AL188" s="86">
        <f ca="1">IF(AL$2=1,1,IF(Prj_Inflation=1,POWER(1+OFFSET(AL184,0,-1),Параметры!AL$30/360),1))</f>
        <v>1.0146738461686593</v>
      </c>
      <c r="AM188" s="86">
        <f ca="1">IF(AM$2=1,1,IF(Prj_Inflation=1,POWER(1+OFFSET(AM184,0,-1),Параметры!AM$30/360),1))</f>
        <v>1.0146738461686593</v>
      </c>
      <c r="AN188" s="86">
        <f ca="1">IF(AN$2=1,1,IF(Prj_Inflation=1,POWER(1+OFFSET(AN184,0,-1),Параметры!AN$30/360),1))</f>
        <v>1.0146738461686593</v>
      </c>
      <c r="AO188" s="86">
        <f ca="1">IF(AO$2=1,1,IF(Prj_Inflation=1,POWER(1+OFFSET(AO184,0,-1),Параметры!AO$30/360),1))</f>
        <v>1.0146738461686593</v>
      </c>
      <c r="AP188" s="86">
        <f ca="1">IF(AP$2=1,1,IF(Prj_Inflation=1,POWER(1+OFFSET(AP184,0,-1),Параметры!AP$30/360),1))</f>
        <v>1.0146738461686593</v>
      </c>
      <c r="AQ188" s="86">
        <f ca="1">IF(AQ$2=1,1,IF(Prj_Inflation=1,POWER(1+OFFSET(AQ184,0,-1),Параметры!AQ$30/360),1))</f>
        <v>1.0146738461686593</v>
      </c>
      <c r="AR188" s="86">
        <f ca="1">IF(AR$2=1,1,IF(Prj_Inflation=1,POWER(1+OFFSET(AR184,0,-1),Параметры!AR$30/360),1))</f>
        <v>1.0146738461686593</v>
      </c>
      <c r="AS188" s="86">
        <f ca="1">IF(AS$2=1,1,IF(Prj_Inflation=1,POWER(1+OFFSET(AS184,0,-1),Параметры!AS$30/360),1))</f>
        <v>1.0146738461686593</v>
      </c>
      <c r="AT188" s="86">
        <f ca="1">IF(AT$2=1,1,IF(Prj_Inflation=1,POWER(1+OFFSET(AT184,0,-1),Параметры!AT$30/360),1))</f>
        <v>1.0146738461686593</v>
      </c>
      <c r="AU188" s="86">
        <f ca="1">IF(AU$2=1,1,IF(Prj_Inflation=1,POWER(1+OFFSET(AU184,0,-1),Параметры!AU$30/360),1))</f>
        <v>1.0146738461686593</v>
      </c>
      <c r="AV188" s="86">
        <f ca="1">IF(AV$2=1,1,IF(Prj_Inflation=1,POWER(1+OFFSET(AV184,0,-1),Параметры!AV$30/360),1))</f>
        <v>1.0146738461686593</v>
      </c>
      <c r="AW188" s="86"/>
      <c r="AX188" s="87"/>
    </row>
    <row r="189" spans="1:50" hidden="1" outlineLevel="1" x14ac:dyDescent="0.2">
      <c r="A189" s="179" t="str">
        <f ca="1">Language!A$608</f>
        <v>акцизы начисленные</v>
      </c>
      <c r="B189" s="66"/>
      <c r="C189" s="82" t="str">
        <f ca="1">CHOOSE(D189,CurName1,CurName2,CurName3)</f>
        <v>тыс. руб.</v>
      </c>
      <c r="D189" s="155">
        <f>D174</f>
        <v>1</v>
      </c>
      <c r="E189" s="57" t="s">
        <v>996</v>
      </c>
      <c r="F189" s="57" t="s">
        <v>753</v>
      </c>
      <c r="G189" s="185">
        <f t="shared" ref="G189:AV189" ca="1" si="931">G178*G187+G176*G186</f>
        <v>0</v>
      </c>
      <c r="H189" s="185">
        <f t="shared" ca="1" si="931"/>
        <v>0</v>
      </c>
      <c r="I189" s="185">
        <f t="shared" ca="1" si="931"/>
        <v>0</v>
      </c>
      <c r="J189" s="185">
        <f t="shared" ca="1" si="931"/>
        <v>0</v>
      </c>
      <c r="K189" s="185">
        <f t="shared" ca="1" si="931"/>
        <v>0</v>
      </c>
      <c r="L189" s="185">
        <f t="shared" ca="1" si="931"/>
        <v>0</v>
      </c>
      <c r="M189" s="185">
        <f t="shared" ca="1" si="931"/>
        <v>0</v>
      </c>
      <c r="N189" s="185">
        <f t="shared" ca="1" si="931"/>
        <v>0</v>
      </c>
      <c r="O189" s="185">
        <f t="shared" ca="1" si="931"/>
        <v>0</v>
      </c>
      <c r="P189" s="185">
        <f t="shared" ca="1" si="931"/>
        <v>0</v>
      </c>
      <c r="Q189" s="185">
        <f t="shared" ca="1" si="931"/>
        <v>0</v>
      </c>
      <c r="R189" s="185">
        <f t="shared" ca="1" si="931"/>
        <v>0</v>
      </c>
      <c r="S189" s="185">
        <f t="shared" ca="1" si="931"/>
        <v>0</v>
      </c>
      <c r="T189" s="185">
        <f t="shared" ca="1" si="931"/>
        <v>0</v>
      </c>
      <c r="U189" s="185">
        <f t="shared" ca="1" si="931"/>
        <v>0</v>
      </c>
      <c r="V189" s="185">
        <f t="shared" ca="1" si="931"/>
        <v>0</v>
      </c>
      <c r="W189" s="185">
        <f t="shared" ca="1" si="931"/>
        <v>0</v>
      </c>
      <c r="X189" s="185">
        <f t="shared" ca="1" si="931"/>
        <v>0</v>
      </c>
      <c r="Y189" s="185">
        <f t="shared" ca="1" si="931"/>
        <v>0</v>
      </c>
      <c r="Z189" s="185">
        <f t="shared" ca="1" si="931"/>
        <v>0</v>
      </c>
      <c r="AA189" s="185">
        <f t="shared" ca="1" si="931"/>
        <v>0</v>
      </c>
      <c r="AB189" s="185">
        <f t="shared" ca="1" si="931"/>
        <v>0</v>
      </c>
      <c r="AC189" s="185">
        <f t="shared" ca="1" si="931"/>
        <v>0</v>
      </c>
      <c r="AD189" s="185">
        <f t="shared" ca="1" si="931"/>
        <v>0</v>
      </c>
      <c r="AE189" s="185">
        <f t="shared" ca="1" si="931"/>
        <v>0</v>
      </c>
      <c r="AF189" s="185">
        <f t="shared" ca="1" si="931"/>
        <v>0</v>
      </c>
      <c r="AG189" s="185">
        <f t="shared" ca="1" si="931"/>
        <v>0</v>
      </c>
      <c r="AH189" s="185">
        <f t="shared" ca="1" si="931"/>
        <v>0</v>
      </c>
      <c r="AI189" s="185">
        <f t="shared" ca="1" si="931"/>
        <v>0</v>
      </c>
      <c r="AJ189" s="185">
        <f t="shared" ca="1" si="931"/>
        <v>0</v>
      </c>
      <c r="AK189" s="185">
        <f t="shared" ca="1" si="931"/>
        <v>0</v>
      </c>
      <c r="AL189" s="185">
        <f t="shared" ca="1" si="931"/>
        <v>0</v>
      </c>
      <c r="AM189" s="185">
        <f t="shared" ca="1" si="931"/>
        <v>0</v>
      </c>
      <c r="AN189" s="185">
        <f t="shared" ca="1" si="931"/>
        <v>0</v>
      </c>
      <c r="AO189" s="185">
        <f t="shared" ca="1" si="931"/>
        <v>0</v>
      </c>
      <c r="AP189" s="185">
        <f t="shared" ca="1" si="931"/>
        <v>0</v>
      </c>
      <c r="AQ189" s="185">
        <f t="shared" ca="1" si="931"/>
        <v>0</v>
      </c>
      <c r="AR189" s="185">
        <f t="shared" ca="1" si="931"/>
        <v>0</v>
      </c>
      <c r="AS189" s="185">
        <f t="shared" ca="1" si="931"/>
        <v>0</v>
      </c>
      <c r="AT189" s="185">
        <f t="shared" ca="1" si="931"/>
        <v>0</v>
      </c>
      <c r="AU189" s="185">
        <f t="shared" ca="1" si="931"/>
        <v>0</v>
      </c>
      <c r="AV189" s="185">
        <f t="shared" ca="1" si="931"/>
        <v>0</v>
      </c>
      <c r="AW189" s="180"/>
      <c r="AX189" s="169">
        <f ca="1">SUM(G189:AW189)</f>
        <v>0</v>
      </c>
    </row>
    <row r="190" spans="1:50" hidden="1" outlineLevel="1" x14ac:dyDescent="0.2">
      <c r="A190" s="179" t="str">
        <f ca="1">Language!A$609</f>
        <v>НДС начисленный</v>
      </c>
      <c r="B190" s="66"/>
      <c r="C190" s="82" t="str">
        <f ca="1">CHOOSE(D190,CurName1,CurName2,CurName3)</f>
        <v>тыс. руб.</v>
      </c>
      <c r="D190" s="155">
        <f>D174</f>
        <v>1</v>
      </c>
      <c r="E190" s="57" t="s">
        <v>789</v>
      </c>
      <c r="F190" s="57" t="s">
        <v>753</v>
      </c>
      <c r="G190" s="185">
        <f t="shared" ref="G190:AV190" ca="1" si="932">(G178+G189)*G185</f>
        <v>624</v>
      </c>
      <c r="H190" s="185">
        <f t="shared" ca="1" si="932"/>
        <v>2849.2041600415951</v>
      </c>
      <c r="I190" s="185">
        <f t="shared" ca="1" si="932"/>
        <v>5782.025887178298</v>
      </c>
      <c r="J190" s="185">
        <f t="shared" ca="1" si="932"/>
        <v>8148.4311744304978</v>
      </c>
      <c r="K190" s="185">
        <f t="shared" ca="1" si="932"/>
        <v>9921.5999999999985</v>
      </c>
      <c r="L190" s="185">
        <f t="shared" ca="1" si="932"/>
        <v>11745.052704171463</v>
      </c>
      <c r="M190" s="185">
        <f t="shared" ca="1" si="932"/>
        <v>13619.883200908882</v>
      </c>
      <c r="N190" s="185">
        <f t="shared" ca="1" si="932"/>
        <v>15547.206680813393</v>
      </c>
      <c r="O190" s="185">
        <f t="shared" ca="1" si="932"/>
        <v>17528.16</v>
      </c>
      <c r="P190" s="185">
        <f t="shared" ca="1" si="932"/>
        <v>19563.902075805614</v>
      </c>
      <c r="Q190" s="185">
        <f t="shared" ca="1" si="932"/>
        <v>19850.979765324697</v>
      </c>
      <c r="R190" s="185">
        <f t="shared" ca="1" si="932"/>
        <v>20142.269988698241</v>
      </c>
      <c r="S190" s="185">
        <f t="shared" ca="1" si="932"/>
        <v>20437.834560000003</v>
      </c>
      <c r="T190" s="185">
        <f t="shared" ca="1" si="932"/>
        <v>20737.736200353949</v>
      </c>
      <c r="U190" s="185">
        <f t="shared" ca="1" si="932"/>
        <v>21042.038551244183</v>
      </c>
      <c r="V190" s="185">
        <f t="shared" ca="1" si="932"/>
        <v>21350.806188020142</v>
      </c>
      <c r="W190" s="185">
        <f t="shared" ca="1" si="932"/>
        <v>21664.104633600004</v>
      </c>
      <c r="X190" s="185">
        <f t="shared" ca="1" si="932"/>
        <v>21982.000372375191</v>
      </c>
      <c r="Y190" s="185">
        <f t="shared" ca="1" si="932"/>
        <v>22304.560864318835</v>
      </c>
      <c r="Z190" s="185">
        <f t="shared" ca="1" si="932"/>
        <v>22631.854559301351</v>
      </c>
      <c r="AA190" s="185">
        <f t="shared" ca="1" si="932"/>
        <v>22963.950911616008</v>
      </c>
      <c r="AB190" s="185">
        <f t="shared" ca="1" si="932"/>
        <v>23300.920394717708</v>
      </c>
      <c r="AC190" s="185">
        <f t="shared" ca="1" si="932"/>
        <v>23642.834516177969</v>
      </c>
      <c r="AD190" s="185">
        <f t="shared" ca="1" si="932"/>
        <v>23989.765832859437</v>
      </c>
      <c r="AE190" s="185">
        <f t="shared" ca="1" si="932"/>
        <v>24341.787966312975</v>
      </c>
      <c r="AF190" s="185">
        <f t="shared" ca="1" si="932"/>
        <v>24698.975618400771</v>
      </c>
      <c r="AG190" s="185">
        <f t="shared" ca="1" si="932"/>
        <v>25061.404587148652</v>
      </c>
      <c r="AH190" s="185">
        <f t="shared" ca="1" si="932"/>
        <v>25429.151782831002</v>
      </c>
      <c r="AI190" s="185">
        <f t="shared" ca="1" si="932"/>
        <v>25802.295244291756</v>
      </c>
      <c r="AJ190" s="185">
        <f t="shared" ca="1" si="932"/>
        <v>26180.914155504819</v>
      </c>
      <c r="AK190" s="185">
        <f t="shared" ca="1" si="932"/>
        <v>26565.088862377572</v>
      </c>
      <c r="AL190" s="185">
        <f t="shared" ca="1" si="932"/>
        <v>26954.900889800865</v>
      </c>
      <c r="AM190" s="185">
        <f t="shared" ca="1" si="932"/>
        <v>27350.432958949263</v>
      </c>
      <c r="AN190" s="185">
        <f t="shared" ca="1" si="932"/>
        <v>27751.769004835111</v>
      </c>
      <c r="AO190" s="185">
        <f t="shared" ca="1" si="932"/>
        <v>28158.994194120231</v>
      </c>
      <c r="AP190" s="185">
        <f t="shared" ca="1" si="932"/>
        <v>28572.194943188919</v>
      </c>
      <c r="AQ190" s="185">
        <f t="shared" ca="1" si="932"/>
        <v>28991.458936486215</v>
      </c>
      <c r="AR190" s="185">
        <f t="shared" ca="1" si="932"/>
        <v>29416.875145125217</v>
      </c>
      <c r="AS190" s="185">
        <f t="shared" ca="1" si="932"/>
        <v>29848.533845767441</v>
      </c>
      <c r="AT190" s="185">
        <f t="shared" ca="1" si="932"/>
        <v>30286.526639780255</v>
      </c>
      <c r="AU190" s="185">
        <f t="shared" ca="1" si="932"/>
        <v>30730.94647267539</v>
      </c>
      <c r="AV190" s="185">
        <f t="shared" ca="1" si="932"/>
        <v>31181.887653832728</v>
      </c>
      <c r="AW190" s="180"/>
      <c r="AX190" s="169">
        <f ca="1">SUM(G190:AW190)</f>
        <v>908695.26212338672</v>
      </c>
    </row>
    <row r="191" spans="1:50" hidden="1" outlineLevel="1" x14ac:dyDescent="0.2">
      <c r="A191" s="179" t="str">
        <f ca="1">Language!A$610</f>
        <v>НДС полученный с авансов</v>
      </c>
      <c r="B191" s="66"/>
      <c r="C191" s="82" t="str">
        <f ca="1">CHOOSE(D191,CurName1,CurName2,CurName3)</f>
        <v>тыс. руб.</v>
      </c>
      <c r="D191" s="155">
        <f>D174</f>
        <v>1</v>
      </c>
      <c r="E191" s="57" t="s">
        <v>1450</v>
      </c>
      <c r="F191" s="57" t="s">
        <v>753</v>
      </c>
      <c r="G191" s="185">
        <f ca="1">G181*G185/(1+G185)</f>
        <v>0</v>
      </c>
      <c r="H191" s="185">
        <f t="shared" ref="H191:AV191" ca="1" si="933">H181*H185/(1+H185)</f>
        <v>0</v>
      </c>
      <c r="I191" s="185">
        <f t="shared" ca="1" si="933"/>
        <v>0</v>
      </c>
      <c r="J191" s="185">
        <f t="shared" ca="1" si="933"/>
        <v>0</v>
      </c>
      <c r="K191" s="185">
        <f t="shared" ca="1" si="933"/>
        <v>0</v>
      </c>
      <c r="L191" s="185">
        <f t="shared" ca="1" si="933"/>
        <v>0</v>
      </c>
      <c r="M191" s="185">
        <f t="shared" ca="1" si="933"/>
        <v>0</v>
      </c>
      <c r="N191" s="185">
        <f t="shared" ca="1" si="933"/>
        <v>0</v>
      </c>
      <c r="O191" s="185">
        <f t="shared" ca="1" si="933"/>
        <v>0</v>
      </c>
      <c r="P191" s="185">
        <f t="shared" ca="1" si="933"/>
        <v>0</v>
      </c>
      <c r="Q191" s="185">
        <f t="shared" ca="1" si="933"/>
        <v>0</v>
      </c>
      <c r="R191" s="185">
        <f t="shared" ca="1" si="933"/>
        <v>0</v>
      </c>
      <c r="S191" s="185">
        <f t="shared" ca="1" si="933"/>
        <v>0</v>
      </c>
      <c r="T191" s="185">
        <f t="shared" ca="1" si="933"/>
        <v>0</v>
      </c>
      <c r="U191" s="185">
        <f t="shared" ca="1" si="933"/>
        <v>0</v>
      </c>
      <c r="V191" s="185">
        <f t="shared" ca="1" si="933"/>
        <v>0</v>
      </c>
      <c r="W191" s="185">
        <f t="shared" ca="1" si="933"/>
        <v>0</v>
      </c>
      <c r="X191" s="185">
        <f t="shared" ca="1" si="933"/>
        <v>0</v>
      </c>
      <c r="Y191" s="185">
        <f t="shared" ca="1" si="933"/>
        <v>0</v>
      </c>
      <c r="Z191" s="185">
        <f t="shared" ca="1" si="933"/>
        <v>0</v>
      </c>
      <c r="AA191" s="185">
        <f t="shared" ca="1" si="933"/>
        <v>0</v>
      </c>
      <c r="AB191" s="185">
        <f t="shared" ca="1" si="933"/>
        <v>0</v>
      </c>
      <c r="AC191" s="185">
        <f t="shared" ca="1" si="933"/>
        <v>0</v>
      </c>
      <c r="AD191" s="185">
        <f t="shared" ca="1" si="933"/>
        <v>0</v>
      </c>
      <c r="AE191" s="185">
        <f t="shared" ca="1" si="933"/>
        <v>0</v>
      </c>
      <c r="AF191" s="185">
        <f t="shared" ca="1" si="933"/>
        <v>0</v>
      </c>
      <c r="AG191" s="185">
        <f t="shared" ca="1" si="933"/>
        <v>0</v>
      </c>
      <c r="AH191" s="185">
        <f t="shared" ca="1" si="933"/>
        <v>0</v>
      </c>
      <c r="AI191" s="185">
        <f t="shared" ca="1" si="933"/>
        <v>0</v>
      </c>
      <c r="AJ191" s="185">
        <f t="shared" ca="1" si="933"/>
        <v>0</v>
      </c>
      <c r="AK191" s="185">
        <f t="shared" ca="1" si="933"/>
        <v>0</v>
      </c>
      <c r="AL191" s="185">
        <f t="shared" ca="1" si="933"/>
        <v>0</v>
      </c>
      <c r="AM191" s="185">
        <f t="shared" ca="1" si="933"/>
        <v>0</v>
      </c>
      <c r="AN191" s="185">
        <f t="shared" ca="1" si="933"/>
        <v>0</v>
      </c>
      <c r="AO191" s="185">
        <f t="shared" ca="1" si="933"/>
        <v>0</v>
      </c>
      <c r="AP191" s="185">
        <f t="shared" ca="1" si="933"/>
        <v>0</v>
      </c>
      <c r="AQ191" s="185">
        <f t="shared" ca="1" si="933"/>
        <v>0</v>
      </c>
      <c r="AR191" s="185">
        <f t="shared" ca="1" si="933"/>
        <v>0</v>
      </c>
      <c r="AS191" s="185">
        <f t="shared" ca="1" si="933"/>
        <v>0</v>
      </c>
      <c r="AT191" s="185">
        <f t="shared" ca="1" si="933"/>
        <v>0</v>
      </c>
      <c r="AU191" s="185">
        <f t="shared" ca="1" si="933"/>
        <v>0</v>
      </c>
      <c r="AV191" s="185">
        <f t="shared" ca="1" si="933"/>
        <v>0</v>
      </c>
      <c r="AW191" s="180"/>
      <c r="AX191" s="169">
        <f ca="1">SUM(G191:AW191)</f>
        <v>0</v>
      </c>
    </row>
    <row r="192" spans="1:50" x14ac:dyDescent="0.2">
      <c r="A192" s="317" t="s">
        <v>2291</v>
      </c>
      <c r="B192" s="102"/>
      <c r="C192" s="166"/>
      <c r="D192" s="158">
        <v>1</v>
      </c>
      <c r="F192" s="57" t="s">
        <v>2282</v>
      </c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150"/>
    </row>
    <row r="193" spans="1:50" hidden="1" x14ac:dyDescent="0.2">
      <c r="A193" s="172" t="str">
        <f ca="1">Language!A$594</f>
        <v>коэффициент загрузки</v>
      </c>
      <c r="B193" s="173"/>
      <c r="C193" s="173"/>
      <c r="D193" s="174"/>
      <c r="F193" s="57" t="s">
        <v>756</v>
      </c>
      <c r="G193" s="318">
        <f t="shared" ref="G193:AV193" si="934">IF(G$2&gt;Prj_Invest,1,0)</f>
        <v>1</v>
      </c>
      <c r="H193" s="318">
        <f t="shared" si="934"/>
        <v>1</v>
      </c>
      <c r="I193" s="318">
        <f t="shared" si="934"/>
        <v>1</v>
      </c>
      <c r="J193" s="318">
        <f t="shared" si="934"/>
        <v>1</v>
      </c>
      <c r="K193" s="318">
        <f t="shared" si="934"/>
        <v>1</v>
      </c>
      <c r="L193" s="318">
        <f t="shared" si="934"/>
        <v>1</v>
      </c>
      <c r="M193" s="318">
        <f t="shared" si="934"/>
        <v>1</v>
      </c>
      <c r="N193" s="318">
        <f t="shared" si="934"/>
        <v>1</v>
      </c>
      <c r="O193" s="318">
        <f t="shared" si="934"/>
        <v>1</v>
      </c>
      <c r="P193" s="318">
        <f t="shared" si="934"/>
        <v>1</v>
      </c>
      <c r="Q193" s="318">
        <f t="shared" si="934"/>
        <v>1</v>
      </c>
      <c r="R193" s="318">
        <f t="shared" si="934"/>
        <v>1</v>
      </c>
      <c r="S193" s="318">
        <f t="shared" si="934"/>
        <v>1</v>
      </c>
      <c r="T193" s="318">
        <f t="shared" si="934"/>
        <v>1</v>
      </c>
      <c r="U193" s="318">
        <f t="shared" si="934"/>
        <v>1</v>
      </c>
      <c r="V193" s="318">
        <f t="shared" si="934"/>
        <v>1</v>
      </c>
      <c r="W193" s="318">
        <f t="shared" si="934"/>
        <v>1</v>
      </c>
      <c r="X193" s="318">
        <f t="shared" si="934"/>
        <v>1</v>
      </c>
      <c r="Y193" s="318">
        <f t="shared" si="934"/>
        <v>1</v>
      </c>
      <c r="Z193" s="318">
        <f t="shared" si="934"/>
        <v>1</v>
      </c>
      <c r="AA193" s="318">
        <f t="shared" si="934"/>
        <v>1</v>
      </c>
      <c r="AB193" s="318">
        <f t="shared" si="934"/>
        <v>1</v>
      </c>
      <c r="AC193" s="318">
        <f t="shared" si="934"/>
        <v>1</v>
      </c>
      <c r="AD193" s="318">
        <f t="shared" si="934"/>
        <v>1</v>
      </c>
      <c r="AE193" s="318">
        <f t="shared" si="934"/>
        <v>1</v>
      </c>
      <c r="AF193" s="318">
        <f t="shared" si="934"/>
        <v>1</v>
      </c>
      <c r="AG193" s="318">
        <f t="shared" si="934"/>
        <v>1</v>
      </c>
      <c r="AH193" s="318">
        <f t="shared" si="934"/>
        <v>1</v>
      </c>
      <c r="AI193" s="318">
        <f t="shared" si="934"/>
        <v>1</v>
      </c>
      <c r="AJ193" s="318">
        <f t="shared" si="934"/>
        <v>1</v>
      </c>
      <c r="AK193" s="318">
        <f t="shared" si="934"/>
        <v>1</v>
      </c>
      <c r="AL193" s="318">
        <f t="shared" si="934"/>
        <v>1</v>
      </c>
      <c r="AM193" s="318">
        <f t="shared" si="934"/>
        <v>1</v>
      </c>
      <c r="AN193" s="318">
        <f t="shared" si="934"/>
        <v>1</v>
      </c>
      <c r="AO193" s="318">
        <f t="shared" si="934"/>
        <v>1</v>
      </c>
      <c r="AP193" s="318">
        <f t="shared" si="934"/>
        <v>1</v>
      </c>
      <c r="AQ193" s="318">
        <f t="shared" si="934"/>
        <v>1</v>
      </c>
      <c r="AR193" s="318">
        <f t="shared" si="934"/>
        <v>1</v>
      </c>
      <c r="AS193" s="318">
        <f t="shared" si="934"/>
        <v>1</v>
      </c>
      <c r="AT193" s="318">
        <f t="shared" si="934"/>
        <v>1</v>
      </c>
      <c r="AU193" s="318">
        <f t="shared" si="934"/>
        <v>1</v>
      </c>
      <c r="AV193" s="318">
        <f t="shared" si="934"/>
        <v>1</v>
      </c>
      <c r="AW193" s="175"/>
      <c r="AX193" s="117"/>
    </row>
    <row r="194" spans="1:50" x14ac:dyDescent="0.2">
      <c r="A194" s="172" t="str">
        <f ca="1">Language!A$595</f>
        <v>объем продаж за период</v>
      </c>
      <c r="B194" s="337"/>
      <c r="C194" s="313" t="s">
        <v>2259</v>
      </c>
      <c r="D194" s="174"/>
      <c r="E194" s="57" t="s">
        <v>950</v>
      </c>
      <c r="F194" s="57" t="s">
        <v>753</v>
      </c>
      <c r="G194" s="311">
        <f t="shared" ref="G194:AV194" si="935">G48</f>
        <v>4</v>
      </c>
      <c r="H194" s="311">
        <f t="shared" si="935"/>
        <v>18</v>
      </c>
      <c r="I194" s="311">
        <f t="shared" si="935"/>
        <v>36</v>
      </c>
      <c r="J194" s="311">
        <f t="shared" si="935"/>
        <v>50</v>
      </c>
      <c r="K194" s="311">
        <f t="shared" si="935"/>
        <v>60</v>
      </c>
      <c r="L194" s="311">
        <f t="shared" si="935"/>
        <v>70</v>
      </c>
      <c r="M194" s="311">
        <f t="shared" si="935"/>
        <v>80</v>
      </c>
      <c r="N194" s="311">
        <f t="shared" si="935"/>
        <v>90</v>
      </c>
      <c r="O194" s="311">
        <f t="shared" si="935"/>
        <v>100</v>
      </c>
      <c r="P194" s="311">
        <f t="shared" si="935"/>
        <v>110</v>
      </c>
      <c r="Q194" s="311">
        <f t="shared" si="935"/>
        <v>110</v>
      </c>
      <c r="R194" s="311">
        <f t="shared" si="935"/>
        <v>110</v>
      </c>
      <c r="S194" s="311">
        <f t="shared" si="935"/>
        <v>110</v>
      </c>
      <c r="T194" s="311">
        <f t="shared" si="935"/>
        <v>110</v>
      </c>
      <c r="U194" s="311">
        <f t="shared" si="935"/>
        <v>110</v>
      </c>
      <c r="V194" s="311">
        <f t="shared" si="935"/>
        <v>110</v>
      </c>
      <c r="W194" s="311">
        <f t="shared" si="935"/>
        <v>110</v>
      </c>
      <c r="X194" s="311">
        <f t="shared" si="935"/>
        <v>110</v>
      </c>
      <c r="Y194" s="311">
        <f t="shared" si="935"/>
        <v>110</v>
      </c>
      <c r="Z194" s="311">
        <f t="shared" si="935"/>
        <v>110</v>
      </c>
      <c r="AA194" s="311">
        <f t="shared" si="935"/>
        <v>110</v>
      </c>
      <c r="AB194" s="311">
        <f t="shared" si="935"/>
        <v>110</v>
      </c>
      <c r="AC194" s="311">
        <f t="shared" si="935"/>
        <v>110</v>
      </c>
      <c r="AD194" s="311">
        <f t="shared" si="935"/>
        <v>110</v>
      </c>
      <c r="AE194" s="311">
        <f t="shared" si="935"/>
        <v>110</v>
      </c>
      <c r="AF194" s="311">
        <f t="shared" si="935"/>
        <v>110</v>
      </c>
      <c r="AG194" s="311">
        <f t="shared" si="935"/>
        <v>110</v>
      </c>
      <c r="AH194" s="311">
        <f t="shared" si="935"/>
        <v>110</v>
      </c>
      <c r="AI194" s="311">
        <f t="shared" si="935"/>
        <v>110</v>
      </c>
      <c r="AJ194" s="311">
        <f t="shared" si="935"/>
        <v>110</v>
      </c>
      <c r="AK194" s="311">
        <f t="shared" si="935"/>
        <v>110</v>
      </c>
      <c r="AL194" s="311">
        <f t="shared" si="935"/>
        <v>110</v>
      </c>
      <c r="AM194" s="311">
        <f t="shared" si="935"/>
        <v>110</v>
      </c>
      <c r="AN194" s="311">
        <f t="shared" si="935"/>
        <v>110</v>
      </c>
      <c r="AO194" s="311">
        <f t="shared" si="935"/>
        <v>110</v>
      </c>
      <c r="AP194" s="311">
        <f t="shared" si="935"/>
        <v>110</v>
      </c>
      <c r="AQ194" s="311">
        <f t="shared" si="935"/>
        <v>110</v>
      </c>
      <c r="AR194" s="311">
        <f t="shared" si="935"/>
        <v>110</v>
      </c>
      <c r="AS194" s="311">
        <f t="shared" si="935"/>
        <v>110</v>
      </c>
      <c r="AT194" s="311">
        <f t="shared" si="935"/>
        <v>110</v>
      </c>
      <c r="AU194" s="311">
        <f t="shared" si="935"/>
        <v>110</v>
      </c>
      <c r="AV194" s="311">
        <f t="shared" si="935"/>
        <v>110</v>
      </c>
      <c r="AW194" s="148"/>
      <c r="AX194" s="171">
        <f>SUM(G194:AW194)</f>
        <v>4138</v>
      </c>
    </row>
    <row r="195" spans="1:50" x14ac:dyDescent="0.2">
      <c r="A195" s="83" t="str">
        <f ca="1">Language!A$596 &amp; C194 &amp; Language!A$1457</f>
        <v>цена за единицу (тн), без НДС</v>
      </c>
      <c r="B195" s="322">
        <v>140</v>
      </c>
      <c r="C195" s="146" t="str">
        <f ca="1">CHOOSE(D192,CurName1,CurName2,CurName3)</f>
        <v>тыс. руб.</v>
      </c>
      <c r="E195" s="57" t="s">
        <v>848</v>
      </c>
      <c r="F195" s="57" t="s">
        <v>756</v>
      </c>
      <c r="G195" s="323">
        <f t="shared" ref="G195" ca="1" si="936">IF(G$2=1,$B195,F195)*G206</f>
        <v>140</v>
      </c>
      <c r="H195" s="323">
        <f t="shared" ref="H195" ca="1" si="937">IF(H$2=1,$B195,G195)*H206</f>
        <v>142.05433846361231</v>
      </c>
      <c r="I195" s="323">
        <f t="shared" ref="I195" ca="1" si="938">IF(I$2=1,$B195,H195)*I206</f>
        <v>144.13882197381801</v>
      </c>
      <c r="J195" s="323">
        <f t="shared" ref="J195" ca="1" si="939">IF(J$2=1,$B195,I195)*J206</f>
        <v>146.25389287439359</v>
      </c>
      <c r="K195" s="323">
        <f t="shared" ref="K195" ca="1" si="940">IF(K$2=1,$B195,J195)*K206</f>
        <v>148.4</v>
      </c>
      <c r="L195" s="323">
        <f t="shared" ref="L195" ca="1" si="941">IF(L$2=1,$B195,K195)*L206</f>
        <v>150.57759877142905</v>
      </c>
      <c r="M195" s="323">
        <f t="shared" ref="M195" ca="1" si="942">IF(M$2=1,$B195,L195)*M206</f>
        <v>152.7871512922471</v>
      </c>
      <c r="N195" s="323">
        <f t="shared" ref="N195" ca="1" si="943">IF(N$2=1,$B195,M195)*N206</f>
        <v>155.02912644685722</v>
      </c>
      <c r="O195" s="323">
        <f t="shared" ref="O195" ca="1" si="944">IF(O$2=1,$B195,N195)*O206</f>
        <v>157.30400000000003</v>
      </c>
      <c r="P195" s="323">
        <f t="shared" ref="P195" ca="1" si="945">IF(P$2=1,$B195,O195)*P206</f>
        <v>159.6122546977148</v>
      </c>
      <c r="Q195" s="323">
        <f t="shared" ref="Q195" ca="1" si="946">IF(Q$2=1,$B195,P195)*Q206</f>
        <v>161.95438036978194</v>
      </c>
      <c r="R195" s="323">
        <f t="shared" ref="R195" ca="1" si="947">IF(R$2=1,$B195,Q195)*R206</f>
        <v>164.33087403366866</v>
      </c>
      <c r="S195" s="323">
        <f t="shared" ref="S195" ca="1" si="948">IF(S$2=1,$B195,R195)*S206</f>
        <v>166.74224000000004</v>
      </c>
      <c r="T195" s="323">
        <f t="shared" ref="T195" ca="1" si="949">IF(T$2=1,$B195,S195)*T206</f>
        <v>169.18898997957771</v>
      </c>
      <c r="U195" s="323">
        <f t="shared" ref="U195" ca="1" si="950">IF(U$2=1,$B195,T195)*U206</f>
        <v>171.67164319196888</v>
      </c>
      <c r="V195" s="323">
        <f t="shared" ref="V195" ca="1" si="951">IF(V$2=1,$B195,U195)*V206</f>
        <v>174.19072647568879</v>
      </c>
      <c r="W195" s="323">
        <f t="shared" ref="W195" ca="1" si="952">IF(W$2=1,$B195,V195)*W206</f>
        <v>176.74677440000005</v>
      </c>
      <c r="X195" s="323">
        <f t="shared" ref="X195" ca="1" si="953">IF(X$2=1,$B195,W195)*X206</f>
        <v>179.34032937835238</v>
      </c>
      <c r="Y195" s="323">
        <f t="shared" ref="Y195" ca="1" si="954">IF(Y$2=1,$B195,X195)*Y206</f>
        <v>181.97194178348701</v>
      </c>
      <c r="Z195" s="323">
        <f t="shared" ref="Z195" ca="1" si="955">IF(Z$2=1,$B195,Y195)*Z206</f>
        <v>184.64217006423013</v>
      </c>
      <c r="AA195" s="323">
        <f t="shared" ref="AA195" ca="1" si="956">IF(AA$2=1,$B195,Z195)*AA206</f>
        <v>187.35158086400008</v>
      </c>
      <c r="AB195" s="323">
        <f t="shared" ref="AB195" ca="1" si="957">IF(AB$2=1,$B195,AA195)*AB206</f>
        <v>190.10074914105354</v>
      </c>
      <c r="AC195" s="323">
        <f t="shared" ref="AC195" ca="1" si="958">IF(AC$2=1,$B195,AB195)*AC206</f>
        <v>192.89025829049626</v>
      </c>
      <c r="AD195" s="323">
        <f t="shared" ref="AD195" ca="1" si="959">IF(AD$2=1,$B195,AC195)*AD206</f>
        <v>195.72070026808396</v>
      </c>
      <c r="AE195" s="323">
        <f t="shared" ref="AE195" ca="1" si="960">IF(AE$2=1,$B195,AD195)*AE206</f>
        <v>198.5926757158401</v>
      </c>
      <c r="AF195" s="323">
        <f t="shared" ref="AF195" ca="1" si="961">IF(AF$2=1,$B195,AE195)*AF206</f>
        <v>201.50679408951677</v>
      </c>
      <c r="AG195" s="323">
        <f t="shared" ref="AG195" ca="1" si="962">IF(AG$2=1,$B195,AF195)*AG206</f>
        <v>204.46367378792604</v>
      </c>
      <c r="AH195" s="323">
        <f t="shared" ref="AH195" ca="1" si="963">IF(AH$2=1,$B195,AG195)*AH206</f>
        <v>207.46394228416901</v>
      </c>
      <c r="AI195" s="323">
        <f t="shared" ref="AI195" ca="1" si="964">IF(AI$2=1,$B195,AH195)*AI206</f>
        <v>210.5082362587905</v>
      </c>
      <c r="AJ195" s="323">
        <f t="shared" ref="AJ195" ca="1" si="965">IF(AJ$2=1,$B195,AI195)*AJ206</f>
        <v>213.59720173488779</v>
      </c>
      <c r="AK195" s="323">
        <f t="shared" ref="AK195" ca="1" si="966">IF(AK$2=1,$B195,AJ195)*AK206</f>
        <v>216.73149421520162</v>
      </c>
      <c r="AL195" s="323">
        <f t="shared" ref="AL195" ca="1" si="967">IF(AL$2=1,$B195,AK195)*AL206</f>
        <v>219.91177882121917</v>
      </c>
      <c r="AM195" s="323">
        <f t="shared" ref="AM195" ca="1" si="968">IF(AM$2=1,$B195,AL195)*AM206</f>
        <v>223.13873043431798</v>
      </c>
      <c r="AN195" s="323">
        <f t="shared" ref="AN195" ca="1" si="969">IF(AN$2=1,$B195,AM195)*AN206</f>
        <v>226.41303383898111</v>
      </c>
      <c r="AO195" s="323">
        <f t="shared" ref="AO195" ca="1" si="970">IF(AO$2=1,$B195,AN195)*AO206</f>
        <v>229.73538386811376</v>
      </c>
      <c r="AP195" s="323">
        <f t="shared" ref="AP195" ca="1" si="971">IF(AP$2=1,$B195,AO195)*AP206</f>
        <v>233.10648555049235</v>
      </c>
      <c r="AQ195" s="323">
        <f t="shared" ref="AQ195" ca="1" si="972">IF(AQ$2=1,$B195,AP195)*AQ206</f>
        <v>236.52705426037707</v>
      </c>
      <c r="AR195" s="323">
        <f t="shared" ref="AR195" ca="1" si="973">IF(AR$2=1,$B195,AQ195)*AR206</f>
        <v>239.99781586931996</v>
      </c>
      <c r="AS195" s="323">
        <f t="shared" ref="AS195" ca="1" si="974">IF(AS$2=1,$B195,AR195)*AS206</f>
        <v>243.51950690020058</v>
      </c>
      <c r="AT195" s="323">
        <f t="shared" ref="AT195" ca="1" si="975">IF(AT$2=1,$B195,AS195)*AT206</f>
        <v>247.0928746835219</v>
      </c>
      <c r="AU195" s="323">
        <f t="shared" ref="AU195" ca="1" si="976">IF(AU$2=1,$B195,AT195)*AU206</f>
        <v>250.7186775159997</v>
      </c>
      <c r="AV195" s="323">
        <f t="shared" ref="AV195" ca="1" si="977">IF(AV$2=1,$B195,AU195)*AV206</f>
        <v>254.39768482147917</v>
      </c>
      <c r="AW195" s="148"/>
      <c r="AX195" s="117"/>
    </row>
    <row r="196" spans="1:50" collapsed="1" x14ac:dyDescent="0.2">
      <c r="A196" s="83" t="str">
        <f ca="1">Language!A$597</f>
        <v>выручка от реализации, без НДС</v>
      </c>
      <c r="B196" s="157"/>
      <c r="C196" s="146" t="str">
        <f t="shared" ref="C196" ca="1" si="978">CHOOSE(D196,CurName1,CurName2,CurName3)</f>
        <v>тыс. руб.</v>
      </c>
      <c r="D196" s="155">
        <f>D192</f>
        <v>1</v>
      </c>
      <c r="E196" s="57" t="s">
        <v>992</v>
      </c>
      <c r="F196" s="57" t="s">
        <v>753</v>
      </c>
      <c r="G196" s="176">
        <f t="shared" ref="G196:AV196" ca="1" si="979">G194*G195</f>
        <v>560</v>
      </c>
      <c r="H196" s="176">
        <f t="shared" ca="1" si="979"/>
        <v>2556.9780923450217</v>
      </c>
      <c r="I196" s="176">
        <f t="shared" ca="1" si="979"/>
        <v>5188.9975910574485</v>
      </c>
      <c r="J196" s="176">
        <f t="shared" ca="1" si="979"/>
        <v>7312.6946437196793</v>
      </c>
      <c r="K196" s="176">
        <f t="shared" ca="1" si="979"/>
        <v>8904</v>
      </c>
      <c r="L196" s="176">
        <f t="shared" ca="1" si="979"/>
        <v>10540.431914000033</v>
      </c>
      <c r="M196" s="176">
        <f t="shared" ca="1" si="979"/>
        <v>12222.972103379769</v>
      </c>
      <c r="N196" s="176">
        <f t="shared" ca="1" si="979"/>
        <v>13952.62138021715</v>
      </c>
      <c r="O196" s="176">
        <f t="shared" ca="1" si="979"/>
        <v>15730.400000000003</v>
      </c>
      <c r="P196" s="176">
        <f t="shared" ca="1" si="979"/>
        <v>17557.348016748627</v>
      </c>
      <c r="Q196" s="176">
        <f t="shared" ca="1" si="979"/>
        <v>17814.981840676013</v>
      </c>
      <c r="R196" s="176">
        <f t="shared" ca="1" si="979"/>
        <v>18076.396143703554</v>
      </c>
      <c r="S196" s="176">
        <f t="shared" ca="1" si="979"/>
        <v>18341.646400000005</v>
      </c>
      <c r="T196" s="176">
        <f t="shared" ca="1" si="979"/>
        <v>18610.788897753548</v>
      </c>
      <c r="U196" s="176">
        <f t="shared" ca="1" si="979"/>
        <v>18883.880751116576</v>
      </c>
      <c r="V196" s="176">
        <f t="shared" ca="1" si="979"/>
        <v>19160.979912325765</v>
      </c>
      <c r="W196" s="176">
        <f t="shared" ca="1" si="979"/>
        <v>19442.145184000005</v>
      </c>
      <c r="X196" s="176">
        <f t="shared" ca="1" si="979"/>
        <v>19727.436231618762</v>
      </c>
      <c r="Y196" s="176">
        <f t="shared" ca="1" si="979"/>
        <v>20016.913596183571</v>
      </c>
      <c r="Z196" s="176">
        <f t="shared" ca="1" si="979"/>
        <v>20310.638707065315</v>
      </c>
      <c r="AA196" s="176">
        <f t="shared" ca="1" si="979"/>
        <v>20608.67389504001</v>
      </c>
      <c r="AB196" s="176">
        <f t="shared" ca="1" si="979"/>
        <v>20911.082405515888</v>
      </c>
      <c r="AC196" s="176">
        <f t="shared" ca="1" si="979"/>
        <v>21217.928411954588</v>
      </c>
      <c r="AD196" s="176">
        <f t="shared" ca="1" si="979"/>
        <v>21529.277029489236</v>
      </c>
      <c r="AE196" s="176">
        <f t="shared" ca="1" si="979"/>
        <v>21845.194328742411</v>
      </c>
      <c r="AF196" s="176">
        <f t="shared" ca="1" si="979"/>
        <v>22165.747349846846</v>
      </c>
      <c r="AG196" s="176">
        <f t="shared" ca="1" si="979"/>
        <v>22491.004116671866</v>
      </c>
      <c r="AH196" s="176">
        <f t="shared" ca="1" si="979"/>
        <v>22821.033651258589</v>
      </c>
      <c r="AI196" s="176">
        <f t="shared" ca="1" si="979"/>
        <v>23155.905988466955</v>
      </c>
      <c r="AJ196" s="176">
        <f t="shared" ca="1" si="979"/>
        <v>23495.692190837657</v>
      </c>
      <c r="AK196" s="176">
        <f t="shared" ca="1" si="979"/>
        <v>23840.464363672178</v>
      </c>
      <c r="AL196" s="176">
        <f t="shared" ca="1" si="979"/>
        <v>24190.295670334108</v>
      </c>
      <c r="AM196" s="176">
        <f t="shared" ca="1" si="979"/>
        <v>24545.260347774976</v>
      </c>
      <c r="AN196" s="176">
        <f t="shared" ca="1" si="979"/>
        <v>24905.433722287922</v>
      </c>
      <c r="AO196" s="176">
        <f t="shared" ca="1" si="979"/>
        <v>25270.892225492513</v>
      </c>
      <c r="AP196" s="176">
        <f t="shared" ca="1" si="979"/>
        <v>25641.713410554159</v>
      </c>
      <c r="AQ196" s="176">
        <f t="shared" ca="1" si="979"/>
        <v>26017.975968641476</v>
      </c>
      <c r="AR196" s="176">
        <f t="shared" ca="1" si="979"/>
        <v>26399.759745625197</v>
      </c>
      <c r="AS196" s="176">
        <f t="shared" ca="1" si="979"/>
        <v>26787.145759022063</v>
      </c>
      <c r="AT196" s="176">
        <f t="shared" ca="1" si="979"/>
        <v>27180.216215187407</v>
      </c>
      <c r="AU196" s="176">
        <f t="shared" ca="1" si="979"/>
        <v>27579.054526759966</v>
      </c>
      <c r="AV196" s="176">
        <f t="shared" ca="1" si="979"/>
        <v>27983.745330362708</v>
      </c>
      <c r="AW196" s="177"/>
      <c r="AX196" s="178">
        <f ca="1">SUM(G196:AW196)</f>
        <v>815495.74805944937</v>
      </c>
    </row>
    <row r="197" spans="1:50" hidden="1" outlineLevel="1" x14ac:dyDescent="0.2">
      <c r="A197" s="179" t="str">
        <f ca="1">Language!A$598</f>
        <v>дебиторская задолженность</v>
      </c>
      <c r="B197" s="82"/>
      <c r="C197" s="82" t="str">
        <f ca="1">CHOOSE(D197,CurName1,CurName2,CurName3)</f>
        <v>тыс. руб.</v>
      </c>
      <c r="D197" s="155">
        <f>D192</f>
        <v>1</v>
      </c>
      <c r="E197" s="57" t="s">
        <v>994</v>
      </c>
      <c r="F197" s="57" t="s">
        <v>754</v>
      </c>
      <c r="G197" s="319">
        <f ca="1">IF(AND($B198=0,G$2&gt;1),F197,(G196+G207+G208)*$B198/Параметры!G$30)</f>
        <v>225.86666666666667</v>
      </c>
      <c r="H197" s="319">
        <f ca="1">IF(AND($B198=0,H$2&gt;1),G197,(H196+H207+H208)*$B198/Параметры!H$30)</f>
        <v>1031.3144972458254</v>
      </c>
      <c r="I197" s="319">
        <f ca="1">IF(AND($B198=0,I$2&gt;1),H197,(I196+I207+I208)*$B198/Параметры!I$30)</f>
        <v>2092.8956950598376</v>
      </c>
      <c r="J197" s="319">
        <f ca="1">IF(AND($B198=0,J$2&gt;1),I197,(J196+J207+J208)*$B198/Параметры!J$30)</f>
        <v>2949.4535063002704</v>
      </c>
      <c r="K197" s="319">
        <f ca="1">IF(AND($B198=0,K$2&gt;1),J197,(K196+K207+K208)*$B198/Параметры!K$30)</f>
        <v>3591.28</v>
      </c>
      <c r="L197" s="319">
        <f ca="1">IF(AND($B198=0,L$2&gt;1),K197,(L196+L207+L208)*$B198/Параметры!L$30)</f>
        <v>4251.3075386466799</v>
      </c>
      <c r="M197" s="319">
        <f ca="1">IF(AND($B198=0,M$2&gt;1),L197,(M196+M207+M208)*$B198/Параметры!M$30)</f>
        <v>4929.9320816965064</v>
      </c>
      <c r="N197" s="319">
        <f ca="1">IF(AND($B198=0,N$2&gt;1),M197,(N196+N207+N208)*$B198/Параметры!N$30)</f>
        <v>5627.5572900209172</v>
      </c>
      <c r="O197" s="319">
        <f ca="1">IF(AND($B198=0,O$2&gt;1),N197,(O196+O207+O208)*$B198/Параметры!O$30)</f>
        <v>6344.5946666666669</v>
      </c>
      <c r="P197" s="319">
        <f ca="1">IF(AND($B198=0,P$2&gt;1),O197,(P196+P207+P208)*$B198/Параметры!P$30)</f>
        <v>7081.4637000886132</v>
      </c>
      <c r="Q197" s="319">
        <f ca="1">IF(AND($B198=0,Q$2&gt;1),P197,(Q196+Q207+Q208)*$B198/Параметры!Q$30)</f>
        <v>7185.3760090726582</v>
      </c>
      <c r="R197" s="319">
        <f ca="1">IF(AND($B198=0,R$2&gt;1),Q197,(R196+R207+R208)*$B198/Параметры!R$30)</f>
        <v>7290.8131112937672</v>
      </c>
      <c r="S197" s="319">
        <f ca="1">IF(AND($B198=0,S$2&gt;1),R197,(S196+S207+S208)*$B198/Параметры!S$30)</f>
        <v>7397.7973813333356</v>
      </c>
      <c r="T197" s="319">
        <f ca="1">IF(AND($B198=0,T$2&gt;1),S197,(T196+T207+T208)*$B198/Параметры!T$30)</f>
        <v>7506.3515220939307</v>
      </c>
      <c r="U197" s="319">
        <f ca="1">IF(AND($B198=0,U$2&gt;1),T197,(U196+U207+U208)*$B198/Параметры!U$30)</f>
        <v>7616.4985696170179</v>
      </c>
      <c r="V197" s="319">
        <f ca="1">IF(AND($B198=0,V$2&gt;1),U197,(V196+V207+V208)*$B198/Параметры!V$30)</f>
        <v>7728.2618979713916</v>
      </c>
      <c r="W197" s="319">
        <f ca="1">IF(AND($B198=0,W$2&gt;1),V197,(W196+W207+W208)*$B198/Параметры!W$30)</f>
        <v>7841.6652242133359</v>
      </c>
      <c r="X197" s="319">
        <f ca="1">IF(AND($B198=0,X$2&gt;1),W197,(X196+X207+X208)*$B198/Параметры!X$30)</f>
        <v>7956.7326134195682</v>
      </c>
      <c r="Y197" s="319">
        <f ca="1">IF(AND($B198=0,Y$2&gt;1),X197,(Y196+Y207+Y208)*$B198/Параметры!Y$30)</f>
        <v>8073.4884837940417</v>
      </c>
      <c r="Z197" s="319">
        <f ca="1">IF(AND($B198=0,Z$2&gt;1),Y197,(Z196+Z207+Z208)*$B198/Параметры!Z$30)</f>
        <v>8191.9576118496761</v>
      </c>
      <c r="AA197" s="319">
        <f ca="1">IF(AND($B198=0,AA$2&gt;1),Z197,(AA196+AA207+AA208)*$B198/Параметры!AA$30)</f>
        <v>8312.1651376661375</v>
      </c>
      <c r="AB197" s="319">
        <f ca="1">IF(AND($B198=0,AB$2&gt;1),AA197,(AB196+AB207+AB208)*$B198/Параметры!AB$30)</f>
        <v>8434.1365702247422</v>
      </c>
      <c r="AC197" s="319">
        <f ca="1">IF(AND($B198=0,AC$2&gt;1),AB197,(AC196+AC207+AC208)*$B198/Параметры!AC$30)</f>
        <v>8557.8977928216846</v>
      </c>
      <c r="AD197" s="319">
        <f ca="1">IF(AND($B198=0,AD$2&gt;1),AC197,(AD196+AD207+AD208)*$B198/Параметры!AD$30)</f>
        <v>8683.4750685606596</v>
      </c>
      <c r="AE197" s="319">
        <f ca="1">IF(AND($B198=0,AE$2&gt;1),AD197,(AE196+AE207+AE208)*$B198/Параметры!AE$30)</f>
        <v>8810.895045926105</v>
      </c>
      <c r="AF197" s="319">
        <f ca="1">IF(AND($B198=0,AF$2&gt;1),AE197,(AF196+AF207+AF208)*$B198/Параметры!AF$30)</f>
        <v>8940.1847644382287</v>
      </c>
      <c r="AG197" s="319">
        <f ca="1">IF(AND($B198=0,AG$2&gt;1),AF197,(AG196+AG207+AG208)*$B198/Параметры!AG$30)</f>
        <v>9071.3716603909852</v>
      </c>
      <c r="AH197" s="319">
        <f ca="1">IF(AND($B198=0,AH$2&gt;1),AG197,(AH196+AH207+AH208)*$B198/Параметры!AH$30)</f>
        <v>9204.4835726742967</v>
      </c>
      <c r="AI197" s="319">
        <f ca="1">IF(AND($B198=0,AI$2&gt;1),AH197,(AI196+AI207+AI208)*$B198/Параметры!AI$30)</f>
        <v>9339.548748681671</v>
      </c>
      <c r="AJ197" s="319">
        <f ca="1">IF(AND($B198=0,AJ$2&gt;1),AI197,(AJ196+AJ207+AJ208)*$B198/Параметры!AJ$30)</f>
        <v>9476.5958503045222</v>
      </c>
      <c r="AK197" s="319">
        <f ca="1">IF(AND($B198=0,AK$2&gt;1),AJ197,(AK196+AK207+AK208)*$B198/Параметры!AK$30)</f>
        <v>9615.6539600144442</v>
      </c>
      <c r="AL197" s="319">
        <f ca="1">IF(AND($B198=0,AL$2&gt;1),AK197,(AL196+AL207+AL208)*$B198/Параметры!AL$30)</f>
        <v>9756.7525870347581</v>
      </c>
      <c r="AM197" s="319">
        <f ca="1">IF(AND($B198=0,AM$2&gt;1),AL197,(AM196+AM207+AM208)*$B198/Параметры!AM$30)</f>
        <v>9899.9216736025737</v>
      </c>
      <c r="AN197" s="319">
        <f ca="1">IF(AND($B198=0,AN$2&gt;1),AM197,(AN196+AN207+AN208)*$B198/Параметры!AN$30)</f>
        <v>10045.191601322796</v>
      </c>
      <c r="AO197" s="319">
        <f ca="1">IF(AND($B198=0,AO$2&gt;1),AN197,(AO196+AO207+AO208)*$B198/Параметры!AO$30)</f>
        <v>10192.593197615313</v>
      </c>
      <c r="AP197" s="319">
        <f ca="1">IF(AND($B198=0,AP$2&gt;1),AO197,(AP196+AP207+AP208)*$B198/Параметры!AP$30)</f>
        <v>10342.157742256843</v>
      </c>
      <c r="AQ197" s="319">
        <f ca="1">IF(AND($B198=0,AQ$2&gt;1),AP197,(AQ196+AQ207+AQ208)*$B198/Параметры!AQ$30)</f>
        <v>10493.916974018728</v>
      </c>
      <c r="AR197" s="319">
        <f ca="1">IF(AND($B198=0,AR$2&gt;1),AQ197,(AR196+AR207+AR208)*$B198/Параметры!AR$30)</f>
        <v>10647.903097402163</v>
      </c>
      <c r="AS197" s="319">
        <f ca="1">IF(AND($B198=0,AS$2&gt;1),AR197,(AS196+AS207+AS208)*$B198/Параметры!AS$30)</f>
        <v>10804.148789472232</v>
      </c>
      <c r="AT197" s="319">
        <f ca="1">IF(AND($B198=0,AT$2&gt;1),AS197,(AT196+AT207+AT208)*$B198/Параметры!AT$30)</f>
        <v>10962.687206792254</v>
      </c>
      <c r="AU197" s="319">
        <f ca="1">IF(AND($B198=0,AU$2&gt;1),AT197,(AU196+AU207+AU208)*$B198/Параметры!AU$30)</f>
        <v>11123.551992459854</v>
      </c>
      <c r="AV197" s="319">
        <f ca="1">IF(AND($B198=0,AV$2&gt;1),AU197,(AV196+AV207+AV208)*$B198/Параметры!AV$30)</f>
        <v>11286.777283246291</v>
      </c>
      <c r="AW197" s="180"/>
      <c r="AX197" s="87"/>
    </row>
    <row r="198" spans="1:50" hidden="1" outlineLevel="1" x14ac:dyDescent="0.2">
      <c r="A198" s="181" t="str">
        <f ca="1">Language!A$599</f>
        <v>средний период отсрочки платежа</v>
      </c>
      <c r="B198" s="320">
        <f>$B$618</f>
        <v>33</v>
      </c>
      <c r="C198" s="152" t="str">
        <f ca="1">Language!$A$1446</f>
        <v>дней</v>
      </c>
      <c r="D198" s="100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48"/>
      <c r="AX198" s="150"/>
    </row>
    <row r="199" spans="1:50" hidden="1" outlineLevel="1" x14ac:dyDescent="0.2">
      <c r="A199" s="179" t="str">
        <f ca="1">Language!A$600</f>
        <v xml:space="preserve">авансы полученные </v>
      </c>
      <c r="B199" s="82"/>
      <c r="C199" s="103" t="str">
        <f ca="1">CHOOSE(D199,CurName1,CurName2,CurName3)</f>
        <v>тыс. руб.</v>
      </c>
      <c r="D199" s="155">
        <f>D192</f>
        <v>1</v>
      </c>
      <c r="E199" s="57" t="s">
        <v>995</v>
      </c>
      <c r="F199" s="57" t="s">
        <v>754</v>
      </c>
      <c r="G199" s="316">
        <f ca="1">IF(AND($B200=0,G$2&gt;1),F199,(OFFSET(G196,0,1)+OFFSET(G207,0,1)+OFFSET(G208,0,1))*$B200/Параметры!G$30)</f>
        <v>0</v>
      </c>
      <c r="H199" s="316">
        <f ca="1">IF(AND($B200=0,H$2&gt;1),G199,(OFFSET(H196,0,1)+OFFSET(H207,0,1)+OFFSET(H208,0,1))*$B200/Параметры!H$30)</f>
        <v>0</v>
      </c>
      <c r="I199" s="316">
        <f ca="1">IF(AND($B200=0,I$2&gt;1),H199,(OFFSET(I196,0,1)+OFFSET(I207,0,1)+OFFSET(I208,0,1))*$B200/Параметры!I$30)</f>
        <v>0</v>
      </c>
      <c r="J199" s="316">
        <f ca="1">IF(AND($B200=0,J$2&gt;1),I199,(OFFSET(J196,0,1)+OFFSET(J207,0,1)+OFFSET(J208,0,1))*$B200/Параметры!J$30)</f>
        <v>0</v>
      </c>
      <c r="K199" s="316">
        <f ca="1">IF(AND($B200=0,K$2&gt;1),J199,(OFFSET(K196,0,1)+OFFSET(K207,0,1)+OFFSET(K208,0,1))*$B200/Параметры!K$30)</f>
        <v>0</v>
      </c>
      <c r="L199" s="316">
        <f ca="1">IF(AND($B200=0,L$2&gt;1),K199,(OFFSET(L196,0,1)+OFFSET(L207,0,1)+OFFSET(L208,0,1))*$B200/Параметры!L$30)</f>
        <v>0</v>
      </c>
      <c r="M199" s="316">
        <f ca="1">IF(AND($B200=0,M$2&gt;1),L199,(OFFSET(M196,0,1)+OFFSET(M207,0,1)+OFFSET(M208,0,1))*$B200/Параметры!M$30)</f>
        <v>0</v>
      </c>
      <c r="N199" s="316">
        <f ca="1">IF(AND($B200=0,N$2&gt;1),M199,(OFFSET(N196,0,1)+OFFSET(N207,0,1)+OFFSET(N208,0,1))*$B200/Параметры!N$30)</f>
        <v>0</v>
      </c>
      <c r="O199" s="316">
        <f ca="1">IF(AND($B200=0,O$2&gt;1),N199,(OFFSET(O196,0,1)+OFFSET(O207,0,1)+OFFSET(O208,0,1))*$B200/Параметры!O$30)</f>
        <v>0</v>
      </c>
      <c r="P199" s="316">
        <f ca="1">IF(AND($B200=0,P$2&gt;1),O199,(OFFSET(P196,0,1)+OFFSET(P207,0,1)+OFFSET(P208,0,1))*$B200/Параметры!P$30)</f>
        <v>0</v>
      </c>
      <c r="Q199" s="316">
        <f ca="1">IF(AND($B200=0,Q$2&gt;1),P199,(OFFSET(Q196,0,1)+OFFSET(Q207,0,1)+OFFSET(Q208,0,1))*$B200/Параметры!Q$30)</f>
        <v>0</v>
      </c>
      <c r="R199" s="316">
        <f ca="1">IF(AND($B200=0,R$2&gt;1),Q199,(OFFSET(R196,0,1)+OFFSET(R207,0,1)+OFFSET(R208,0,1))*$B200/Параметры!R$30)</f>
        <v>0</v>
      </c>
      <c r="S199" s="316">
        <f ca="1">IF(AND($B200=0,S$2&gt;1),R199,(OFFSET(S196,0,1)+OFFSET(S207,0,1)+OFFSET(S208,0,1))*$B200/Параметры!S$30)</f>
        <v>0</v>
      </c>
      <c r="T199" s="316">
        <f ca="1">IF(AND($B200=0,T$2&gt;1),S199,(OFFSET(T196,0,1)+OFFSET(T207,0,1)+OFFSET(T208,0,1))*$B200/Параметры!T$30)</f>
        <v>0</v>
      </c>
      <c r="U199" s="316">
        <f ca="1">IF(AND($B200=0,U$2&gt;1),T199,(OFFSET(U196,0,1)+OFFSET(U207,0,1)+OFFSET(U208,0,1))*$B200/Параметры!U$30)</f>
        <v>0</v>
      </c>
      <c r="V199" s="316">
        <f ca="1">IF(AND($B200=0,V$2&gt;1),U199,(OFFSET(V196,0,1)+OFFSET(V207,0,1)+OFFSET(V208,0,1))*$B200/Параметры!V$30)</f>
        <v>0</v>
      </c>
      <c r="W199" s="316">
        <f ca="1">IF(AND($B200=0,W$2&gt;1),V199,(OFFSET(W196,0,1)+OFFSET(W207,0,1)+OFFSET(W208,0,1))*$B200/Параметры!W$30)</f>
        <v>0</v>
      </c>
      <c r="X199" s="316">
        <f ca="1">IF(AND($B200=0,X$2&gt;1),W199,(OFFSET(X196,0,1)+OFFSET(X207,0,1)+OFFSET(X208,0,1))*$B200/Параметры!X$30)</f>
        <v>0</v>
      </c>
      <c r="Y199" s="316">
        <f ca="1">IF(AND($B200=0,Y$2&gt;1),X199,(OFFSET(Y196,0,1)+OFFSET(Y207,0,1)+OFFSET(Y208,0,1))*$B200/Параметры!Y$30)</f>
        <v>0</v>
      </c>
      <c r="Z199" s="316">
        <f ca="1">IF(AND($B200=0,Z$2&gt;1),Y199,(OFFSET(Z196,0,1)+OFFSET(Z207,0,1)+OFFSET(Z208,0,1))*$B200/Параметры!Z$30)</f>
        <v>0</v>
      </c>
      <c r="AA199" s="316">
        <f ca="1">IF(AND($B200=0,AA$2&gt;1),Z199,(OFFSET(AA196,0,1)+OFFSET(AA207,0,1)+OFFSET(AA208,0,1))*$B200/Параметры!AA$30)</f>
        <v>0</v>
      </c>
      <c r="AB199" s="316">
        <f ca="1">IF(AND($B200=0,AB$2&gt;1),AA199,(OFFSET(AB196,0,1)+OFFSET(AB207,0,1)+OFFSET(AB208,0,1))*$B200/Параметры!AB$30)</f>
        <v>0</v>
      </c>
      <c r="AC199" s="316">
        <f ca="1">IF(AND($B200=0,AC$2&gt;1),AB199,(OFFSET(AC196,0,1)+OFFSET(AC207,0,1)+OFFSET(AC208,0,1))*$B200/Параметры!AC$30)</f>
        <v>0</v>
      </c>
      <c r="AD199" s="316">
        <f ca="1">IF(AND($B200=0,AD$2&gt;1),AC199,(OFFSET(AD196,0,1)+OFFSET(AD207,0,1)+OFFSET(AD208,0,1))*$B200/Параметры!AD$30)</f>
        <v>0</v>
      </c>
      <c r="AE199" s="316">
        <f ca="1">IF(AND($B200=0,AE$2&gt;1),AD199,(OFFSET(AE196,0,1)+OFFSET(AE207,0,1)+OFFSET(AE208,0,1))*$B200/Параметры!AE$30)</f>
        <v>0</v>
      </c>
      <c r="AF199" s="316">
        <f ca="1">IF(AND($B200=0,AF$2&gt;1),AE199,(OFFSET(AF196,0,1)+OFFSET(AF207,0,1)+OFFSET(AF208,0,1))*$B200/Параметры!AF$30)</f>
        <v>0</v>
      </c>
      <c r="AG199" s="316">
        <f ca="1">IF(AND($B200=0,AG$2&gt;1),AF199,(OFFSET(AG196,0,1)+OFFSET(AG207,0,1)+OFFSET(AG208,0,1))*$B200/Параметры!AG$30)</f>
        <v>0</v>
      </c>
      <c r="AH199" s="316">
        <f ca="1">IF(AND($B200=0,AH$2&gt;1),AG199,(OFFSET(AH196,0,1)+OFFSET(AH207,0,1)+OFFSET(AH208,0,1))*$B200/Параметры!AH$30)</f>
        <v>0</v>
      </c>
      <c r="AI199" s="316">
        <f ca="1">IF(AND($B200=0,AI$2&gt;1),AH199,(OFFSET(AI196,0,1)+OFFSET(AI207,0,1)+OFFSET(AI208,0,1))*$B200/Параметры!AI$30)</f>
        <v>0</v>
      </c>
      <c r="AJ199" s="316">
        <f ca="1">IF(AND($B200=0,AJ$2&gt;1),AI199,(OFFSET(AJ196,0,1)+OFFSET(AJ207,0,1)+OFFSET(AJ208,0,1))*$B200/Параметры!AJ$30)</f>
        <v>0</v>
      </c>
      <c r="AK199" s="316">
        <f ca="1">IF(AND($B200=0,AK$2&gt;1),AJ199,(OFFSET(AK196,0,1)+OFFSET(AK207,0,1)+OFFSET(AK208,0,1))*$B200/Параметры!AK$30)</f>
        <v>0</v>
      </c>
      <c r="AL199" s="316">
        <f ca="1">IF(AND($B200=0,AL$2&gt;1),AK199,(OFFSET(AL196,0,1)+OFFSET(AL207,0,1)+OFFSET(AL208,0,1))*$B200/Параметры!AL$30)</f>
        <v>0</v>
      </c>
      <c r="AM199" s="316">
        <f ca="1">IF(AND($B200=0,AM$2&gt;1),AL199,(OFFSET(AM196,0,1)+OFFSET(AM207,0,1)+OFFSET(AM208,0,1))*$B200/Параметры!AM$30)</f>
        <v>0</v>
      </c>
      <c r="AN199" s="316">
        <f ca="1">IF(AND($B200=0,AN$2&gt;1),AM199,(OFFSET(AN196,0,1)+OFFSET(AN207,0,1)+OFFSET(AN208,0,1))*$B200/Параметры!AN$30)</f>
        <v>0</v>
      </c>
      <c r="AO199" s="316">
        <f ca="1">IF(AND($B200=0,AO$2&gt;1),AN199,(OFFSET(AO196,0,1)+OFFSET(AO207,0,1)+OFFSET(AO208,0,1))*$B200/Параметры!AO$30)</f>
        <v>0</v>
      </c>
      <c r="AP199" s="316">
        <f ca="1">IF(AND($B200=0,AP$2&gt;1),AO199,(OFFSET(AP196,0,1)+OFFSET(AP207,0,1)+OFFSET(AP208,0,1))*$B200/Параметры!AP$30)</f>
        <v>0</v>
      </c>
      <c r="AQ199" s="316">
        <f ca="1">IF(AND($B200=0,AQ$2&gt;1),AP199,(OFFSET(AQ196,0,1)+OFFSET(AQ207,0,1)+OFFSET(AQ208,0,1))*$B200/Параметры!AQ$30)</f>
        <v>0</v>
      </c>
      <c r="AR199" s="316">
        <f ca="1">IF(AND($B200=0,AR$2&gt;1),AQ199,(OFFSET(AR196,0,1)+OFFSET(AR207,0,1)+OFFSET(AR208,0,1))*$B200/Параметры!AR$30)</f>
        <v>0</v>
      </c>
      <c r="AS199" s="316">
        <f ca="1">IF(AND($B200=0,AS$2&gt;1),AR199,(OFFSET(AS196,0,1)+OFFSET(AS207,0,1)+OFFSET(AS208,0,1))*$B200/Параметры!AS$30)</f>
        <v>0</v>
      </c>
      <c r="AT199" s="316">
        <f ca="1">IF(AND($B200=0,AT$2&gt;1),AS199,(OFFSET(AT196,0,1)+OFFSET(AT207,0,1)+OFFSET(AT208,0,1))*$B200/Параметры!AT$30)</f>
        <v>0</v>
      </c>
      <c r="AU199" s="316">
        <f ca="1">IF(AND($B200=0,AU$2&gt;1),AT199,(OFFSET(AU196,0,1)+OFFSET(AU207,0,1)+OFFSET(AU208,0,1))*$B200/Параметры!AU$30)</f>
        <v>0</v>
      </c>
      <c r="AV199" s="316">
        <f ca="1">IF(AND($B200=0,AV$2&gt;1),AU199,(OFFSET(AV196,0,1)+OFFSET(AV207,0,1)+OFFSET(AV208,0,1))*$B200/Параметры!AV$30)</f>
        <v>0</v>
      </c>
      <c r="AW199" s="168"/>
      <c r="AX199" s="182"/>
    </row>
    <row r="200" spans="1:50" hidden="1" outlineLevel="1" x14ac:dyDescent="0.2">
      <c r="A200" s="181" t="str">
        <f ca="1">Language!A$601</f>
        <v>средний период предоплаты</v>
      </c>
      <c r="B200" s="320">
        <f>$B$624</f>
        <v>0</v>
      </c>
      <c r="C200" s="152" t="str">
        <f ca="1">Language!$A$1446</f>
        <v>дней</v>
      </c>
      <c r="D200" s="100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48"/>
      <c r="AX200" s="150"/>
    </row>
    <row r="201" spans="1:50" hidden="1" outlineLevel="1" x14ac:dyDescent="0.2">
      <c r="A201" s="179" t="str">
        <f ca="1">Language!A$602</f>
        <v>поступление денежных средств, с НДС</v>
      </c>
      <c r="B201" s="52"/>
      <c r="C201" s="103" t="str">
        <f ca="1">CHOOSE(D201,CurName1,CurName2,CurName3)</f>
        <v>тыс. руб.</v>
      </c>
      <c r="D201" s="155">
        <f>D192</f>
        <v>1</v>
      </c>
      <c r="E201" s="57" t="s">
        <v>993</v>
      </c>
      <c r="F201" s="57" t="s">
        <v>753</v>
      </c>
      <c r="G201" s="180">
        <f ca="1">G196+G207+G208-IF(G$2=1,G197,G197-F197)+IF(G$2=1,G199,G199-F199)</f>
        <v>390.13333333333333</v>
      </c>
      <c r="H201" s="180">
        <f t="shared" ref="H201" ca="1" si="980">H196+H207+H208-IF(H$2=1,H197,H197-G197)+IF(H$2=1,H199,H199-G199)</f>
        <v>2007.2280710003652</v>
      </c>
      <c r="I201" s="180">
        <f t="shared" ref="I201" ca="1" si="981">I196+I207+I208-IF(I$2=1,I197,I197-H197)+IF(I$2=1,I199,I199-H199)</f>
        <v>4646.3161523491817</v>
      </c>
      <c r="J201" s="180">
        <f t="shared" ref="J201" ca="1" si="982">J196+J207+J208-IF(J$2=1,J197,J197-I197)+IF(J$2=1,J199,J199-I199)</f>
        <v>7187.4062968512144</v>
      </c>
      <c r="K201" s="180">
        <f t="shared" ref="K201" ca="1" si="983">K196+K207+K208-IF(K$2=1,K197,K197-J197)+IF(K$2=1,K199,K199-J199)</f>
        <v>9152.5735063002703</v>
      </c>
      <c r="L201" s="180">
        <f t="shared" ref="L201" ca="1" si="984">L196+L207+L208-IF(L$2=1,L197,L197-K197)+IF(L$2=1,L199,L199-K199)</f>
        <v>10934.447566753357</v>
      </c>
      <c r="M201" s="180">
        <f t="shared" ref="M201" ca="1" si="985">M196+M207+M208-IF(M$2=1,M197,M197-L197)+IF(M$2=1,M199,M199-L199)</f>
        <v>12766.644770667917</v>
      </c>
      <c r="N201" s="180">
        <f t="shared" ref="N201" ca="1" si="986">N196+N207+N208-IF(N$2=1,N197,N197-M197)+IF(N$2=1,N199,N199-M199)</f>
        <v>14650.258309914454</v>
      </c>
      <c r="O201" s="180">
        <f t="shared" ref="O201" ca="1" si="987">O196+O207+O208-IF(O$2=1,O197,O197-N197)+IF(O$2=1,O199,O199-N199)</f>
        <v>16586.402623354254</v>
      </c>
      <c r="P201" s="180">
        <f t="shared" ref="P201" ca="1" si="988">P196+P207+P208-IF(P$2=1,P197,P197-O197)+IF(P$2=1,P199,P199-O199)</f>
        <v>18576.213785001542</v>
      </c>
      <c r="Q201" s="180">
        <f t="shared" ref="Q201" ca="1" si="989">Q196+Q207+Q208-IF(Q$2=1,Q197,Q197-P197)+IF(Q$2=1,Q199,Q199-P199)</f>
        <v>19492.567715759571</v>
      </c>
      <c r="R201" s="180">
        <f t="shared" ref="R201" ca="1" si="990">R196+R207+R208-IF(R$2=1,R197,R197-Q197)+IF(R$2=1,R199,R199-Q199)</f>
        <v>19778.598655852802</v>
      </c>
      <c r="S201" s="180">
        <f t="shared" ref="S201" ca="1" si="991">S196+S207+S208-IF(S$2=1,S197,S197-R197)+IF(S$2=1,S199,S199-R199)</f>
        <v>20068.826769960437</v>
      </c>
      <c r="T201" s="180">
        <f t="shared" ref="T201" ca="1" si="992">T196+T207+T208-IF(T$2=1,T197,T197-S197)+IF(T$2=1,T199,T199-S199)</f>
        <v>20363.313646768307</v>
      </c>
      <c r="U201" s="180">
        <f t="shared" ref="U201" ca="1" si="993">U196+U207+U208-IF(U$2=1,U197,U197-T197)+IF(U$2=1,U199,U199-T199)</f>
        <v>20662.121778705143</v>
      </c>
      <c r="V201" s="180">
        <f t="shared" ref="V201" ca="1" si="994">V196+V207+V208-IF(V$2=1,V197,V197-U197)+IF(V$2=1,V199,V199-U199)</f>
        <v>20965.314575203967</v>
      </c>
      <c r="W201" s="180">
        <f t="shared" ref="W201" ca="1" si="995">W196+W207+W208-IF(W$2=1,W197,W197-V197)+IF(W$2=1,W199,W199-V199)</f>
        <v>21272.956376158061</v>
      </c>
      <c r="X201" s="180">
        <f t="shared" ref="X201" ca="1" si="996">X196+X207+X208-IF(X$2=1,X197,X197-W197)+IF(X$2=1,X199,X199-W199)</f>
        <v>21585.112465574406</v>
      </c>
      <c r="Y201" s="180">
        <f t="shared" ref="Y201" ca="1" si="997">Y196+Y207+Y208-IF(Y$2=1,Y197,Y197-X197)+IF(Y$2=1,Y199,Y199-X199)</f>
        <v>21901.849085427457</v>
      </c>
      <c r="Z201" s="180">
        <f t="shared" ref="Z201" ca="1" si="998">Z196+Z207+Z208-IF(Z$2=1,Z197,Z197-Y197)+IF(Z$2=1,Z199,Z199-Y199)</f>
        <v>22223.233449716208</v>
      </c>
      <c r="AA201" s="180">
        <f t="shared" ref="AA201" ca="1" si="999">AA196+AA207+AA208-IF(AA$2=1,AA197,AA197-Z197)+IF(AA$2=1,AA199,AA199-Z199)</f>
        <v>22549.333758727549</v>
      </c>
      <c r="AB201" s="180">
        <f t="shared" ref="AB201" ca="1" si="1000">AB196+AB207+AB208-IF(AB$2=1,AB197,AB197-AA197)+IF(AB$2=1,AB199,AB199-AA199)</f>
        <v>22880.21921350887</v>
      </c>
      <c r="AC201" s="180">
        <f t="shared" ref="AC201" ca="1" si="1001">AC196+AC207+AC208-IF(AC$2=1,AC197,AC197-AB197)+IF(AC$2=1,AC199,AC199-AB199)</f>
        <v>23215.960030553106</v>
      </c>
      <c r="AD201" s="180">
        <f t="shared" ref="AD201" ca="1" si="1002">AD196+AD207+AD208-IF(AD$2=1,AD197,AD197-AC197)+IF(AD$2=1,AD199,AD199-AC199)</f>
        <v>23556.627456699185</v>
      </c>
      <c r="AE201" s="180">
        <f t="shared" ref="AE201" ca="1" si="1003">AE196+AE207+AE208-IF(AE$2=1,AE197,AE197-AD197)+IF(AE$2=1,AE199,AE199-AD199)</f>
        <v>23902.293784251204</v>
      </c>
      <c r="AF201" s="180">
        <f t="shared" ref="AF201" ca="1" si="1004">AF196+AF207+AF208-IF(AF$2=1,AF197,AF197-AE197)+IF(AF$2=1,AF199,AF199-AE199)</f>
        <v>24253.032366319407</v>
      </c>
      <c r="AG201" s="180">
        <f t="shared" ref="AG201" ca="1" si="1005">AG196+AG207+AG208-IF(AG$2=1,AG197,AG197-AF197)+IF(AG$2=1,AG199,AG199-AF199)</f>
        <v>24608.917632386296</v>
      </c>
      <c r="AH201" s="180">
        <f t="shared" ref="AH201" ca="1" si="1006">AH196+AH207+AH208-IF(AH$2=1,AH197,AH197-AG197)+IF(AH$2=1,AH199,AH199-AG199)</f>
        <v>24970.025104101136</v>
      </c>
      <c r="AI201" s="180">
        <f t="shared" ref="AI201" ca="1" si="1007">AI196+AI207+AI208-IF(AI$2=1,AI197,AI197-AH197)+IF(AI$2=1,AI199,AI199-AH199)</f>
        <v>25336.431411306276</v>
      </c>
      <c r="AJ201" s="180">
        <f t="shared" ref="AJ201" ca="1" si="1008">AJ196+AJ207+AJ208-IF(AJ$2=1,AJ197,AJ197-AI197)+IF(AJ$2=1,AJ199,AJ199-AI199)</f>
        <v>25708.214308298571</v>
      </c>
      <c r="AK201" s="180">
        <f t="shared" ref="AK201" ca="1" si="1009">AK196+AK207+AK208-IF(AK$2=1,AK197,AK197-AJ197)+IF(AK$2=1,AK199,AK199-AJ199)</f>
        <v>26085.452690329475</v>
      </c>
      <c r="AL201" s="180">
        <f t="shared" ref="AL201" ca="1" si="1010">AL196+AL207+AL208-IF(AL$2=1,AL197,AL197-AK197)+IF(AL$2=1,AL199,AL199-AK199)</f>
        <v>26468.226610347207</v>
      </c>
      <c r="AM201" s="180">
        <f t="shared" ref="AM201" ca="1" si="1011">AM196+AM207+AM208-IF(AM$2=1,AM197,AM197-AL197)+IF(AM$2=1,AM199,AM199-AL199)</f>
        <v>26856.617295984659</v>
      </c>
      <c r="AN201" s="180">
        <f t="shared" ref="AN201" ca="1" si="1012">AN196+AN207+AN208-IF(AN$2=1,AN197,AN197-AM197)+IF(AN$2=1,AN199,AN199-AM199)</f>
        <v>27250.707166796492</v>
      </c>
      <c r="AO201" s="180">
        <f t="shared" ref="AO201" ca="1" si="1013">AO196+AO207+AO208-IF(AO$2=1,AO197,AO197-AN197)+IF(AO$2=1,AO199,AO199-AN199)</f>
        <v>27650.579851749244</v>
      </c>
      <c r="AP201" s="180">
        <f t="shared" ref="AP201" ca="1" si="1014">AP196+AP207+AP208-IF(AP$2=1,AP197,AP197-AO197)+IF(AP$2=1,AP199,AP199-AO199)</f>
        <v>28056.320206968045</v>
      </c>
      <c r="AQ201" s="180">
        <f t="shared" ref="AQ201" ca="1" si="1015">AQ196+AQ207+AQ208-IF(AQ$2=1,AQ197,AQ197-AP197)+IF(AQ$2=1,AQ199,AQ199-AP199)</f>
        <v>28468.01433374374</v>
      </c>
      <c r="AR201" s="180">
        <f t="shared" ref="AR201" ca="1" si="1016">AR196+AR207+AR208-IF(AR$2=1,AR197,AR197-AQ197)+IF(AR$2=1,AR199,AR199-AQ199)</f>
        <v>28885.749596804282</v>
      </c>
      <c r="AS201" s="180">
        <f t="shared" ref="AS201" ca="1" si="1017">AS196+AS207+AS208-IF(AS$2=1,AS197,AS197-AR197)+IF(AS$2=1,AS199,AS199-AR199)</f>
        <v>29309.614642854198</v>
      </c>
      <c r="AT201" s="180">
        <f t="shared" ref="AT201" ca="1" si="1018">AT196+AT207+AT208-IF(AT$2=1,AT197,AT197-AS197)+IF(AT$2=1,AT199,AT199-AS199)</f>
        <v>29739.699419386125</v>
      </c>
      <c r="AU201" s="180">
        <f t="shared" ref="AU201" ca="1" si="1019">AU196+AU207+AU208-IF(AU$2=1,AU197,AU197-AT197)+IF(AU$2=1,AU199,AU199-AT199)</f>
        <v>30176.095193768364</v>
      </c>
      <c r="AV201" s="180">
        <f t="shared" ref="AV201" ca="1" si="1020">AV196+AV207+AV208-IF(AV$2=1,AV197,AV197-AU197)+IF(AV$2=1,AV199,AV199-AU199)</f>
        <v>30618.894572612538</v>
      </c>
      <c r="AW201" s="180"/>
      <c r="AX201" s="169">
        <f ca="1">SUM(G201:AW201)</f>
        <v>885758.54558214801</v>
      </c>
    </row>
    <row r="202" spans="1:50" hidden="1" outlineLevel="1" x14ac:dyDescent="0.2">
      <c r="A202" s="179" t="str">
        <f ca="1">Language!A$603</f>
        <v>темп изменения цен</v>
      </c>
      <c r="B202" s="84"/>
      <c r="C202" s="82" t="str">
        <f ca="1">Language!$A$471</f>
        <v>% в год</v>
      </c>
      <c r="D202" s="153"/>
      <c r="F202" s="57" t="s">
        <v>756</v>
      </c>
      <c r="G202" s="321">
        <f>CHOOSE($D192,Параметры!G$47,Параметры!G$56,Параметры!G$62)</f>
        <v>0.06</v>
      </c>
      <c r="H202" s="321">
        <f>CHOOSE($D192,Параметры!H$47,Параметры!H$56,Параметры!H$62)</f>
        <v>0.06</v>
      </c>
      <c r="I202" s="321">
        <f>CHOOSE($D192,Параметры!I$47,Параметры!I$56,Параметры!I$62)</f>
        <v>0.06</v>
      </c>
      <c r="J202" s="321">
        <f>CHOOSE($D192,Параметры!J$47,Параметры!J$56,Параметры!J$62)</f>
        <v>0.06</v>
      </c>
      <c r="K202" s="321">
        <f>CHOOSE($D192,Параметры!K$47,Параметры!K$56,Параметры!K$62)</f>
        <v>0.06</v>
      </c>
      <c r="L202" s="321">
        <f>CHOOSE($D192,Параметры!L$47,Параметры!L$56,Параметры!L$62)</f>
        <v>0.06</v>
      </c>
      <c r="M202" s="321">
        <f>CHOOSE($D192,Параметры!M$47,Параметры!M$56,Параметры!M$62)</f>
        <v>0.06</v>
      </c>
      <c r="N202" s="321">
        <f>CHOOSE($D192,Параметры!N$47,Параметры!N$56,Параметры!N$62)</f>
        <v>0.06</v>
      </c>
      <c r="O202" s="321">
        <f>CHOOSE($D192,Параметры!O$47,Параметры!O$56,Параметры!O$62)</f>
        <v>0.06</v>
      </c>
      <c r="P202" s="321">
        <f>CHOOSE($D192,Параметры!P$47,Параметры!P$56,Параметры!P$62)</f>
        <v>0.06</v>
      </c>
      <c r="Q202" s="321">
        <f>CHOOSE($D192,Параметры!Q$47,Параметры!Q$56,Параметры!Q$62)</f>
        <v>0.06</v>
      </c>
      <c r="R202" s="321">
        <f>CHOOSE($D192,Параметры!R$47,Параметры!R$56,Параметры!R$62)</f>
        <v>0.06</v>
      </c>
      <c r="S202" s="321">
        <f>CHOOSE($D192,Параметры!S$47,Параметры!S$56,Параметры!S$62)</f>
        <v>0.06</v>
      </c>
      <c r="T202" s="321">
        <f>CHOOSE($D192,Параметры!T$47,Параметры!T$56,Параметры!T$62)</f>
        <v>0.06</v>
      </c>
      <c r="U202" s="321">
        <f>CHOOSE($D192,Параметры!U$47,Параметры!U$56,Параметры!U$62)</f>
        <v>0.06</v>
      </c>
      <c r="V202" s="321">
        <f>CHOOSE($D192,Параметры!V$47,Параметры!V$56,Параметры!V$62)</f>
        <v>0.06</v>
      </c>
      <c r="W202" s="321">
        <f>CHOOSE($D192,Параметры!W$47,Параметры!W$56,Параметры!W$62)</f>
        <v>0.06</v>
      </c>
      <c r="X202" s="321">
        <f>CHOOSE($D192,Параметры!X$47,Параметры!X$56,Параметры!X$62)</f>
        <v>0.06</v>
      </c>
      <c r="Y202" s="321">
        <f>CHOOSE($D192,Параметры!Y$47,Параметры!Y$56,Параметры!Y$62)</f>
        <v>0.06</v>
      </c>
      <c r="Z202" s="321">
        <f>CHOOSE($D192,Параметры!Z$47,Параметры!Z$56,Параметры!Z$62)</f>
        <v>0.06</v>
      </c>
      <c r="AA202" s="321">
        <f>CHOOSE($D192,Параметры!AA$47,Параметры!AA$56,Параметры!AA$62)</f>
        <v>0.06</v>
      </c>
      <c r="AB202" s="321">
        <f>CHOOSE($D192,Параметры!AB$47,Параметры!AB$56,Параметры!AB$62)</f>
        <v>0.06</v>
      </c>
      <c r="AC202" s="321">
        <f>CHOOSE($D192,Параметры!AC$47,Параметры!AC$56,Параметры!AC$62)</f>
        <v>0.06</v>
      </c>
      <c r="AD202" s="321">
        <f>CHOOSE($D192,Параметры!AD$47,Параметры!AD$56,Параметры!AD$62)</f>
        <v>0.06</v>
      </c>
      <c r="AE202" s="321">
        <f>CHOOSE($D192,Параметры!AE$47,Параметры!AE$56,Параметры!AE$62)</f>
        <v>0.06</v>
      </c>
      <c r="AF202" s="321">
        <f>CHOOSE($D192,Параметры!AF$47,Параметры!AF$56,Параметры!AF$62)</f>
        <v>0.06</v>
      </c>
      <c r="AG202" s="321">
        <f>CHOOSE($D192,Параметры!AG$47,Параметры!AG$56,Параметры!AG$62)</f>
        <v>0.06</v>
      </c>
      <c r="AH202" s="321">
        <f>CHOOSE($D192,Параметры!AH$47,Параметры!AH$56,Параметры!AH$62)</f>
        <v>0.06</v>
      </c>
      <c r="AI202" s="321">
        <f>CHOOSE($D192,Параметры!AI$47,Параметры!AI$56,Параметры!AI$62)</f>
        <v>0.06</v>
      </c>
      <c r="AJ202" s="321">
        <f>CHOOSE($D192,Параметры!AJ$47,Параметры!AJ$56,Параметры!AJ$62)</f>
        <v>0.06</v>
      </c>
      <c r="AK202" s="321">
        <f>CHOOSE($D192,Параметры!AK$47,Параметры!AK$56,Параметры!AK$62)</f>
        <v>0.06</v>
      </c>
      <c r="AL202" s="321">
        <f>CHOOSE($D192,Параметры!AL$47,Параметры!AL$56,Параметры!AL$62)</f>
        <v>0.06</v>
      </c>
      <c r="AM202" s="321">
        <f>CHOOSE($D192,Параметры!AM$47,Параметры!AM$56,Параметры!AM$62)</f>
        <v>0.06</v>
      </c>
      <c r="AN202" s="321">
        <f>CHOOSE($D192,Параметры!AN$47,Параметры!AN$56,Параметры!AN$62)</f>
        <v>0.06</v>
      </c>
      <c r="AO202" s="321">
        <f>CHOOSE($D192,Параметры!AO$47,Параметры!AO$56,Параметры!AO$62)</f>
        <v>0.06</v>
      </c>
      <c r="AP202" s="321">
        <f>CHOOSE($D192,Параметры!AP$47,Параметры!AP$56,Параметры!AP$62)</f>
        <v>0.06</v>
      </c>
      <c r="AQ202" s="321">
        <f>CHOOSE($D192,Параметры!AQ$47,Параметры!AQ$56,Параметры!AQ$62)</f>
        <v>0.06</v>
      </c>
      <c r="AR202" s="321">
        <f>CHOOSE($D192,Параметры!AR$47,Параметры!AR$56,Параметры!AR$62)</f>
        <v>0.06</v>
      </c>
      <c r="AS202" s="321">
        <f>CHOOSE($D192,Параметры!AS$47,Параметры!AS$56,Параметры!AS$62)</f>
        <v>0.06</v>
      </c>
      <c r="AT202" s="321">
        <f>CHOOSE($D192,Параметры!AT$47,Параметры!AT$56,Параметры!AT$62)</f>
        <v>0.06</v>
      </c>
      <c r="AU202" s="321">
        <f>CHOOSE($D192,Параметры!AU$47,Параметры!AU$56,Параметры!AU$62)</f>
        <v>0.06</v>
      </c>
      <c r="AV202" s="321">
        <f>CHOOSE($D192,Параметры!AV$47,Параметры!AV$56,Параметры!AV$62)</f>
        <v>0.06</v>
      </c>
      <c r="AW202" s="183"/>
      <c r="AX202" s="184"/>
    </row>
    <row r="203" spans="1:50" hidden="1" outlineLevel="1" x14ac:dyDescent="0.2">
      <c r="A203" s="179" t="str">
        <f ca="1">Language!A$604</f>
        <v>ставка НДС</v>
      </c>
      <c r="B203" s="84"/>
      <c r="C203" s="82" t="s">
        <v>1</v>
      </c>
      <c r="D203" s="66"/>
      <c r="F203" s="57" t="s">
        <v>756</v>
      </c>
      <c r="G203" s="321">
        <f>Параметры!G$72*10/18</f>
        <v>9.9999999999999992E-2</v>
      </c>
      <c r="H203" s="321">
        <f>Параметры!H$72*10/18</f>
        <v>9.9999999999999992E-2</v>
      </c>
      <c r="I203" s="321">
        <f>Параметры!I$72*10/18</f>
        <v>9.9999999999999992E-2</v>
      </c>
      <c r="J203" s="321">
        <f>Параметры!J$72*10/18</f>
        <v>9.9999999999999992E-2</v>
      </c>
      <c r="K203" s="321">
        <f>Параметры!K$72*10/18</f>
        <v>9.9999999999999992E-2</v>
      </c>
      <c r="L203" s="321">
        <f>Параметры!L$72*10/18</f>
        <v>9.9999999999999992E-2</v>
      </c>
      <c r="M203" s="321">
        <f>Параметры!M$72*10/18</f>
        <v>9.9999999999999992E-2</v>
      </c>
      <c r="N203" s="321">
        <f>Параметры!N$72*10/18</f>
        <v>9.9999999999999992E-2</v>
      </c>
      <c r="O203" s="321">
        <f>Параметры!O$72*10/18</f>
        <v>9.9999999999999992E-2</v>
      </c>
      <c r="P203" s="321">
        <f>Параметры!P$72*10/18</f>
        <v>9.9999999999999992E-2</v>
      </c>
      <c r="Q203" s="321">
        <f>Параметры!Q$72*10/18</f>
        <v>9.9999999999999992E-2</v>
      </c>
      <c r="R203" s="321">
        <f>Параметры!R$72*10/18</f>
        <v>9.9999999999999992E-2</v>
      </c>
      <c r="S203" s="321">
        <f>Параметры!S$72*10/18</f>
        <v>9.9999999999999992E-2</v>
      </c>
      <c r="T203" s="321">
        <f>Параметры!T$72*10/18</f>
        <v>9.9999999999999992E-2</v>
      </c>
      <c r="U203" s="321">
        <f>Параметры!U$72*10/18</f>
        <v>9.9999999999999992E-2</v>
      </c>
      <c r="V203" s="321">
        <f>Параметры!V$72*10/18</f>
        <v>9.9999999999999992E-2</v>
      </c>
      <c r="W203" s="321">
        <f>Параметры!W$72*10/18</f>
        <v>9.9999999999999992E-2</v>
      </c>
      <c r="X203" s="321">
        <f>Параметры!X$72*10/18</f>
        <v>9.9999999999999992E-2</v>
      </c>
      <c r="Y203" s="321">
        <f>Параметры!Y$72*10/18</f>
        <v>9.9999999999999992E-2</v>
      </c>
      <c r="Z203" s="321">
        <f>Параметры!Z$72*10/18</f>
        <v>9.9999999999999992E-2</v>
      </c>
      <c r="AA203" s="321">
        <f>Параметры!AA$72*10/18</f>
        <v>9.9999999999999992E-2</v>
      </c>
      <c r="AB203" s="321">
        <f>Параметры!AB$72*10/18</f>
        <v>9.9999999999999992E-2</v>
      </c>
      <c r="AC203" s="321">
        <f>Параметры!AC$72*10/18</f>
        <v>9.9999999999999992E-2</v>
      </c>
      <c r="AD203" s="321">
        <f>Параметры!AD$72*10/18</f>
        <v>9.9999999999999992E-2</v>
      </c>
      <c r="AE203" s="321">
        <f>Параметры!AE$72*10/18</f>
        <v>9.9999999999999992E-2</v>
      </c>
      <c r="AF203" s="321">
        <f>Параметры!AF$72*10/18</f>
        <v>9.9999999999999992E-2</v>
      </c>
      <c r="AG203" s="321">
        <f>Параметры!AG$72*10/18</f>
        <v>9.9999999999999992E-2</v>
      </c>
      <c r="AH203" s="321">
        <f>Параметры!AH$72*10/18</f>
        <v>9.9999999999999992E-2</v>
      </c>
      <c r="AI203" s="321">
        <f>Параметры!AI$72*10/18</f>
        <v>9.9999999999999992E-2</v>
      </c>
      <c r="AJ203" s="321">
        <f>Параметры!AJ$72*10/18</f>
        <v>9.9999999999999992E-2</v>
      </c>
      <c r="AK203" s="321">
        <f>Параметры!AK$72*10/18</f>
        <v>9.9999999999999992E-2</v>
      </c>
      <c r="AL203" s="321">
        <f>Параметры!AL$72*10/18</f>
        <v>9.9999999999999992E-2</v>
      </c>
      <c r="AM203" s="321">
        <f>Параметры!AM$72*10/18</f>
        <v>9.9999999999999992E-2</v>
      </c>
      <c r="AN203" s="321">
        <f>Параметры!AN$72*10/18</f>
        <v>9.9999999999999992E-2</v>
      </c>
      <c r="AO203" s="321">
        <f>Параметры!AO$72*10/18</f>
        <v>9.9999999999999992E-2</v>
      </c>
      <c r="AP203" s="321">
        <f>Параметры!AP$72*10/18</f>
        <v>9.9999999999999992E-2</v>
      </c>
      <c r="AQ203" s="321">
        <f>Параметры!AQ$72*10/18</f>
        <v>9.9999999999999992E-2</v>
      </c>
      <c r="AR203" s="321">
        <f>Параметры!AR$72*10/18</f>
        <v>9.9999999999999992E-2</v>
      </c>
      <c r="AS203" s="321">
        <f>Параметры!AS$72*10/18</f>
        <v>9.9999999999999992E-2</v>
      </c>
      <c r="AT203" s="321">
        <f>Параметры!AT$72*10/18</f>
        <v>9.9999999999999992E-2</v>
      </c>
      <c r="AU203" s="321">
        <f>Параметры!AU$72*10/18</f>
        <v>9.9999999999999992E-2</v>
      </c>
      <c r="AV203" s="321">
        <f>Параметры!AV$72*10/18</f>
        <v>9.9999999999999992E-2</v>
      </c>
      <c r="AW203" s="183"/>
      <c r="AX203" s="87"/>
    </row>
    <row r="204" spans="1:50" hidden="1" outlineLevel="1" x14ac:dyDescent="0.2">
      <c r="A204" s="179" t="str">
        <f ca="1">Language!A$605</f>
        <v>акцизы, на единицу</v>
      </c>
      <c r="B204" s="66"/>
      <c r="C204" s="82" t="str">
        <f ca="1">CHOOSE(D204,CurName1,CurName2,CurName3)&amp;"/"&amp;C194</f>
        <v>тыс. руб./тн</v>
      </c>
      <c r="D204" s="66">
        <f>D192</f>
        <v>1</v>
      </c>
      <c r="F204" s="57" t="s">
        <v>756</v>
      </c>
      <c r="G204" s="319">
        <v>0</v>
      </c>
      <c r="H204" s="319">
        <f t="shared" ref="H204:H205" si="1021">G204</f>
        <v>0</v>
      </c>
      <c r="I204" s="319">
        <f t="shared" ref="I204:I205" si="1022">H204</f>
        <v>0</v>
      </c>
      <c r="J204" s="319">
        <f t="shared" ref="J204:J205" si="1023">I204</f>
        <v>0</v>
      </c>
      <c r="K204" s="319">
        <f t="shared" ref="K204:K205" si="1024">J204</f>
        <v>0</v>
      </c>
      <c r="L204" s="319">
        <f t="shared" ref="L204:L205" si="1025">K204</f>
        <v>0</v>
      </c>
      <c r="M204" s="319">
        <f t="shared" ref="M204:M205" si="1026">L204</f>
        <v>0</v>
      </c>
      <c r="N204" s="319">
        <f t="shared" ref="N204:N205" si="1027">M204</f>
        <v>0</v>
      </c>
      <c r="O204" s="319">
        <f t="shared" ref="O204:O205" si="1028">N204</f>
        <v>0</v>
      </c>
      <c r="P204" s="319">
        <f t="shared" ref="P204:P205" si="1029">O204</f>
        <v>0</v>
      </c>
      <c r="Q204" s="319">
        <f t="shared" ref="Q204:Q205" si="1030">P204</f>
        <v>0</v>
      </c>
      <c r="R204" s="319">
        <f t="shared" ref="R204:R205" si="1031">Q204</f>
        <v>0</v>
      </c>
      <c r="S204" s="319">
        <f t="shared" ref="S204:S205" si="1032">R204</f>
        <v>0</v>
      </c>
      <c r="T204" s="319">
        <f t="shared" ref="T204:T205" si="1033">S204</f>
        <v>0</v>
      </c>
      <c r="U204" s="319">
        <f t="shared" ref="U204:U205" si="1034">T204</f>
        <v>0</v>
      </c>
      <c r="V204" s="319">
        <f t="shared" ref="V204:V205" si="1035">U204</f>
        <v>0</v>
      </c>
      <c r="W204" s="319">
        <f t="shared" ref="W204:W205" si="1036">V204</f>
        <v>0</v>
      </c>
      <c r="X204" s="319">
        <f t="shared" ref="X204:X205" si="1037">W204</f>
        <v>0</v>
      </c>
      <c r="Y204" s="319">
        <f t="shared" ref="Y204:Y205" si="1038">X204</f>
        <v>0</v>
      </c>
      <c r="Z204" s="319">
        <f t="shared" ref="Z204:Z205" si="1039">Y204</f>
        <v>0</v>
      </c>
      <c r="AA204" s="319">
        <f t="shared" ref="AA204:AA205" si="1040">Z204</f>
        <v>0</v>
      </c>
      <c r="AB204" s="319">
        <f t="shared" ref="AB204:AB205" si="1041">AA204</f>
        <v>0</v>
      </c>
      <c r="AC204" s="319">
        <f t="shared" ref="AC204:AC205" si="1042">AB204</f>
        <v>0</v>
      </c>
      <c r="AD204" s="319">
        <f t="shared" ref="AD204:AD205" si="1043">AC204</f>
        <v>0</v>
      </c>
      <c r="AE204" s="319">
        <f t="shared" ref="AE204:AE205" si="1044">AD204</f>
        <v>0</v>
      </c>
      <c r="AF204" s="319">
        <f t="shared" ref="AF204:AF205" si="1045">AE204</f>
        <v>0</v>
      </c>
      <c r="AG204" s="319">
        <f t="shared" ref="AG204:AG205" si="1046">AF204</f>
        <v>0</v>
      </c>
      <c r="AH204" s="319">
        <f t="shared" ref="AH204:AH205" si="1047">AG204</f>
        <v>0</v>
      </c>
      <c r="AI204" s="319">
        <f t="shared" ref="AI204:AI205" si="1048">AH204</f>
        <v>0</v>
      </c>
      <c r="AJ204" s="319">
        <f t="shared" ref="AJ204:AJ205" si="1049">AI204</f>
        <v>0</v>
      </c>
      <c r="AK204" s="319">
        <f t="shared" ref="AK204:AK205" si="1050">AJ204</f>
        <v>0</v>
      </c>
      <c r="AL204" s="319">
        <f t="shared" ref="AL204:AL205" si="1051">AK204</f>
        <v>0</v>
      </c>
      <c r="AM204" s="319">
        <f t="shared" ref="AM204:AM205" si="1052">AL204</f>
        <v>0</v>
      </c>
      <c r="AN204" s="319">
        <f t="shared" ref="AN204:AN205" si="1053">AM204</f>
        <v>0</v>
      </c>
      <c r="AO204" s="319">
        <f t="shared" ref="AO204:AO205" si="1054">AN204</f>
        <v>0</v>
      </c>
      <c r="AP204" s="319">
        <f t="shared" ref="AP204:AP205" si="1055">AO204</f>
        <v>0</v>
      </c>
      <c r="AQ204" s="319">
        <f t="shared" ref="AQ204:AQ205" si="1056">AP204</f>
        <v>0</v>
      </c>
      <c r="AR204" s="319">
        <f t="shared" ref="AR204:AR205" si="1057">AQ204</f>
        <v>0</v>
      </c>
      <c r="AS204" s="319">
        <f t="shared" ref="AS204:AS205" si="1058">AR204</f>
        <v>0</v>
      </c>
      <c r="AT204" s="319">
        <f t="shared" ref="AT204:AT205" si="1059">AS204</f>
        <v>0</v>
      </c>
      <c r="AU204" s="319">
        <f t="shared" ref="AU204:AU205" si="1060">AT204</f>
        <v>0</v>
      </c>
      <c r="AV204" s="319">
        <f t="shared" ref="AV204:AV205" si="1061">AU204</f>
        <v>0</v>
      </c>
      <c r="AW204" s="180"/>
      <c r="AX204" s="87"/>
    </row>
    <row r="205" spans="1:50" hidden="1" outlineLevel="1" x14ac:dyDescent="0.2">
      <c r="A205" s="179" t="str">
        <f ca="1">Language!A$606</f>
        <v>ставка акцизов, в процентах</v>
      </c>
      <c r="B205" s="84"/>
      <c r="C205" s="82" t="s">
        <v>1</v>
      </c>
      <c r="D205" s="66"/>
      <c r="F205" s="57" t="s">
        <v>756</v>
      </c>
      <c r="G205" s="321">
        <v>0</v>
      </c>
      <c r="H205" s="321">
        <f t="shared" si="1021"/>
        <v>0</v>
      </c>
      <c r="I205" s="321">
        <f t="shared" si="1022"/>
        <v>0</v>
      </c>
      <c r="J205" s="321">
        <f t="shared" si="1023"/>
        <v>0</v>
      </c>
      <c r="K205" s="321">
        <f t="shared" si="1024"/>
        <v>0</v>
      </c>
      <c r="L205" s="321">
        <f t="shared" si="1025"/>
        <v>0</v>
      </c>
      <c r="M205" s="321">
        <f t="shared" si="1026"/>
        <v>0</v>
      </c>
      <c r="N205" s="321">
        <f t="shared" si="1027"/>
        <v>0</v>
      </c>
      <c r="O205" s="321">
        <f t="shared" si="1028"/>
        <v>0</v>
      </c>
      <c r="P205" s="321">
        <f t="shared" si="1029"/>
        <v>0</v>
      </c>
      <c r="Q205" s="321">
        <f t="shared" si="1030"/>
        <v>0</v>
      </c>
      <c r="R205" s="321">
        <f t="shared" si="1031"/>
        <v>0</v>
      </c>
      <c r="S205" s="321">
        <f t="shared" si="1032"/>
        <v>0</v>
      </c>
      <c r="T205" s="321">
        <f t="shared" si="1033"/>
        <v>0</v>
      </c>
      <c r="U205" s="321">
        <f t="shared" si="1034"/>
        <v>0</v>
      </c>
      <c r="V205" s="321">
        <f t="shared" si="1035"/>
        <v>0</v>
      </c>
      <c r="W205" s="321">
        <f t="shared" si="1036"/>
        <v>0</v>
      </c>
      <c r="X205" s="321">
        <f t="shared" si="1037"/>
        <v>0</v>
      </c>
      <c r="Y205" s="321">
        <f t="shared" si="1038"/>
        <v>0</v>
      </c>
      <c r="Z205" s="321">
        <f t="shared" si="1039"/>
        <v>0</v>
      </c>
      <c r="AA205" s="321">
        <f t="shared" si="1040"/>
        <v>0</v>
      </c>
      <c r="AB205" s="321">
        <f t="shared" si="1041"/>
        <v>0</v>
      </c>
      <c r="AC205" s="321">
        <f t="shared" si="1042"/>
        <v>0</v>
      </c>
      <c r="AD205" s="321">
        <f t="shared" si="1043"/>
        <v>0</v>
      </c>
      <c r="AE205" s="321">
        <f t="shared" si="1044"/>
        <v>0</v>
      </c>
      <c r="AF205" s="321">
        <f t="shared" si="1045"/>
        <v>0</v>
      </c>
      <c r="AG205" s="321">
        <f t="shared" si="1046"/>
        <v>0</v>
      </c>
      <c r="AH205" s="321">
        <f t="shared" si="1047"/>
        <v>0</v>
      </c>
      <c r="AI205" s="321">
        <f t="shared" si="1048"/>
        <v>0</v>
      </c>
      <c r="AJ205" s="321">
        <f t="shared" si="1049"/>
        <v>0</v>
      </c>
      <c r="AK205" s="321">
        <f t="shared" si="1050"/>
        <v>0</v>
      </c>
      <c r="AL205" s="321">
        <f t="shared" si="1051"/>
        <v>0</v>
      </c>
      <c r="AM205" s="321">
        <f t="shared" si="1052"/>
        <v>0</v>
      </c>
      <c r="AN205" s="321">
        <f t="shared" si="1053"/>
        <v>0</v>
      </c>
      <c r="AO205" s="321">
        <f t="shared" si="1054"/>
        <v>0</v>
      </c>
      <c r="AP205" s="321">
        <f t="shared" si="1055"/>
        <v>0</v>
      </c>
      <c r="AQ205" s="321">
        <f t="shared" si="1056"/>
        <v>0</v>
      </c>
      <c r="AR205" s="321">
        <f t="shared" si="1057"/>
        <v>0</v>
      </c>
      <c r="AS205" s="321">
        <f t="shared" si="1058"/>
        <v>0</v>
      </c>
      <c r="AT205" s="321">
        <f t="shared" si="1059"/>
        <v>0</v>
      </c>
      <c r="AU205" s="321">
        <f t="shared" si="1060"/>
        <v>0</v>
      </c>
      <c r="AV205" s="321">
        <f t="shared" si="1061"/>
        <v>0</v>
      </c>
      <c r="AW205" s="183"/>
      <c r="AX205" s="87"/>
    </row>
    <row r="206" spans="1:50" hidden="1" outlineLevel="1" x14ac:dyDescent="0.2">
      <c r="A206" s="179" t="str">
        <f ca="1">Language!A$607</f>
        <v>коэффициент прироста цен к предыдущему периоду</v>
      </c>
      <c r="B206" s="84"/>
      <c r="C206" s="82" t="str">
        <f ca="1">Language!$A$1449</f>
        <v>раз</v>
      </c>
      <c r="D206" s="66"/>
      <c r="F206" s="57" t="s">
        <v>756</v>
      </c>
      <c r="G206" s="86">
        <f ca="1">IF(G$2=1,1,IF(Prj_Inflation=1,POWER(1+OFFSET(G202,0,-1),Параметры!G$30/360),1))</f>
        <v>1</v>
      </c>
      <c r="H206" s="86">
        <f ca="1">IF(H$2=1,1,IF(Prj_Inflation=1,POWER(1+OFFSET(H202,0,-1),Параметры!H$30/360),1))</f>
        <v>1.0146738461686593</v>
      </c>
      <c r="I206" s="86">
        <f ca="1">IF(I$2=1,1,IF(Prj_Inflation=1,POWER(1+OFFSET(I202,0,-1),Параметры!I$30/360),1))</f>
        <v>1.0146738461686593</v>
      </c>
      <c r="J206" s="86">
        <f ca="1">IF(J$2=1,1,IF(Prj_Inflation=1,POWER(1+OFFSET(J202,0,-1),Параметры!J$30/360),1))</f>
        <v>1.0146738461686593</v>
      </c>
      <c r="K206" s="86">
        <f ca="1">IF(K$2=1,1,IF(Prj_Inflation=1,POWER(1+OFFSET(K202,0,-1),Параметры!K$30/360),1))</f>
        <v>1.0146738461686593</v>
      </c>
      <c r="L206" s="86">
        <f ca="1">IF(L$2=1,1,IF(Prj_Inflation=1,POWER(1+OFFSET(L202,0,-1),Параметры!L$30/360),1))</f>
        <v>1.0146738461686593</v>
      </c>
      <c r="M206" s="86">
        <f ca="1">IF(M$2=1,1,IF(Prj_Inflation=1,POWER(1+OFFSET(M202,0,-1),Параметры!M$30/360),1))</f>
        <v>1.0146738461686593</v>
      </c>
      <c r="N206" s="86">
        <f ca="1">IF(N$2=1,1,IF(Prj_Inflation=1,POWER(1+OFFSET(N202,0,-1),Параметры!N$30/360),1))</f>
        <v>1.0146738461686593</v>
      </c>
      <c r="O206" s="86">
        <f ca="1">IF(O$2=1,1,IF(Prj_Inflation=1,POWER(1+OFFSET(O202,0,-1),Параметры!O$30/360),1))</f>
        <v>1.0146738461686593</v>
      </c>
      <c r="P206" s="86">
        <f ca="1">IF(P$2=1,1,IF(Prj_Inflation=1,POWER(1+OFFSET(P202,0,-1),Параметры!P$30/360),1))</f>
        <v>1.0146738461686593</v>
      </c>
      <c r="Q206" s="86">
        <f ca="1">IF(Q$2=1,1,IF(Prj_Inflation=1,POWER(1+OFFSET(Q202,0,-1),Параметры!Q$30/360),1))</f>
        <v>1.0146738461686593</v>
      </c>
      <c r="R206" s="86">
        <f ca="1">IF(R$2=1,1,IF(Prj_Inflation=1,POWER(1+OFFSET(R202,0,-1),Параметры!R$30/360),1))</f>
        <v>1.0146738461686593</v>
      </c>
      <c r="S206" s="86">
        <f ca="1">IF(S$2=1,1,IF(Prj_Inflation=1,POWER(1+OFFSET(S202,0,-1),Параметры!S$30/360),1))</f>
        <v>1.0146738461686593</v>
      </c>
      <c r="T206" s="86">
        <f ca="1">IF(T$2=1,1,IF(Prj_Inflation=1,POWER(1+OFFSET(T202,0,-1),Параметры!T$30/360),1))</f>
        <v>1.0146738461686593</v>
      </c>
      <c r="U206" s="86">
        <f ca="1">IF(U$2=1,1,IF(Prj_Inflation=1,POWER(1+OFFSET(U202,0,-1),Параметры!U$30/360),1))</f>
        <v>1.0146738461686593</v>
      </c>
      <c r="V206" s="86">
        <f ca="1">IF(V$2=1,1,IF(Prj_Inflation=1,POWER(1+OFFSET(V202,0,-1),Параметры!V$30/360),1))</f>
        <v>1.0146738461686593</v>
      </c>
      <c r="W206" s="86">
        <f ca="1">IF(W$2=1,1,IF(Prj_Inflation=1,POWER(1+OFFSET(W202,0,-1),Параметры!W$30/360),1))</f>
        <v>1.0146738461686593</v>
      </c>
      <c r="X206" s="86">
        <f ca="1">IF(X$2=1,1,IF(Prj_Inflation=1,POWER(1+OFFSET(X202,0,-1),Параметры!X$30/360),1))</f>
        <v>1.0146738461686593</v>
      </c>
      <c r="Y206" s="86">
        <f ca="1">IF(Y$2=1,1,IF(Prj_Inflation=1,POWER(1+OFFSET(Y202,0,-1),Параметры!Y$30/360),1))</f>
        <v>1.0146738461686593</v>
      </c>
      <c r="Z206" s="86">
        <f ca="1">IF(Z$2=1,1,IF(Prj_Inflation=1,POWER(1+OFFSET(Z202,0,-1),Параметры!Z$30/360),1))</f>
        <v>1.0146738461686593</v>
      </c>
      <c r="AA206" s="86">
        <f ca="1">IF(AA$2=1,1,IF(Prj_Inflation=1,POWER(1+OFFSET(AA202,0,-1),Параметры!AA$30/360),1))</f>
        <v>1.0146738461686593</v>
      </c>
      <c r="AB206" s="86">
        <f ca="1">IF(AB$2=1,1,IF(Prj_Inflation=1,POWER(1+OFFSET(AB202,0,-1),Параметры!AB$30/360),1))</f>
        <v>1.0146738461686593</v>
      </c>
      <c r="AC206" s="86">
        <f ca="1">IF(AC$2=1,1,IF(Prj_Inflation=1,POWER(1+OFFSET(AC202,0,-1),Параметры!AC$30/360),1))</f>
        <v>1.0146738461686593</v>
      </c>
      <c r="AD206" s="86">
        <f ca="1">IF(AD$2=1,1,IF(Prj_Inflation=1,POWER(1+OFFSET(AD202,0,-1),Параметры!AD$30/360),1))</f>
        <v>1.0146738461686593</v>
      </c>
      <c r="AE206" s="86">
        <f ca="1">IF(AE$2=1,1,IF(Prj_Inflation=1,POWER(1+OFFSET(AE202,0,-1),Параметры!AE$30/360),1))</f>
        <v>1.0146738461686593</v>
      </c>
      <c r="AF206" s="86">
        <f ca="1">IF(AF$2=1,1,IF(Prj_Inflation=1,POWER(1+OFFSET(AF202,0,-1),Параметры!AF$30/360),1))</f>
        <v>1.0146738461686593</v>
      </c>
      <c r="AG206" s="86">
        <f ca="1">IF(AG$2=1,1,IF(Prj_Inflation=1,POWER(1+OFFSET(AG202,0,-1),Параметры!AG$30/360),1))</f>
        <v>1.0146738461686593</v>
      </c>
      <c r="AH206" s="86">
        <f ca="1">IF(AH$2=1,1,IF(Prj_Inflation=1,POWER(1+OFFSET(AH202,0,-1),Параметры!AH$30/360),1))</f>
        <v>1.0146738461686593</v>
      </c>
      <c r="AI206" s="86">
        <f ca="1">IF(AI$2=1,1,IF(Prj_Inflation=1,POWER(1+OFFSET(AI202,0,-1),Параметры!AI$30/360),1))</f>
        <v>1.0146738461686593</v>
      </c>
      <c r="AJ206" s="86">
        <f ca="1">IF(AJ$2=1,1,IF(Prj_Inflation=1,POWER(1+OFFSET(AJ202,0,-1),Параметры!AJ$30/360),1))</f>
        <v>1.0146738461686593</v>
      </c>
      <c r="AK206" s="86">
        <f ca="1">IF(AK$2=1,1,IF(Prj_Inflation=1,POWER(1+OFFSET(AK202,0,-1),Параметры!AK$30/360),1))</f>
        <v>1.0146738461686593</v>
      </c>
      <c r="AL206" s="86">
        <f ca="1">IF(AL$2=1,1,IF(Prj_Inflation=1,POWER(1+OFFSET(AL202,0,-1),Параметры!AL$30/360),1))</f>
        <v>1.0146738461686593</v>
      </c>
      <c r="AM206" s="86">
        <f ca="1">IF(AM$2=1,1,IF(Prj_Inflation=1,POWER(1+OFFSET(AM202,0,-1),Параметры!AM$30/360),1))</f>
        <v>1.0146738461686593</v>
      </c>
      <c r="AN206" s="86">
        <f ca="1">IF(AN$2=1,1,IF(Prj_Inflation=1,POWER(1+OFFSET(AN202,0,-1),Параметры!AN$30/360),1))</f>
        <v>1.0146738461686593</v>
      </c>
      <c r="AO206" s="86">
        <f ca="1">IF(AO$2=1,1,IF(Prj_Inflation=1,POWER(1+OFFSET(AO202,0,-1),Параметры!AO$30/360),1))</f>
        <v>1.0146738461686593</v>
      </c>
      <c r="AP206" s="86">
        <f ca="1">IF(AP$2=1,1,IF(Prj_Inflation=1,POWER(1+OFFSET(AP202,0,-1),Параметры!AP$30/360),1))</f>
        <v>1.0146738461686593</v>
      </c>
      <c r="AQ206" s="86">
        <f ca="1">IF(AQ$2=1,1,IF(Prj_Inflation=1,POWER(1+OFFSET(AQ202,0,-1),Параметры!AQ$30/360),1))</f>
        <v>1.0146738461686593</v>
      </c>
      <c r="AR206" s="86">
        <f ca="1">IF(AR$2=1,1,IF(Prj_Inflation=1,POWER(1+OFFSET(AR202,0,-1),Параметры!AR$30/360),1))</f>
        <v>1.0146738461686593</v>
      </c>
      <c r="AS206" s="86">
        <f ca="1">IF(AS$2=1,1,IF(Prj_Inflation=1,POWER(1+OFFSET(AS202,0,-1),Параметры!AS$30/360),1))</f>
        <v>1.0146738461686593</v>
      </c>
      <c r="AT206" s="86">
        <f ca="1">IF(AT$2=1,1,IF(Prj_Inflation=1,POWER(1+OFFSET(AT202,0,-1),Параметры!AT$30/360),1))</f>
        <v>1.0146738461686593</v>
      </c>
      <c r="AU206" s="86">
        <f ca="1">IF(AU$2=1,1,IF(Prj_Inflation=1,POWER(1+OFFSET(AU202,0,-1),Параметры!AU$30/360),1))</f>
        <v>1.0146738461686593</v>
      </c>
      <c r="AV206" s="86">
        <f ca="1">IF(AV$2=1,1,IF(Prj_Inflation=1,POWER(1+OFFSET(AV202,0,-1),Параметры!AV$30/360),1))</f>
        <v>1.0146738461686593</v>
      </c>
      <c r="AW206" s="86"/>
      <c r="AX206" s="87"/>
    </row>
    <row r="207" spans="1:50" hidden="1" outlineLevel="1" x14ac:dyDescent="0.2">
      <c r="A207" s="179" t="str">
        <f ca="1">Language!A$608</f>
        <v>акцизы начисленные</v>
      </c>
      <c r="B207" s="66"/>
      <c r="C207" s="82" t="str">
        <f ca="1">CHOOSE(D207,CurName1,CurName2,CurName3)</f>
        <v>тыс. руб.</v>
      </c>
      <c r="D207" s="155">
        <f>D192</f>
        <v>1</v>
      </c>
      <c r="E207" s="57" t="s">
        <v>996</v>
      </c>
      <c r="F207" s="57" t="s">
        <v>753</v>
      </c>
      <c r="G207" s="185">
        <f t="shared" ref="G207:AV207" ca="1" si="1062">G196*G205+G194*G204</f>
        <v>0</v>
      </c>
      <c r="H207" s="185">
        <f t="shared" ca="1" si="1062"/>
        <v>0</v>
      </c>
      <c r="I207" s="185">
        <f t="shared" ca="1" si="1062"/>
        <v>0</v>
      </c>
      <c r="J207" s="185">
        <f t="shared" ca="1" si="1062"/>
        <v>0</v>
      </c>
      <c r="K207" s="185">
        <f t="shared" ca="1" si="1062"/>
        <v>0</v>
      </c>
      <c r="L207" s="185">
        <f t="shared" ca="1" si="1062"/>
        <v>0</v>
      </c>
      <c r="M207" s="185">
        <f t="shared" ca="1" si="1062"/>
        <v>0</v>
      </c>
      <c r="N207" s="185">
        <f t="shared" ca="1" si="1062"/>
        <v>0</v>
      </c>
      <c r="O207" s="185">
        <f t="shared" ca="1" si="1062"/>
        <v>0</v>
      </c>
      <c r="P207" s="185">
        <f t="shared" ca="1" si="1062"/>
        <v>0</v>
      </c>
      <c r="Q207" s="185">
        <f t="shared" ca="1" si="1062"/>
        <v>0</v>
      </c>
      <c r="R207" s="185">
        <f t="shared" ca="1" si="1062"/>
        <v>0</v>
      </c>
      <c r="S207" s="185">
        <f t="shared" ca="1" si="1062"/>
        <v>0</v>
      </c>
      <c r="T207" s="185">
        <f t="shared" ca="1" si="1062"/>
        <v>0</v>
      </c>
      <c r="U207" s="185">
        <f t="shared" ca="1" si="1062"/>
        <v>0</v>
      </c>
      <c r="V207" s="185">
        <f t="shared" ca="1" si="1062"/>
        <v>0</v>
      </c>
      <c r="W207" s="185">
        <f t="shared" ca="1" si="1062"/>
        <v>0</v>
      </c>
      <c r="X207" s="185">
        <f t="shared" ca="1" si="1062"/>
        <v>0</v>
      </c>
      <c r="Y207" s="185">
        <f t="shared" ca="1" si="1062"/>
        <v>0</v>
      </c>
      <c r="Z207" s="185">
        <f t="shared" ca="1" si="1062"/>
        <v>0</v>
      </c>
      <c r="AA207" s="185">
        <f t="shared" ca="1" si="1062"/>
        <v>0</v>
      </c>
      <c r="AB207" s="185">
        <f t="shared" ca="1" si="1062"/>
        <v>0</v>
      </c>
      <c r="AC207" s="185">
        <f t="shared" ca="1" si="1062"/>
        <v>0</v>
      </c>
      <c r="AD207" s="185">
        <f t="shared" ca="1" si="1062"/>
        <v>0</v>
      </c>
      <c r="AE207" s="185">
        <f t="shared" ca="1" si="1062"/>
        <v>0</v>
      </c>
      <c r="AF207" s="185">
        <f t="shared" ca="1" si="1062"/>
        <v>0</v>
      </c>
      <c r="AG207" s="185">
        <f t="shared" ca="1" si="1062"/>
        <v>0</v>
      </c>
      <c r="AH207" s="185">
        <f t="shared" ca="1" si="1062"/>
        <v>0</v>
      </c>
      <c r="AI207" s="185">
        <f t="shared" ca="1" si="1062"/>
        <v>0</v>
      </c>
      <c r="AJ207" s="185">
        <f t="shared" ca="1" si="1062"/>
        <v>0</v>
      </c>
      <c r="AK207" s="185">
        <f t="shared" ca="1" si="1062"/>
        <v>0</v>
      </c>
      <c r="AL207" s="185">
        <f t="shared" ca="1" si="1062"/>
        <v>0</v>
      </c>
      <c r="AM207" s="185">
        <f t="shared" ca="1" si="1062"/>
        <v>0</v>
      </c>
      <c r="AN207" s="185">
        <f t="shared" ca="1" si="1062"/>
        <v>0</v>
      </c>
      <c r="AO207" s="185">
        <f t="shared" ca="1" si="1062"/>
        <v>0</v>
      </c>
      <c r="AP207" s="185">
        <f t="shared" ca="1" si="1062"/>
        <v>0</v>
      </c>
      <c r="AQ207" s="185">
        <f t="shared" ca="1" si="1062"/>
        <v>0</v>
      </c>
      <c r="AR207" s="185">
        <f t="shared" ca="1" si="1062"/>
        <v>0</v>
      </c>
      <c r="AS207" s="185">
        <f t="shared" ca="1" si="1062"/>
        <v>0</v>
      </c>
      <c r="AT207" s="185">
        <f t="shared" ca="1" si="1062"/>
        <v>0</v>
      </c>
      <c r="AU207" s="185">
        <f t="shared" ca="1" si="1062"/>
        <v>0</v>
      </c>
      <c r="AV207" s="185">
        <f t="shared" ca="1" si="1062"/>
        <v>0</v>
      </c>
      <c r="AW207" s="180"/>
      <c r="AX207" s="169">
        <f ca="1">SUM(G207:AW207)</f>
        <v>0</v>
      </c>
    </row>
    <row r="208" spans="1:50" hidden="1" outlineLevel="1" x14ac:dyDescent="0.2">
      <c r="A208" s="179" t="str">
        <f ca="1">Language!A$609</f>
        <v>НДС начисленный</v>
      </c>
      <c r="B208" s="66"/>
      <c r="C208" s="82" t="str">
        <f ca="1">CHOOSE(D208,CurName1,CurName2,CurName3)</f>
        <v>тыс. руб.</v>
      </c>
      <c r="D208" s="155">
        <f>D192</f>
        <v>1</v>
      </c>
      <c r="E208" s="57" t="s">
        <v>789</v>
      </c>
      <c r="F208" s="57" t="s">
        <v>753</v>
      </c>
      <c r="G208" s="185">
        <f t="shared" ref="G208:AV208" ca="1" si="1063">(G196+G207)*G203</f>
        <v>55.999999999999993</v>
      </c>
      <c r="H208" s="185">
        <f t="shared" ca="1" si="1063"/>
        <v>255.69780923450213</v>
      </c>
      <c r="I208" s="185">
        <f t="shared" ca="1" si="1063"/>
        <v>518.89975910574481</v>
      </c>
      <c r="J208" s="185">
        <f t="shared" ca="1" si="1063"/>
        <v>731.26946437196784</v>
      </c>
      <c r="K208" s="185">
        <f t="shared" ca="1" si="1063"/>
        <v>890.4</v>
      </c>
      <c r="L208" s="185">
        <f t="shared" ca="1" si="1063"/>
        <v>1054.0431914000033</v>
      </c>
      <c r="M208" s="185">
        <f t="shared" ca="1" si="1063"/>
        <v>1222.2972103379768</v>
      </c>
      <c r="N208" s="185">
        <f t="shared" ca="1" si="1063"/>
        <v>1395.2621380217149</v>
      </c>
      <c r="O208" s="185">
        <f t="shared" ca="1" si="1063"/>
        <v>1573.0400000000002</v>
      </c>
      <c r="P208" s="185">
        <f t="shared" ca="1" si="1063"/>
        <v>1755.7348016748626</v>
      </c>
      <c r="Q208" s="185">
        <f t="shared" ca="1" si="1063"/>
        <v>1781.4981840676012</v>
      </c>
      <c r="R208" s="185">
        <f t="shared" ca="1" si="1063"/>
        <v>1807.6396143703553</v>
      </c>
      <c r="S208" s="185">
        <f t="shared" ca="1" si="1063"/>
        <v>1834.1646400000004</v>
      </c>
      <c r="T208" s="185">
        <f t="shared" ca="1" si="1063"/>
        <v>1861.0788897753546</v>
      </c>
      <c r="U208" s="185">
        <f t="shared" ca="1" si="1063"/>
        <v>1888.3880751116574</v>
      </c>
      <c r="V208" s="185">
        <f t="shared" ca="1" si="1063"/>
        <v>1916.0979912325763</v>
      </c>
      <c r="W208" s="185">
        <f t="shared" ca="1" si="1063"/>
        <v>1944.2145184000003</v>
      </c>
      <c r="X208" s="185">
        <f t="shared" ca="1" si="1063"/>
        <v>1972.743623161876</v>
      </c>
      <c r="Y208" s="185">
        <f t="shared" ca="1" si="1063"/>
        <v>2001.691359618357</v>
      </c>
      <c r="Z208" s="185">
        <f t="shared" ca="1" si="1063"/>
        <v>2031.0638707065314</v>
      </c>
      <c r="AA208" s="185">
        <f t="shared" ca="1" si="1063"/>
        <v>2060.867389504001</v>
      </c>
      <c r="AB208" s="185">
        <f t="shared" ca="1" si="1063"/>
        <v>2091.1082405515886</v>
      </c>
      <c r="AC208" s="185">
        <f t="shared" ca="1" si="1063"/>
        <v>2121.7928411954585</v>
      </c>
      <c r="AD208" s="185">
        <f t="shared" ca="1" si="1063"/>
        <v>2152.9277029489235</v>
      </c>
      <c r="AE208" s="185">
        <f t="shared" ca="1" si="1063"/>
        <v>2184.5194328742409</v>
      </c>
      <c r="AF208" s="185">
        <f t="shared" ca="1" si="1063"/>
        <v>2216.5747349846843</v>
      </c>
      <c r="AG208" s="185">
        <f t="shared" ca="1" si="1063"/>
        <v>2249.1004116671866</v>
      </c>
      <c r="AH208" s="185">
        <f t="shared" ca="1" si="1063"/>
        <v>2282.1033651258585</v>
      </c>
      <c r="AI208" s="185">
        <f t="shared" ca="1" si="1063"/>
        <v>2315.5905988466952</v>
      </c>
      <c r="AJ208" s="185">
        <f t="shared" ca="1" si="1063"/>
        <v>2349.5692190837653</v>
      </c>
      <c r="AK208" s="185">
        <f t="shared" ca="1" si="1063"/>
        <v>2384.0464363672177</v>
      </c>
      <c r="AL208" s="185">
        <f t="shared" ca="1" si="1063"/>
        <v>2419.0295670334108</v>
      </c>
      <c r="AM208" s="185">
        <f t="shared" ca="1" si="1063"/>
        <v>2454.5260347774974</v>
      </c>
      <c r="AN208" s="185">
        <f t="shared" ca="1" si="1063"/>
        <v>2490.5433722287921</v>
      </c>
      <c r="AO208" s="185">
        <f t="shared" ca="1" si="1063"/>
        <v>2527.0892225492512</v>
      </c>
      <c r="AP208" s="185">
        <f t="shared" ca="1" si="1063"/>
        <v>2564.1713410554157</v>
      </c>
      <c r="AQ208" s="185">
        <f t="shared" ca="1" si="1063"/>
        <v>2601.7975968641476</v>
      </c>
      <c r="AR208" s="185">
        <f t="shared" ca="1" si="1063"/>
        <v>2639.9759745625197</v>
      </c>
      <c r="AS208" s="185">
        <f t="shared" ca="1" si="1063"/>
        <v>2678.714575902206</v>
      </c>
      <c r="AT208" s="185">
        <f t="shared" ca="1" si="1063"/>
        <v>2718.0216215187406</v>
      </c>
      <c r="AU208" s="185">
        <f t="shared" ca="1" si="1063"/>
        <v>2757.9054526759965</v>
      </c>
      <c r="AV208" s="185">
        <f t="shared" ca="1" si="1063"/>
        <v>2798.3745330362703</v>
      </c>
      <c r="AW208" s="180"/>
      <c r="AX208" s="169">
        <f ca="1">SUM(G208:AW208)</f>
        <v>81549.574805944954</v>
      </c>
    </row>
    <row r="209" spans="1:50" hidden="1" outlineLevel="1" x14ac:dyDescent="0.2">
      <c r="A209" s="179" t="str">
        <f ca="1">Language!A$610</f>
        <v>НДС полученный с авансов</v>
      </c>
      <c r="B209" s="66"/>
      <c r="C209" s="82" t="str">
        <f ca="1">CHOOSE(D209,CurName1,CurName2,CurName3)</f>
        <v>тыс. руб.</v>
      </c>
      <c r="D209" s="155">
        <f>D192</f>
        <v>1</v>
      </c>
      <c r="E209" s="57" t="s">
        <v>1450</v>
      </c>
      <c r="F209" s="57" t="s">
        <v>753</v>
      </c>
      <c r="G209" s="185">
        <f ca="1">G199*G203/(1+G203)</f>
        <v>0</v>
      </c>
      <c r="H209" s="185">
        <f t="shared" ref="H209:AV209" ca="1" si="1064">H199*H203/(1+H203)</f>
        <v>0</v>
      </c>
      <c r="I209" s="185">
        <f t="shared" ca="1" si="1064"/>
        <v>0</v>
      </c>
      <c r="J209" s="185">
        <f t="shared" ca="1" si="1064"/>
        <v>0</v>
      </c>
      <c r="K209" s="185">
        <f t="shared" ca="1" si="1064"/>
        <v>0</v>
      </c>
      <c r="L209" s="185">
        <f t="shared" ca="1" si="1064"/>
        <v>0</v>
      </c>
      <c r="M209" s="185">
        <f t="shared" ca="1" si="1064"/>
        <v>0</v>
      </c>
      <c r="N209" s="185">
        <f t="shared" ca="1" si="1064"/>
        <v>0</v>
      </c>
      <c r="O209" s="185">
        <f t="shared" ca="1" si="1064"/>
        <v>0</v>
      </c>
      <c r="P209" s="185">
        <f t="shared" ca="1" si="1064"/>
        <v>0</v>
      </c>
      <c r="Q209" s="185">
        <f t="shared" ca="1" si="1064"/>
        <v>0</v>
      </c>
      <c r="R209" s="185">
        <f t="shared" ca="1" si="1064"/>
        <v>0</v>
      </c>
      <c r="S209" s="185">
        <f t="shared" ca="1" si="1064"/>
        <v>0</v>
      </c>
      <c r="T209" s="185">
        <f t="shared" ca="1" si="1064"/>
        <v>0</v>
      </c>
      <c r="U209" s="185">
        <f t="shared" ca="1" si="1064"/>
        <v>0</v>
      </c>
      <c r="V209" s="185">
        <f t="shared" ca="1" si="1064"/>
        <v>0</v>
      </c>
      <c r="W209" s="185">
        <f t="shared" ca="1" si="1064"/>
        <v>0</v>
      </c>
      <c r="X209" s="185">
        <f t="shared" ca="1" si="1064"/>
        <v>0</v>
      </c>
      <c r="Y209" s="185">
        <f t="shared" ca="1" si="1064"/>
        <v>0</v>
      </c>
      <c r="Z209" s="185">
        <f t="shared" ca="1" si="1064"/>
        <v>0</v>
      </c>
      <c r="AA209" s="185">
        <f t="shared" ca="1" si="1064"/>
        <v>0</v>
      </c>
      <c r="AB209" s="185">
        <f t="shared" ca="1" si="1064"/>
        <v>0</v>
      </c>
      <c r="AC209" s="185">
        <f t="shared" ca="1" si="1064"/>
        <v>0</v>
      </c>
      <c r="AD209" s="185">
        <f t="shared" ca="1" si="1064"/>
        <v>0</v>
      </c>
      <c r="AE209" s="185">
        <f t="shared" ca="1" si="1064"/>
        <v>0</v>
      </c>
      <c r="AF209" s="185">
        <f t="shared" ca="1" si="1064"/>
        <v>0</v>
      </c>
      <c r="AG209" s="185">
        <f t="shared" ca="1" si="1064"/>
        <v>0</v>
      </c>
      <c r="AH209" s="185">
        <f t="shared" ca="1" si="1064"/>
        <v>0</v>
      </c>
      <c r="AI209" s="185">
        <f t="shared" ca="1" si="1064"/>
        <v>0</v>
      </c>
      <c r="AJ209" s="185">
        <f t="shared" ca="1" si="1064"/>
        <v>0</v>
      </c>
      <c r="AK209" s="185">
        <f t="shared" ca="1" si="1064"/>
        <v>0</v>
      </c>
      <c r="AL209" s="185">
        <f t="shared" ca="1" si="1064"/>
        <v>0</v>
      </c>
      <c r="AM209" s="185">
        <f t="shared" ca="1" si="1064"/>
        <v>0</v>
      </c>
      <c r="AN209" s="185">
        <f t="shared" ca="1" si="1064"/>
        <v>0</v>
      </c>
      <c r="AO209" s="185">
        <f t="shared" ca="1" si="1064"/>
        <v>0</v>
      </c>
      <c r="AP209" s="185">
        <f t="shared" ca="1" si="1064"/>
        <v>0</v>
      </c>
      <c r="AQ209" s="185">
        <f t="shared" ca="1" si="1064"/>
        <v>0</v>
      </c>
      <c r="AR209" s="185">
        <f t="shared" ca="1" si="1064"/>
        <v>0</v>
      </c>
      <c r="AS209" s="185">
        <f t="shared" ca="1" si="1064"/>
        <v>0</v>
      </c>
      <c r="AT209" s="185">
        <f t="shared" ca="1" si="1064"/>
        <v>0</v>
      </c>
      <c r="AU209" s="185">
        <f t="shared" ca="1" si="1064"/>
        <v>0</v>
      </c>
      <c r="AV209" s="185">
        <f t="shared" ca="1" si="1064"/>
        <v>0</v>
      </c>
      <c r="AW209" s="180"/>
      <c r="AX209" s="169">
        <f ca="1">SUM(G209:AW209)</f>
        <v>0</v>
      </c>
    </row>
    <row r="210" spans="1:50" x14ac:dyDescent="0.2">
      <c r="A210" s="317" t="s">
        <v>2292</v>
      </c>
      <c r="B210" s="102"/>
      <c r="C210" s="166"/>
      <c r="D210" s="158">
        <v>1</v>
      </c>
      <c r="F210" s="57" t="s">
        <v>2283</v>
      </c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150"/>
    </row>
    <row r="211" spans="1:50" hidden="1" x14ac:dyDescent="0.2">
      <c r="A211" s="172" t="str">
        <f ca="1">Language!A$594</f>
        <v>коэффициент загрузки</v>
      </c>
      <c r="B211" s="173"/>
      <c r="C211" s="173"/>
      <c r="D211" s="174"/>
      <c r="F211" s="57" t="s">
        <v>756</v>
      </c>
      <c r="G211" s="318">
        <f t="shared" ref="G211:AV211" si="1065">IF(G$2&gt;Prj_Invest,1,0)</f>
        <v>1</v>
      </c>
      <c r="H211" s="318">
        <f t="shared" si="1065"/>
        <v>1</v>
      </c>
      <c r="I211" s="318">
        <f t="shared" si="1065"/>
        <v>1</v>
      </c>
      <c r="J211" s="318">
        <f t="shared" si="1065"/>
        <v>1</v>
      </c>
      <c r="K211" s="318">
        <f t="shared" si="1065"/>
        <v>1</v>
      </c>
      <c r="L211" s="318">
        <f t="shared" si="1065"/>
        <v>1</v>
      </c>
      <c r="M211" s="318">
        <f t="shared" si="1065"/>
        <v>1</v>
      </c>
      <c r="N211" s="318">
        <f t="shared" si="1065"/>
        <v>1</v>
      </c>
      <c r="O211" s="318">
        <f t="shared" si="1065"/>
        <v>1</v>
      </c>
      <c r="P211" s="318">
        <f t="shared" si="1065"/>
        <v>1</v>
      </c>
      <c r="Q211" s="318">
        <f t="shared" si="1065"/>
        <v>1</v>
      </c>
      <c r="R211" s="318">
        <f t="shared" si="1065"/>
        <v>1</v>
      </c>
      <c r="S211" s="318">
        <f t="shared" si="1065"/>
        <v>1</v>
      </c>
      <c r="T211" s="318">
        <f t="shared" si="1065"/>
        <v>1</v>
      </c>
      <c r="U211" s="318">
        <f t="shared" si="1065"/>
        <v>1</v>
      </c>
      <c r="V211" s="318">
        <f t="shared" si="1065"/>
        <v>1</v>
      </c>
      <c r="W211" s="318">
        <f t="shared" si="1065"/>
        <v>1</v>
      </c>
      <c r="X211" s="318">
        <f t="shared" si="1065"/>
        <v>1</v>
      </c>
      <c r="Y211" s="318">
        <f t="shared" si="1065"/>
        <v>1</v>
      </c>
      <c r="Z211" s="318">
        <f t="shared" si="1065"/>
        <v>1</v>
      </c>
      <c r="AA211" s="318">
        <f t="shared" si="1065"/>
        <v>1</v>
      </c>
      <c r="AB211" s="318">
        <f t="shared" si="1065"/>
        <v>1</v>
      </c>
      <c r="AC211" s="318">
        <f t="shared" si="1065"/>
        <v>1</v>
      </c>
      <c r="AD211" s="318">
        <f t="shared" si="1065"/>
        <v>1</v>
      </c>
      <c r="AE211" s="318">
        <f t="shared" si="1065"/>
        <v>1</v>
      </c>
      <c r="AF211" s="318">
        <f t="shared" si="1065"/>
        <v>1</v>
      </c>
      <c r="AG211" s="318">
        <f t="shared" si="1065"/>
        <v>1</v>
      </c>
      <c r="AH211" s="318">
        <f t="shared" si="1065"/>
        <v>1</v>
      </c>
      <c r="AI211" s="318">
        <f t="shared" si="1065"/>
        <v>1</v>
      </c>
      <c r="AJ211" s="318">
        <f t="shared" si="1065"/>
        <v>1</v>
      </c>
      <c r="AK211" s="318">
        <f t="shared" si="1065"/>
        <v>1</v>
      </c>
      <c r="AL211" s="318">
        <f t="shared" si="1065"/>
        <v>1</v>
      </c>
      <c r="AM211" s="318">
        <f t="shared" si="1065"/>
        <v>1</v>
      </c>
      <c r="AN211" s="318">
        <f t="shared" si="1065"/>
        <v>1</v>
      </c>
      <c r="AO211" s="318">
        <f t="shared" si="1065"/>
        <v>1</v>
      </c>
      <c r="AP211" s="318">
        <f t="shared" si="1065"/>
        <v>1</v>
      </c>
      <c r="AQ211" s="318">
        <f t="shared" si="1065"/>
        <v>1</v>
      </c>
      <c r="AR211" s="318">
        <f t="shared" si="1065"/>
        <v>1</v>
      </c>
      <c r="AS211" s="318">
        <f t="shared" si="1065"/>
        <v>1</v>
      </c>
      <c r="AT211" s="318">
        <f t="shared" si="1065"/>
        <v>1</v>
      </c>
      <c r="AU211" s="318">
        <f t="shared" si="1065"/>
        <v>1</v>
      </c>
      <c r="AV211" s="318">
        <f t="shared" si="1065"/>
        <v>1</v>
      </c>
      <c r="AW211" s="175"/>
      <c r="AX211" s="117"/>
    </row>
    <row r="212" spans="1:50" x14ac:dyDescent="0.2">
      <c r="A212" s="172" t="str">
        <f ca="1">Language!A$595</f>
        <v>объем продаж за период</v>
      </c>
      <c r="B212" s="337"/>
      <c r="C212" s="313" t="s">
        <v>2259</v>
      </c>
      <c r="D212" s="174"/>
      <c r="E212" s="57" t="s">
        <v>950</v>
      </c>
      <c r="F212" s="57" t="s">
        <v>753</v>
      </c>
      <c r="G212" s="311">
        <f t="shared" ref="G212:AV212" si="1066">G49</f>
        <v>10</v>
      </c>
      <c r="H212" s="311">
        <f t="shared" si="1066"/>
        <v>45</v>
      </c>
      <c r="I212" s="311">
        <f t="shared" si="1066"/>
        <v>90</v>
      </c>
      <c r="J212" s="311">
        <f t="shared" si="1066"/>
        <v>125</v>
      </c>
      <c r="K212" s="311">
        <f t="shared" si="1066"/>
        <v>150</v>
      </c>
      <c r="L212" s="311">
        <f t="shared" si="1066"/>
        <v>175</v>
      </c>
      <c r="M212" s="311">
        <f t="shared" si="1066"/>
        <v>200</v>
      </c>
      <c r="N212" s="311">
        <f t="shared" si="1066"/>
        <v>225</v>
      </c>
      <c r="O212" s="311">
        <f t="shared" si="1066"/>
        <v>250</v>
      </c>
      <c r="P212" s="311">
        <f t="shared" si="1066"/>
        <v>275</v>
      </c>
      <c r="Q212" s="311">
        <f t="shared" si="1066"/>
        <v>275</v>
      </c>
      <c r="R212" s="311">
        <f t="shared" si="1066"/>
        <v>275</v>
      </c>
      <c r="S212" s="311">
        <f t="shared" si="1066"/>
        <v>275</v>
      </c>
      <c r="T212" s="311">
        <f t="shared" si="1066"/>
        <v>275</v>
      </c>
      <c r="U212" s="311">
        <f t="shared" si="1066"/>
        <v>275</v>
      </c>
      <c r="V212" s="311">
        <f t="shared" si="1066"/>
        <v>275</v>
      </c>
      <c r="W212" s="311">
        <f t="shared" si="1066"/>
        <v>275</v>
      </c>
      <c r="X212" s="311">
        <f t="shared" si="1066"/>
        <v>275</v>
      </c>
      <c r="Y212" s="311">
        <f t="shared" si="1066"/>
        <v>275</v>
      </c>
      <c r="Z212" s="311">
        <f t="shared" si="1066"/>
        <v>275</v>
      </c>
      <c r="AA212" s="311">
        <f t="shared" si="1066"/>
        <v>275</v>
      </c>
      <c r="AB212" s="311">
        <f t="shared" si="1066"/>
        <v>275</v>
      </c>
      <c r="AC212" s="311">
        <f t="shared" si="1066"/>
        <v>275</v>
      </c>
      <c r="AD212" s="311">
        <f t="shared" si="1066"/>
        <v>275</v>
      </c>
      <c r="AE212" s="311">
        <f t="shared" si="1066"/>
        <v>275</v>
      </c>
      <c r="AF212" s="311">
        <f t="shared" si="1066"/>
        <v>275</v>
      </c>
      <c r="AG212" s="311">
        <f t="shared" si="1066"/>
        <v>275</v>
      </c>
      <c r="AH212" s="311">
        <f t="shared" si="1066"/>
        <v>275</v>
      </c>
      <c r="AI212" s="311">
        <f t="shared" si="1066"/>
        <v>275</v>
      </c>
      <c r="AJ212" s="311">
        <f t="shared" si="1066"/>
        <v>275</v>
      </c>
      <c r="AK212" s="311">
        <f t="shared" si="1066"/>
        <v>275</v>
      </c>
      <c r="AL212" s="311">
        <f t="shared" si="1066"/>
        <v>275</v>
      </c>
      <c r="AM212" s="311">
        <f t="shared" si="1066"/>
        <v>275</v>
      </c>
      <c r="AN212" s="311">
        <f t="shared" si="1066"/>
        <v>275</v>
      </c>
      <c r="AO212" s="311">
        <f t="shared" si="1066"/>
        <v>275</v>
      </c>
      <c r="AP212" s="311">
        <f t="shared" si="1066"/>
        <v>275</v>
      </c>
      <c r="AQ212" s="311">
        <f t="shared" si="1066"/>
        <v>275</v>
      </c>
      <c r="AR212" s="311">
        <f t="shared" si="1066"/>
        <v>275</v>
      </c>
      <c r="AS212" s="311">
        <f t="shared" si="1066"/>
        <v>275</v>
      </c>
      <c r="AT212" s="311">
        <f t="shared" si="1066"/>
        <v>275</v>
      </c>
      <c r="AU212" s="311">
        <f t="shared" si="1066"/>
        <v>275</v>
      </c>
      <c r="AV212" s="311">
        <f t="shared" si="1066"/>
        <v>275</v>
      </c>
      <c r="AW212" s="148"/>
      <c r="AX212" s="171">
        <f>SUM(G212:AW212)</f>
        <v>10345</v>
      </c>
    </row>
    <row r="213" spans="1:50" x14ac:dyDescent="0.2">
      <c r="A213" s="83" t="str">
        <f ca="1">Language!A$596 &amp; C212 &amp; Language!A$1457</f>
        <v>цена за единицу (тн), без НДС</v>
      </c>
      <c r="B213" s="322">
        <v>118</v>
      </c>
      <c r="C213" s="146" t="str">
        <f ca="1">CHOOSE(D210,CurName1,CurName2,CurName3)</f>
        <v>тыс. руб.</v>
      </c>
      <c r="E213" s="57" t="s">
        <v>848</v>
      </c>
      <c r="F213" s="57" t="s">
        <v>756</v>
      </c>
      <c r="G213" s="323">
        <f t="shared" ref="G213" ca="1" si="1067">IF(G$2=1,$B213,F213)*G224</f>
        <v>118</v>
      </c>
      <c r="H213" s="323">
        <f t="shared" ref="H213" ca="1" si="1068">IF(H$2=1,$B213,G213)*H224</f>
        <v>119.73151384790179</v>
      </c>
      <c r="I213" s="323">
        <f t="shared" ref="I213" ca="1" si="1069">IF(I$2=1,$B213,H213)*I224</f>
        <v>121.48843566364661</v>
      </c>
      <c r="J213" s="323">
        <f t="shared" ref="J213" ca="1" si="1070">IF(J$2=1,$B213,I213)*J224</f>
        <v>123.27113827984603</v>
      </c>
      <c r="K213" s="323">
        <f t="shared" ref="K213" ca="1" si="1071">IF(K$2=1,$B213,J213)*K224</f>
        <v>125.08000000000001</v>
      </c>
      <c r="L213" s="323">
        <f t="shared" ref="L213" ca="1" si="1072">IF(L$2=1,$B213,K213)*L224</f>
        <v>126.91540467877591</v>
      </c>
      <c r="M213" s="323">
        <f t="shared" ref="M213" ca="1" si="1073">IF(M$2=1,$B213,L213)*M224</f>
        <v>128.7777418034654</v>
      </c>
      <c r="N213" s="323">
        <f t="shared" ref="N213" ca="1" si="1074">IF(N$2=1,$B213,M213)*N224</f>
        <v>130.66740657663678</v>
      </c>
      <c r="O213" s="323">
        <f t="shared" ref="O213" ca="1" si="1075">IF(O$2=1,$B213,N213)*O224</f>
        <v>132.5848</v>
      </c>
      <c r="P213" s="323">
        <f t="shared" ref="P213" ca="1" si="1076">IF(P$2=1,$B213,O213)*P224</f>
        <v>134.53032895950247</v>
      </c>
      <c r="Q213" s="323">
        <f t="shared" ref="Q213" ca="1" si="1077">IF(Q$2=1,$B213,P213)*Q224</f>
        <v>136.50440631167334</v>
      </c>
      <c r="R213" s="323">
        <f t="shared" ref="R213" ca="1" si="1078">IF(R$2=1,$B213,Q213)*R224</f>
        <v>138.50745097123499</v>
      </c>
      <c r="S213" s="323">
        <f t="shared" ref="S213" ca="1" si="1079">IF(S$2=1,$B213,R213)*S224</f>
        <v>140.53988800000002</v>
      </c>
      <c r="T213" s="323">
        <f t="shared" ref="T213" ca="1" si="1080">IF(T$2=1,$B213,S213)*T224</f>
        <v>142.60214869707264</v>
      </c>
      <c r="U213" s="323">
        <f t="shared" ref="U213" ca="1" si="1081">IF(U$2=1,$B213,T213)*U224</f>
        <v>144.69467069037375</v>
      </c>
      <c r="V213" s="323">
        <f t="shared" ref="V213" ca="1" si="1082">IF(V$2=1,$B213,U213)*V224</f>
        <v>146.81789802950911</v>
      </c>
      <c r="W213" s="323">
        <f t="shared" ref="W213" ca="1" si="1083">IF(W$2=1,$B213,V213)*W224</f>
        <v>148.97228128000003</v>
      </c>
      <c r="X213" s="323">
        <f t="shared" ref="X213" ca="1" si="1084">IF(X$2=1,$B213,W213)*X224</f>
        <v>151.15827761889699</v>
      </c>
      <c r="Y213" s="323">
        <f t="shared" ref="Y213" ca="1" si="1085">IF(Y$2=1,$B213,X213)*Y224</f>
        <v>153.37635093179617</v>
      </c>
      <c r="Z213" s="323">
        <f t="shared" ref="Z213" ca="1" si="1086">IF(Z$2=1,$B213,Y213)*Z224</f>
        <v>155.62697191127964</v>
      </c>
      <c r="AA213" s="323">
        <f t="shared" ref="AA213" ca="1" si="1087">IF(AA$2=1,$B213,Z213)*AA224</f>
        <v>157.91061815680001</v>
      </c>
      <c r="AB213" s="323">
        <f t="shared" ref="AB213" ca="1" si="1088">IF(AB$2=1,$B213,AA213)*AB224</f>
        <v>160.2277742760308</v>
      </c>
      <c r="AC213" s="323">
        <f t="shared" ref="AC213" ca="1" si="1089">IF(AC$2=1,$B213,AB213)*AC224</f>
        <v>162.57893198770395</v>
      </c>
      <c r="AD213" s="323">
        <f t="shared" ref="AD213" ca="1" si="1090">IF(AD$2=1,$B213,AC213)*AD224</f>
        <v>164.96459022595644</v>
      </c>
      <c r="AE213" s="323">
        <f t="shared" ref="AE213" ca="1" si="1091">IF(AE$2=1,$B213,AD213)*AE224</f>
        <v>167.38525524620803</v>
      </c>
      <c r="AF213" s="323">
        <f t="shared" ref="AF213" ca="1" si="1092">IF(AF$2=1,$B213,AE213)*AF224</f>
        <v>169.84144073259267</v>
      </c>
      <c r="AG213" s="323">
        <f t="shared" ref="AG213" ca="1" si="1093">IF(AG$2=1,$B213,AF213)*AG224</f>
        <v>172.33366790696621</v>
      </c>
      <c r="AH213" s="323">
        <f t="shared" ref="AH213" ca="1" si="1094">IF(AH$2=1,$B213,AG213)*AH224</f>
        <v>174.86246563951386</v>
      </c>
      <c r="AI213" s="323">
        <f t="shared" ref="AI213" ca="1" si="1095">IF(AI$2=1,$B213,AH213)*AI224</f>
        <v>177.42837056098057</v>
      </c>
      <c r="AJ213" s="323">
        <f t="shared" ref="AJ213" ca="1" si="1096">IF(AJ$2=1,$B213,AI213)*AJ224</f>
        <v>180.03192717654827</v>
      </c>
      <c r="AK213" s="323">
        <f t="shared" ref="AK213" ca="1" si="1097">IF(AK$2=1,$B213,AJ213)*AK224</f>
        <v>182.67368798138421</v>
      </c>
      <c r="AL213" s="323">
        <f t="shared" ref="AL213" ca="1" si="1098">IF(AL$2=1,$B213,AK213)*AL224</f>
        <v>185.35421357788471</v>
      </c>
      <c r="AM213" s="323">
        <f t="shared" ref="AM213" ca="1" si="1099">IF(AM$2=1,$B213,AL213)*AM224</f>
        <v>188.07407279463942</v>
      </c>
      <c r="AN213" s="323">
        <f t="shared" ref="AN213" ca="1" si="1100">IF(AN$2=1,$B213,AM213)*AN224</f>
        <v>190.8338428071412</v>
      </c>
      <c r="AO213" s="323">
        <f t="shared" ref="AO213" ca="1" si="1101">IF(AO$2=1,$B213,AN213)*AO224</f>
        <v>193.63410926026731</v>
      </c>
      <c r="AP213" s="323">
        <f t="shared" ref="AP213" ca="1" si="1102">IF(AP$2=1,$B213,AO213)*AP224</f>
        <v>196.47546639255785</v>
      </c>
      <c r="AQ213" s="323">
        <f t="shared" ref="AQ213" ca="1" si="1103">IF(AQ$2=1,$B213,AP213)*AQ224</f>
        <v>199.35851716231784</v>
      </c>
      <c r="AR213" s="323">
        <f t="shared" ref="AR213" ca="1" si="1104">IF(AR$2=1,$B213,AQ213)*AR224</f>
        <v>202.28387337556973</v>
      </c>
      <c r="AS213" s="323">
        <f t="shared" ref="AS213" ca="1" si="1105">IF(AS$2=1,$B213,AR213)*AS224</f>
        <v>205.25215581588338</v>
      </c>
      <c r="AT213" s="323">
        <f t="shared" ref="AT213" ca="1" si="1106">IF(AT$2=1,$B213,AS213)*AT224</f>
        <v>208.26399437611136</v>
      </c>
      <c r="AU213" s="323">
        <f t="shared" ref="AU213" ca="1" si="1107">IF(AU$2=1,$B213,AT213)*AU224</f>
        <v>211.32002819205695</v>
      </c>
      <c r="AV213" s="323">
        <f t="shared" ref="AV213" ca="1" si="1108">IF(AV$2=1,$B213,AU213)*AV224</f>
        <v>214.42090577810393</v>
      </c>
      <c r="AW213" s="148"/>
      <c r="AX213" s="117"/>
    </row>
    <row r="214" spans="1:50" collapsed="1" x14ac:dyDescent="0.2">
      <c r="A214" s="83" t="str">
        <f ca="1">Language!A$597</f>
        <v>выручка от реализации, без НДС</v>
      </c>
      <c r="B214" s="157"/>
      <c r="C214" s="146" t="str">
        <f t="shared" ref="C214" ca="1" si="1109">CHOOSE(D214,CurName1,CurName2,CurName3)</f>
        <v>тыс. руб.</v>
      </c>
      <c r="D214" s="155">
        <f>D210</f>
        <v>1</v>
      </c>
      <c r="E214" s="57" t="s">
        <v>992</v>
      </c>
      <c r="F214" s="57" t="s">
        <v>753</v>
      </c>
      <c r="G214" s="176">
        <f t="shared" ref="G214:AV214" ca="1" si="1110">G212*G213</f>
        <v>1180</v>
      </c>
      <c r="H214" s="176">
        <f t="shared" ca="1" si="1110"/>
        <v>5387.9181231555804</v>
      </c>
      <c r="I214" s="176">
        <f t="shared" ca="1" si="1110"/>
        <v>10933.959209728195</v>
      </c>
      <c r="J214" s="176">
        <f t="shared" ca="1" si="1110"/>
        <v>15408.892284980753</v>
      </c>
      <c r="K214" s="176">
        <f t="shared" ca="1" si="1110"/>
        <v>18762.000000000004</v>
      </c>
      <c r="L214" s="176">
        <f t="shared" ca="1" si="1110"/>
        <v>22210.195818785785</v>
      </c>
      <c r="M214" s="176">
        <f t="shared" ca="1" si="1110"/>
        <v>25755.548360693079</v>
      </c>
      <c r="N214" s="176">
        <f t="shared" ca="1" si="1110"/>
        <v>29400.166479743275</v>
      </c>
      <c r="O214" s="176">
        <f t="shared" ca="1" si="1110"/>
        <v>33146.199999999997</v>
      </c>
      <c r="P214" s="176">
        <f t="shared" ca="1" si="1110"/>
        <v>36995.840463863176</v>
      </c>
      <c r="Q214" s="176">
        <f t="shared" ca="1" si="1110"/>
        <v>37538.711735710167</v>
      </c>
      <c r="R214" s="176">
        <f t="shared" ca="1" si="1110"/>
        <v>38089.549017089623</v>
      </c>
      <c r="S214" s="176">
        <f t="shared" ca="1" si="1110"/>
        <v>38648.469200000007</v>
      </c>
      <c r="T214" s="176">
        <f t="shared" ca="1" si="1110"/>
        <v>39215.590891694977</v>
      </c>
      <c r="U214" s="176">
        <f t="shared" ca="1" si="1110"/>
        <v>39791.034439852781</v>
      </c>
      <c r="V214" s="176">
        <f t="shared" ca="1" si="1110"/>
        <v>40374.921958115003</v>
      </c>
      <c r="W214" s="176">
        <f t="shared" ca="1" si="1110"/>
        <v>40967.37735200001</v>
      </c>
      <c r="X214" s="176">
        <f t="shared" ca="1" si="1110"/>
        <v>41568.526345196675</v>
      </c>
      <c r="Y214" s="176">
        <f t="shared" ca="1" si="1110"/>
        <v>42178.496506243944</v>
      </c>
      <c r="Z214" s="176">
        <f t="shared" ca="1" si="1110"/>
        <v>42797.417275601903</v>
      </c>
      <c r="AA214" s="176">
        <f t="shared" ca="1" si="1110"/>
        <v>43425.419993120006</v>
      </c>
      <c r="AB214" s="176">
        <f t="shared" ca="1" si="1110"/>
        <v>44062.637925908472</v>
      </c>
      <c r="AC214" s="176">
        <f t="shared" ca="1" si="1110"/>
        <v>44709.206296618584</v>
      </c>
      <c r="AD214" s="176">
        <f t="shared" ca="1" si="1110"/>
        <v>45365.262312138024</v>
      </c>
      <c r="AE214" s="176">
        <f t="shared" ca="1" si="1110"/>
        <v>46030.945192707208</v>
      </c>
      <c r="AF214" s="176">
        <f t="shared" ca="1" si="1110"/>
        <v>46706.396201462987</v>
      </c>
      <c r="AG214" s="176">
        <f t="shared" ca="1" si="1110"/>
        <v>47391.758674415709</v>
      </c>
      <c r="AH214" s="176">
        <f t="shared" ca="1" si="1110"/>
        <v>48087.178050866314</v>
      </c>
      <c r="AI214" s="176">
        <f t="shared" ca="1" si="1110"/>
        <v>48792.801904269654</v>
      </c>
      <c r="AJ214" s="176">
        <f t="shared" ca="1" si="1110"/>
        <v>49508.779973550772</v>
      </c>
      <c r="AK214" s="176">
        <f t="shared" ca="1" si="1110"/>
        <v>50235.264194880656</v>
      </c>
      <c r="AL214" s="176">
        <f t="shared" ca="1" si="1110"/>
        <v>50972.408733918295</v>
      </c>
      <c r="AM214" s="176">
        <f t="shared" ca="1" si="1110"/>
        <v>51720.370018525842</v>
      </c>
      <c r="AN214" s="176">
        <f t="shared" ca="1" si="1110"/>
        <v>52479.306771963827</v>
      </c>
      <c r="AO214" s="176">
        <f t="shared" ca="1" si="1110"/>
        <v>53249.380046573511</v>
      </c>
      <c r="AP214" s="176">
        <f t="shared" ca="1" si="1110"/>
        <v>54030.753257953409</v>
      </c>
      <c r="AQ214" s="176">
        <f t="shared" ca="1" si="1110"/>
        <v>54823.592219637409</v>
      </c>
      <c r="AR214" s="176">
        <f t="shared" ca="1" si="1110"/>
        <v>55628.065178281671</v>
      </c>
      <c r="AS214" s="176">
        <f t="shared" ca="1" si="1110"/>
        <v>56444.342849367931</v>
      </c>
      <c r="AT214" s="176">
        <f t="shared" ca="1" si="1110"/>
        <v>57272.598453430626</v>
      </c>
      <c r="AU214" s="176">
        <f t="shared" ca="1" si="1110"/>
        <v>58113.007752815662</v>
      </c>
      <c r="AV214" s="176">
        <f t="shared" ca="1" si="1110"/>
        <v>58965.749088978584</v>
      </c>
      <c r="AW214" s="177"/>
      <c r="AX214" s="178">
        <f ca="1">SUM(G214:AW214)</f>
        <v>1718366.0405538401</v>
      </c>
    </row>
    <row r="215" spans="1:50" hidden="1" outlineLevel="1" x14ac:dyDescent="0.2">
      <c r="A215" s="179" t="str">
        <f ca="1">Language!A$598</f>
        <v>дебиторская задолженность</v>
      </c>
      <c r="B215" s="82"/>
      <c r="C215" s="82" t="str">
        <f ca="1">CHOOSE(D215,CurName1,CurName2,CurName3)</f>
        <v>тыс. руб.</v>
      </c>
      <c r="D215" s="155">
        <f>D210</f>
        <v>1</v>
      </c>
      <c r="E215" s="57" t="s">
        <v>994</v>
      </c>
      <c r="F215" s="57" t="s">
        <v>754</v>
      </c>
      <c r="G215" s="319">
        <f ca="1">IF(AND($B216=0,G$2&gt;1),F215,(G214+G225+G226)*$B216/Параметры!G$30)</f>
        <v>475.93333333333334</v>
      </c>
      <c r="H215" s="319">
        <f ca="1">IF(AND($B216=0,H$2&gt;1),G215,(H214+H225+H226)*$B216/Параметры!H$30)</f>
        <v>2173.1269763394171</v>
      </c>
      <c r="I215" s="319">
        <f ca="1">IF(AND($B216=0,I$2&gt;1),H215,(I214+I225+I226)*$B216/Параметры!I$30)</f>
        <v>4410.0302145903725</v>
      </c>
      <c r="J215" s="319">
        <f ca="1">IF(AND($B216=0,J$2&gt;1),I215,(J214+J225+J226)*$B216/Параметры!J$30)</f>
        <v>6214.9198882755709</v>
      </c>
      <c r="K215" s="319">
        <f ca="1">IF(AND($B216=0,K$2&gt;1),J215,(K214+K225+K226)*$B216/Параметры!K$30)</f>
        <v>7567.3400000000011</v>
      </c>
      <c r="L215" s="319">
        <f ca="1">IF(AND($B216=0,L$2&gt;1),K215,(L214+L225+L226)*$B216/Параметры!L$30)</f>
        <v>8958.112313576934</v>
      </c>
      <c r="M215" s="319">
        <f ca="1">IF(AND($B216=0,M$2&gt;1),L215,(M214+M225+M226)*$B216/Параметры!M$30)</f>
        <v>10388.071172146208</v>
      </c>
      <c r="N215" s="319">
        <f ca="1">IF(AND($B216=0,N$2&gt;1),M215,(N214+N225+N226)*$B216/Параметры!N$30)</f>
        <v>11858.067146829788</v>
      </c>
      <c r="O215" s="319">
        <f ca="1">IF(AND($B216=0,O$2&gt;1),N215,(O214+O225+O226)*$B216/Параметры!O$30)</f>
        <v>13368.967333333334</v>
      </c>
      <c r="P215" s="319">
        <f ca="1">IF(AND($B216=0,P$2&gt;1),O215,(P214+P225+P226)*$B216/Параметры!P$30)</f>
        <v>14921.655653758147</v>
      </c>
      <c r="Q215" s="319">
        <f ca="1">IF(AND($B216=0,Q$2&gt;1),P215,(Q214+Q225+Q226)*$B216/Параметры!Q$30)</f>
        <v>15140.613733403101</v>
      </c>
      <c r="R215" s="319">
        <f ca="1">IF(AND($B216=0,R$2&gt;1),Q215,(R214+R225+R226)*$B216/Параметры!R$30)</f>
        <v>15362.784770226148</v>
      </c>
      <c r="S215" s="319">
        <f ca="1">IF(AND($B216=0,S$2&gt;1),R215,(S214+S225+S226)*$B216/Параметры!S$30)</f>
        <v>15588.215910666671</v>
      </c>
      <c r="T215" s="319">
        <f ca="1">IF(AND($B216=0,T$2&gt;1),S215,(T214+T225+T226)*$B216/Параметры!T$30)</f>
        <v>15816.954992983639</v>
      </c>
      <c r="U215" s="319">
        <f ca="1">IF(AND($B216=0,U$2&gt;1),T215,(U214+U225+U226)*$B216/Параметры!U$30)</f>
        <v>16049.050557407289</v>
      </c>
      <c r="V215" s="319">
        <f ca="1">IF(AND($B216=0,V$2&gt;1),U215,(V214+V225+V226)*$B216/Параметры!V$30)</f>
        <v>16284.551856439719</v>
      </c>
      <c r="W215" s="319">
        <f ca="1">IF(AND($B216=0,W$2&gt;1),V215,(W214+W225+W226)*$B216/Параметры!W$30)</f>
        <v>16523.50886530667</v>
      </c>
      <c r="X215" s="319">
        <f ca="1">IF(AND($B216=0,X$2&gt;1),W215,(X214+X225+X226)*$B216/Параметры!X$30)</f>
        <v>16765.972292562659</v>
      </c>
      <c r="Y215" s="319">
        <f ca="1">IF(AND($B216=0,Y$2&gt;1),X215,(Y214+Y225+Y226)*$B216/Параметры!Y$30)</f>
        <v>17011.993590851725</v>
      </c>
      <c r="Z215" s="319">
        <f ca="1">IF(AND($B216=0,Z$2&gt;1),Y215,(Z214+Z225+Z226)*$B216/Параметры!Z$30)</f>
        <v>17261.624967826101</v>
      </c>
      <c r="AA215" s="319">
        <f ca="1">IF(AND($B216=0,AA$2&gt;1),Z215,(AA214+AA225+AA226)*$B216/Параметры!AA$30)</f>
        <v>17514.919397225069</v>
      </c>
      <c r="AB215" s="319">
        <f ca="1">IF(AND($B216=0,AB$2&gt;1),AA215,(AB214+AB225+AB226)*$B216/Параметры!AB$30)</f>
        <v>17771.930630116418</v>
      </c>
      <c r="AC215" s="319">
        <f ca="1">IF(AND($B216=0,AC$2&gt;1),AB215,(AC214+AC225+AC226)*$B216/Параметры!AC$30)</f>
        <v>18032.713206302829</v>
      </c>
      <c r="AD215" s="319">
        <f ca="1">IF(AND($B216=0,AD$2&gt;1),AC215,(AD214+AD225+AD226)*$B216/Параметры!AD$30)</f>
        <v>18297.322465895671</v>
      </c>
      <c r="AE215" s="319">
        <f ca="1">IF(AND($B216=0,AE$2&gt;1),AD215,(AE214+AE225+AE226)*$B216/Параметры!AE$30)</f>
        <v>18565.814561058574</v>
      </c>
      <c r="AF215" s="319">
        <f ca="1">IF(AND($B216=0,AF$2&gt;1),AE215,(AF214+AF225+AF226)*$B216/Параметры!AF$30)</f>
        <v>18838.246467923404</v>
      </c>
      <c r="AG215" s="319">
        <f ca="1">IF(AND($B216=0,AG$2&gt;1),AF215,(AG214+AG225+AG226)*$B216/Параметры!AG$30)</f>
        <v>19114.675998681003</v>
      </c>
      <c r="AH215" s="319">
        <f ca="1">IF(AND($B216=0,AH$2&gt;1),AG215,(AH214+AH225+AH226)*$B216/Параметры!AH$30)</f>
        <v>19395.161813849412</v>
      </c>
      <c r="AI215" s="319">
        <f ca="1">IF(AND($B216=0,AI$2&gt;1),AH215,(AI214+AI225+AI226)*$B216/Параметры!AI$30)</f>
        <v>19679.763434722092</v>
      </c>
      <c r="AJ215" s="319">
        <f ca="1">IF(AND($B216=0,AJ$2&gt;1),AI215,(AJ214+AJ225+AJ226)*$B216/Параметры!AJ$30)</f>
        <v>19968.541255998811</v>
      </c>
      <c r="AK215" s="319">
        <f ca="1">IF(AND($B216=0,AK$2&gt;1),AJ215,(AK214+AK225+AK226)*$B216/Параметры!AK$30)</f>
        <v>20261.556558601864</v>
      </c>
      <c r="AL215" s="319">
        <f ca="1">IF(AND($B216=0,AL$2&gt;1),AK215,(AL214+AL225+AL226)*$B216/Параметры!AL$30)</f>
        <v>20558.871522680376</v>
      </c>
      <c r="AM215" s="319">
        <f ca="1">IF(AND($B216=0,AM$2&gt;1),AL215,(AM214+AM225+AM226)*$B216/Параметры!AM$30)</f>
        <v>20860.549240805423</v>
      </c>
      <c r="AN215" s="319">
        <f ca="1">IF(AND($B216=0,AN$2&gt;1),AM215,(AN214+AN225+AN226)*$B216/Параметры!AN$30)</f>
        <v>21166.653731358743</v>
      </c>
      <c r="AO215" s="319">
        <f ca="1">IF(AND($B216=0,AO$2&gt;1),AN215,(AO214+AO225+AO226)*$B216/Параметры!AO$30)</f>
        <v>21477.249952117982</v>
      </c>
      <c r="AP215" s="319">
        <f ca="1">IF(AND($B216=0,AP$2&gt;1),AO215,(AP214+AP225+AP226)*$B216/Параметры!AP$30)</f>
        <v>21792.403814041209</v>
      </c>
      <c r="AQ215" s="319">
        <f ca="1">IF(AND($B216=0,AQ$2&gt;1),AP215,(AQ214+AQ225+AQ226)*$B216/Параметры!AQ$30)</f>
        <v>22112.182195253754</v>
      </c>
      <c r="AR215" s="319">
        <f ca="1">IF(AND($B216=0,AR$2&gt;1),AQ215,(AR214+AR225+AR226)*$B216/Параметры!AR$30)</f>
        <v>22436.652955240275</v>
      </c>
      <c r="AS215" s="319">
        <f ca="1">IF(AND($B216=0,AS$2&gt;1),AR215,(AS214+AS225+AS226)*$B216/Параметры!AS$30)</f>
        <v>22765.884949245064</v>
      </c>
      <c r="AT215" s="319">
        <f ca="1">IF(AND($B216=0,AT$2&gt;1),AS215,(AT214+AT225+AT226)*$B216/Параметры!AT$30)</f>
        <v>23099.948042883687</v>
      </c>
      <c r="AU215" s="319">
        <f ca="1">IF(AND($B216=0,AU$2&gt;1),AT215,(AU214+AU225+AU226)*$B216/Параметры!AU$30)</f>
        <v>23438.913126968986</v>
      </c>
      <c r="AV215" s="319">
        <f ca="1">IF(AND($B216=0,AV$2&gt;1),AU215,(AV214+AV225+AV226)*$B216/Параметры!AV$30)</f>
        <v>23782.852132554694</v>
      </c>
      <c r="AW215" s="180"/>
      <c r="AX215" s="87"/>
    </row>
    <row r="216" spans="1:50" hidden="1" outlineLevel="1" x14ac:dyDescent="0.2">
      <c r="A216" s="181" t="str">
        <f ca="1">Language!A$599</f>
        <v>средний период отсрочки платежа</v>
      </c>
      <c r="B216" s="320">
        <f>$B$618</f>
        <v>33</v>
      </c>
      <c r="C216" s="152" t="str">
        <f ca="1">Language!$A$1446</f>
        <v>дней</v>
      </c>
      <c r="D216" s="100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48"/>
      <c r="AX216" s="150"/>
    </row>
    <row r="217" spans="1:50" hidden="1" outlineLevel="1" x14ac:dyDescent="0.2">
      <c r="A217" s="179" t="str">
        <f ca="1">Language!A$600</f>
        <v xml:space="preserve">авансы полученные </v>
      </c>
      <c r="B217" s="82"/>
      <c r="C217" s="103" t="str">
        <f ca="1">CHOOSE(D217,CurName1,CurName2,CurName3)</f>
        <v>тыс. руб.</v>
      </c>
      <c r="D217" s="155">
        <f>D210</f>
        <v>1</v>
      </c>
      <c r="E217" s="57" t="s">
        <v>995</v>
      </c>
      <c r="F217" s="57" t="s">
        <v>754</v>
      </c>
      <c r="G217" s="316">
        <f ca="1">IF(AND($B218=0,G$2&gt;1),F217,(OFFSET(G214,0,1)+OFFSET(G225,0,1)+OFFSET(G226,0,1))*$B218/Параметры!G$30)</f>
        <v>0</v>
      </c>
      <c r="H217" s="316">
        <f ca="1">IF(AND($B218=0,H$2&gt;1),G217,(OFFSET(H214,0,1)+OFFSET(H225,0,1)+OFFSET(H226,0,1))*$B218/Параметры!H$30)</f>
        <v>0</v>
      </c>
      <c r="I217" s="316">
        <f ca="1">IF(AND($B218=0,I$2&gt;1),H217,(OFFSET(I214,0,1)+OFFSET(I225,0,1)+OFFSET(I226,0,1))*$B218/Параметры!I$30)</f>
        <v>0</v>
      </c>
      <c r="J217" s="316">
        <f ca="1">IF(AND($B218=0,J$2&gt;1),I217,(OFFSET(J214,0,1)+OFFSET(J225,0,1)+OFFSET(J226,0,1))*$B218/Параметры!J$30)</f>
        <v>0</v>
      </c>
      <c r="K217" s="316">
        <f ca="1">IF(AND($B218=0,K$2&gt;1),J217,(OFFSET(K214,0,1)+OFFSET(K225,0,1)+OFFSET(K226,0,1))*$B218/Параметры!K$30)</f>
        <v>0</v>
      </c>
      <c r="L217" s="316">
        <f ca="1">IF(AND($B218=0,L$2&gt;1),K217,(OFFSET(L214,0,1)+OFFSET(L225,0,1)+OFFSET(L226,0,1))*$B218/Параметры!L$30)</f>
        <v>0</v>
      </c>
      <c r="M217" s="316">
        <f ca="1">IF(AND($B218=0,M$2&gt;1),L217,(OFFSET(M214,0,1)+OFFSET(M225,0,1)+OFFSET(M226,0,1))*$B218/Параметры!M$30)</f>
        <v>0</v>
      </c>
      <c r="N217" s="316">
        <f ca="1">IF(AND($B218=0,N$2&gt;1),M217,(OFFSET(N214,0,1)+OFFSET(N225,0,1)+OFFSET(N226,0,1))*$B218/Параметры!N$30)</f>
        <v>0</v>
      </c>
      <c r="O217" s="316">
        <f ca="1">IF(AND($B218=0,O$2&gt;1),N217,(OFFSET(O214,0,1)+OFFSET(O225,0,1)+OFFSET(O226,0,1))*$B218/Параметры!O$30)</f>
        <v>0</v>
      </c>
      <c r="P217" s="316">
        <f ca="1">IF(AND($B218=0,P$2&gt;1),O217,(OFFSET(P214,0,1)+OFFSET(P225,0,1)+OFFSET(P226,0,1))*$B218/Параметры!P$30)</f>
        <v>0</v>
      </c>
      <c r="Q217" s="316">
        <f ca="1">IF(AND($B218=0,Q$2&gt;1),P217,(OFFSET(Q214,0,1)+OFFSET(Q225,0,1)+OFFSET(Q226,0,1))*$B218/Параметры!Q$30)</f>
        <v>0</v>
      </c>
      <c r="R217" s="316">
        <f ca="1">IF(AND($B218=0,R$2&gt;1),Q217,(OFFSET(R214,0,1)+OFFSET(R225,0,1)+OFFSET(R226,0,1))*$B218/Параметры!R$30)</f>
        <v>0</v>
      </c>
      <c r="S217" s="316">
        <f ca="1">IF(AND($B218=0,S$2&gt;1),R217,(OFFSET(S214,0,1)+OFFSET(S225,0,1)+OFFSET(S226,0,1))*$B218/Параметры!S$30)</f>
        <v>0</v>
      </c>
      <c r="T217" s="316">
        <f ca="1">IF(AND($B218=0,T$2&gt;1),S217,(OFFSET(T214,0,1)+OFFSET(T225,0,1)+OFFSET(T226,0,1))*$B218/Параметры!T$30)</f>
        <v>0</v>
      </c>
      <c r="U217" s="316">
        <f ca="1">IF(AND($B218=0,U$2&gt;1),T217,(OFFSET(U214,0,1)+OFFSET(U225,0,1)+OFFSET(U226,0,1))*$B218/Параметры!U$30)</f>
        <v>0</v>
      </c>
      <c r="V217" s="316">
        <f ca="1">IF(AND($B218=0,V$2&gt;1),U217,(OFFSET(V214,0,1)+OFFSET(V225,0,1)+OFFSET(V226,0,1))*$B218/Параметры!V$30)</f>
        <v>0</v>
      </c>
      <c r="W217" s="316">
        <f ca="1">IF(AND($B218=0,W$2&gt;1),V217,(OFFSET(W214,0,1)+OFFSET(W225,0,1)+OFFSET(W226,0,1))*$B218/Параметры!W$30)</f>
        <v>0</v>
      </c>
      <c r="X217" s="316">
        <f ca="1">IF(AND($B218=0,X$2&gt;1),W217,(OFFSET(X214,0,1)+OFFSET(X225,0,1)+OFFSET(X226,0,1))*$B218/Параметры!X$30)</f>
        <v>0</v>
      </c>
      <c r="Y217" s="316">
        <f ca="1">IF(AND($B218=0,Y$2&gt;1),X217,(OFFSET(Y214,0,1)+OFFSET(Y225,0,1)+OFFSET(Y226,0,1))*$B218/Параметры!Y$30)</f>
        <v>0</v>
      </c>
      <c r="Z217" s="316">
        <f ca="1">IF(AND($B218=0,Z$2&gt;1),Y217,(OFFSET(Z214,0,1)+OFFSET(Z225,0,1)+OFFSET(Z226,0,1))*$B218/Параметры!Z$30)</f>
        <v>0</v>
      </c>
      <c r="AA217" s="316">
        <f ca="1">IF(AND($B218=0,AA$2&gt;1),Z217,(OFFSET(AA214,0,1)+OFFSET(AA225,0,1)+OFFSET(AA226,0,1))*$B218/Параметры!AA$30)</f>
        <v>0</v>
      </c>
      <c r="AB217" s="316">
        <f ca="1">IF(AND($B218=0,AB$2&gt;1),AA217,(OFFSET(AB214,0,1)+OFFSET(AB225,0,1)+OFFSET(AB226,0,1))*$B218/Параметры!AB$30)</f>
        <v>0</v>
      </c>
      <c r="AC217" s="316">
        <f ca="1">IF(AND($B218=0,AC$2&gt;1),AB217,(OFFSET(AC214,0,1)+OFFSET(AC225,0,1)+OFFSET(AC226,0,1))*$B218/Параметры!AC$30)</f>
        <v>0</v>
      </c>
      <c r="AD217" s="316">
        <f ca="1">IF(AND($B218=0,AD$2&gt;1),AC217,(OFFSET(AD214,0,1)+OFFSET(AD225,0,1)+OFFSET(AD226,0,1))*$B218/Параметры!AD$30)</f>
        <v>0</v>
      </c>
      <c r="AE217" s="316">
        <f ca="1">IF(AND($B218=0,AE$2&gt;1),AD217,(OFFSET(AE214,0,1)+OFFSET(AE225,0,1)+OFFSET(AE226,0,1))*$B218/Параметры!AE$30)</f>
        <v>0</v>
      </c>
      <c r="AF217" s="316">
        <f ca="1">IF(AND($B218=0,AF$2&gt;1),AE217,(OFFSET(AF214,0,1)+OFFSET(AF225,0,1)+OFFSET(AF226,0,1))*$B218/Параметры!AF$30)</f>
        <v>0</v>
      </c>
      <c r="AG217" s="316">
        <f ca="1">IF(AND($B218=0,AG$2&gt;1),AF217,(OFFSET(AG214,0,1)+OFFSET(AG225,0,1)+OFFSET(AG226,0,1))*$B218/Параметры!AG$30)</f>
        <v>0</v>
      </c>
      <c r="AH217" s="316">
        <f ca="1">IF(AND($B218=0,AH$2&gt;1),AG217,(OFFSET(AH214,0,1)+OFFSET(AH225,0,1)+OFFSET(AH226,0,1))*$B218/Параметры!AH$30)</f>
        <v>0</v>
      </c>
      <c r="AI217" s="316">
        <f ca="1">IF(AND($B218=0,AI$2&gt;1),AH217,(OFFSET(AI214,0,1)+OFFSET(AI225,0,1)+OFFSET(AI226,0,1))*$B218/Параметры!AI$30)</f>
        <v>0</v>
      </c>
      <c r="AJ217" s="316">
        <f ca="1">IF(AND($B218=0,AJ$2&gt;1),AI217,(OFFSET(AJ214,0,1)+OFFSET(AJ225,0,1)+OFFSET(AJ226,0,1))*$B218/Параметры!AJ$30)</f>
        <v>0</v>
      </c>
      <c r="AK217" s="316">
        <f ca="1">IF(AND($B218=0,AK$2&gt;1),AJ217,(OFFSET(AK214,0,1)+OFFSET(AK225,0,1)+OFFSET(AK226,0,1))*$B218/Параметры!AK$30)</f>
        <v>0</v>
      </c>
      <c r="AL217" s="316">
        <f ca="1">IF(AND($B218=0,AL$2&gt;1),AK217,(OFFSET(AL214,0,1)+OFFSET(AL225,0,1)+OFFSET(AL226,0,1))*$B218/Параметры!AL$30)</f>
        <v>0</v>
      </c>
      <c r="AM217" s="316">
        <f ca="1">IF(AND($B218=0,AM$2&gt;1),AL217,(OFFSET(AM214,0,1)+OFFSET(AM225,0,1)+OFFSET(AM226,0,1))*$B218/Параметры!AM$30)</f>
        <v>0</v>
      </c>
      <c r="AN217" s="316">
        <f ca="1">IF(AND($B218=0,AN$2&gt;1),AM217,(OFFSET(AN214,0,1)+OFFSET(AN225,0,1)+OFFSET(AN226,0,1))*$B218/Параметры!AN$30)</f>
        <v>0</v>
      </c>
      <c r="AO217" s="316">
        <f ca="1">IF(AND($B218=0,AO$2&gt;1),AN217,(OFFSET(AO214,0,1)+OFFSET(AO225,0,1)+OFFSET(AO226,0,1))*$B218/Параметры!AO$30)</f>
        <v>0</v>
      </c>
      <c r="AP217" s="316">
        <f ca="1">IF(AND($B218=0,AP$2&gt;1),AO217,(OFFSET(AP214,0,1)+OFFSET(AP225,0,1)+OFFSET(AP226,0,1))*$B218/Параметры!AP$30)</f>
        <v>0</v>
      </c>
      <c r="AQ217" s="316">
        <f ca="1">IF(AND($B218=0,AQ$2&gt;1),AP217,(OFFSET(AQ214,0,1)+OFFSET(AQ225,0,1)+OFFSET(AQ226,0,1))*$B218/Параметры!AQ$30)</f>
        <v>0</v>
      </c>
      <c r="AR217" s="316">
        <f ca="1">IF(AND($B218=0,AR$2&gt;1),AQ217,(OFFSET(AR214,0,1)+OFFSET(AR225,0,1)+OFFSET(AR226,0,1))*$B218/Параметры!AR$30)</f>
        <v>0</v>
      </c>
      <c r="AS217" s="316">
        <f ca="1">IF(AND($B218=0,AS$2&gt;1),AR217,(OFFSET(AS214,0,1)+OFFSET(AS225,0,1)+OFFSET(AS226,0,1))*$B218/Параметры!AS$30)</f>
        <v>0</v>
      </c>
      <c r="AT217" s="316">
        <f ca="1">IF(AND($B218=0,AT$2&gt;1),AS217,(OFFSET(AT214,0,1)+OFFSET(AT225,0,1)+OFFSET(AT226,0,1))*$B218/Параметры!AT$30)</f>
        <v>0</v>
      </c>
      <c r="AU217" s="316">
        <f ca="1">IF(AND($B218=0,AU$2&gt;1),AT217,(OFFSET(AU214,0,1)+OFFSET(AU225,0,1)+OFFSET(AU226,0,1))*$B218/Параметры!AU$30)</f>
        <v>0</v>
      </c>
      <c r="AV217" s="316">
        <f ca="1">IF(AND($B218=0,AV$2&gt;1),AU217,(OFFSET(AV214,0,1)+OFFSET(AV225,0,1)+OFFSET(AV226,0,1))*$B218/Параметры!AV$30)</f>
        <v>0</v>
      </c>
      <c r="AW217" s="168"/>
      <c r="AX217" s="182"/>
    </row>
    <row r="218" spans="1:50" hidden="1" outlineLevel="1" x14ac:dyDescent="0.2">
      <c r="A218" s="181" t="str">
        <f ca="1">Language!A$601</f>
        <v>средний период предоплаты</v>
      </c>
      <c r="B218" s="320">
        <f>$B$624</f>
        <v>0</v>
      </c>
      <c r="C218" s="152" t="str">
        <f ca="1">Language!$A$1446</f>
        <v>дней</v>
      </c>
      <c r="D218" s="100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48"/>
      <c r="AX218" s="150"/>
    </row>
    <row r="219" spans="1:50" hidden="1" outlineLevel="1" x14ac:dyDescent="0.2">
      <c r="A219" s="179" t="str">
        <f ca="1">Language!A$602</f>
        <v>поступление денежных средств, с НДС</v>
      </c>
      <c r="B219" s="52"/>
      <c r="C219" s="103" t="str">
        <f ca="1">CHOOSE(D219,CurName1,CurName2,CurName3)</f>
        <v>тыс. руб.</v>
      </c>
      <c r="D219" s="155">
        <f>D210</f>
        <v>1</v>
      </c>
      <c r="E219" s="57" t="s">
        <v>993</v>
      </c>
      <c r="F219" s="57" t="s">
        <v>753</v>
      </c>
      <c r="G219" s="180">
        <f ca="1">G214+G225+G226-IF(G$2=1,G215,G215-F215)+IF(G$2=1,G217,G217-F217)</f>
        <v>822.06666666666661</v>
      </c>
      <c r="H219" s="180">
        <f t="shared" ref="H219" ca="1" si="1111">H214+H225+H226-IF(H$2=1,H215,H215-G215)+IF(H$2=1,H217,H217-G217)</f>
        <v>4229.516292465054</v>
      </c>
      <c r="I219" s="180">
        <f t="shared" ref="I219" ca="1" si="1112">I214+I225+I226-IF(I$2=1,I215,I215-H215)+IF(I$2=1,I217,I217-H217)</f>
        <v>9790.4518924500589</v>
      </c>
      <c r="J219" s="180">
        <f t="shared" ref="J219" ca="1" si="1113">J214+J225+J226-IF(J$2=1,J215,J215-I215)+IF(J$2=1,J217,J217-I217)</f>
        <v>15144.89183979363</v>
      </c>
      <c r="K219" s="180">
        <f t="shared" ref="K219" ca="1" si="1114">K214+K225+K226-IF(K$2=1,K215,K215-J215)+IF(K$2=1,K217,K217-J217)</f>
        <v>19285.779888275574</v>
      </c>
      <c r="L219" s="180">
        <f t="shared" ref="L219" ca="1" si="1115">L214+L225+L226-IF(L$2=1,L215,L215-K215)+IF(L$2=1,L217,L217-K217)</f>
        <v>23040.443087087431</v>
      </c>
      <c r="M219" s="180">
        <f t="shared" ref="M219" ca="1" si="1116">M214+M225+M226-IF(M$2=1,M215,M215-L215)+IF(M$2=1,M217,M217-L217)</f>
        <v>26901.144338193109</v>
      </c>
      <c r="N219" s="180">
        <f t="shared" ref="N219" ca="1" si="1117">N214+N225+N226-IF(N$2=1,N215,N215-M215)+IF(N$2=1,N217,N217-M217)</f>
        <v>30870.187153034021</v>
      </c>
      <c r="O219" s="180">
        <f t="shared" ref="O219" ca="1" si="1118">O214+O225+O226-IF(O$2=1,O215,O215-N215)+IF(O$2=1,O217,O217-N217)</f>
        <v>34949.919813496454</v>
      </c>
      <c r="P219" s="180">
        <f t="shared" ref="P219" ca="1" si="1119">P214+P225+P226-IF(P$2=1,P215,P215-O215)+IF(P$2=1,P217,P217-O217)</f>
        <v>39142.736189824682</v>
      </c>
      <c r="Q219" s="180">
        <f t="shared" ref="Q219" ca="1" si="1120">Q214+Q225+Q226-IF(Q$2=1,Q215,Q215-P215)+IF(Q$2=1,Q217,Q217-P217)</f>
        <v>41073.624829636232</v>
      </c>
      <c r="R219" s="180">
        <f t="shared" ref="R219" ca="1" si="1121">R214+R225+R226-IF(R$2=1,R215,R215-Q215)+IF(R$2=1,R217,R217-Q217)</f>
        <v>41676.332881975533</v>
      </c>
      <c r="S219" s="180">
        <f t="shared" ref="S219" ca="1" si="1122">S214+S225+S226-IF(S$2=1,S215,S215-R215)+IF(S$2=1,S217,S217-R217)</f>
        <v>42287.884979559487</v>
      </c>
      <c r="T219" s="180">
        <f t="shared" ref="T219" ca="1" si="1123">T214+T225+T226-IF(T$2=1,T215,T215-S215)+IF(T$2=1,T217,T217-S217)</f>
        <v>42908.410898547503</v>
      </c>
      <c r="U219" s="180">
        <f t="shared" ref="U219" ca="1" si="1124">U214+U225+U226-IF(U$2=1,U215,U215-T215)+IF(U$2=1,U217,U217-T217)</f>
        <v>43538.04231941441</v>
      </c>
      <c r="V219" s="180">
        <f t="shared" ref="V219" ca="1" si="1125">V214+V225+V226-IF(V$2=1,V215,V215-U215)+IF(V$2=1,V217,V217-U217)</f>
        <v>44176.912854894072</v>
      </c>
      <c r="W219" s="180">
        <f t="shared" ref="W219" ca="1" si="1126">W214+W225+W226-IF(W$2=1,W215,W215-V215)+IF(W$2=1,W217,W217-V217)</f>
        <v>44825.158078333065</v>
      </c>
      <c r="X219" s="180">
        <f t="shared" ref="X219" ca="1" si="1127">X214+X225+X226-IF(X$2=1,X215,X215-W215)+IF(X$2=1,X217,X217-W217)</f>
        <v>45482.915552460356</v>
      </c>
      <c r="Y219" s="180">
        <f t="shared" ref="Y219" ca="1" si="1128">Y214+Y225+Y226-IF(Y$2=1,Y215,Y215-X215)+IF(Y$2=1,Y217,Y217-X217)</f>
        <v>46150.324858579275</v>
      </c>
      <c r="Z219" s="180">
        <f t="shared" ref="Z219" ca="1" si="1129">Z214+Z225+Z226-IF(Z$2=1,Z215,Z215-Y215)+IF(Z$2=1,Z217,Z217-Y217)</f>
        <v>46827.527626187715</v>
      </c>
      <c r="AA219" s="180">
        <f t="shared" ref="AA219" ca="1" si="1130">AA214+AA225+AA226-IF(AA$2=1,AA215,AA215-Z215)+IF(AA$2=1,AA217,AA217-Z217)</f>
        <v>47514.667563033043</v>
      </c>
      <c r="AB219" s="180">
        <f t="shared" ref="AB219" ca="1" si="1131">AB214+AB225+AB226-IF(AB$2=1,AB215,AB215-AA215)+IF(AB$2=1,AB217,AB217-AA217)</f>
        <v>48211.890485607975</v>
      </c>
      <c r="AC219" s="180">
        <f t="shared" ref="AC219" ca="1" si="1132">AC214+AC225+AC226-IF(AC$2=1,AC215,AC215-AB215)+IF(AC$2=1,AC217,AC217-AB217)</f>
        <v>48919.344350094034</v>
      </c>
      <c r="AD219" s="180">
        <f t="shared" ref="AD219" ca="1" si="1133">AD214+AD225+AD226-IF(AD$2=1,AD215,AD215-AC215)+IF(AD$2=1,AD217,AD217-AC217)</f>
        <v>49637.179283758982</v>
      </c>
      <c r="AE219" s="180">
        <f t="shared" ref="AE219" ca="1" si="1134">AE214+AE225+AE226-IF(AE$2=1,AE215,AE215-AD215)+IF(AE$2=1,AE217,AE217-AD217)</f>
        <v>50365.547616815027</v>
      </c>
      <c r="AF219" s="180">
        <f t="shared" ref="AF219" ca="1" si="1135">AF214+AF225+AF226-IF(AF$2=1,AF215,AF215-AE215)+IF(AF$2=1,AF217,AF217-AE217)</f>
        <v>51104.603914744454</v>
      </c>
      <c r="AG219" s="180">
        <f t="shared" ref="AG219" ca="1" si="1136">AG214+AG225+AG226-IF(AG$2=1,AG215,AG215-AF215)+IF(AG$2=1,AG217,AG217-AF217)</f>
        <v>51854.505011099682</v>
      </c>
      <c r="AH219" s="180">
        <f t="shared" ref="AH219" ca="1" si="1137">AH214+AH225+AH226-IF(AH$2=1,AH215,AH215-AG215)+IF(AH$2=1,AH217,AH217-AG217)</f>
        <v>52615.410040784533</v>
      </c>
      <c r="AI219" s="180">
        <f t="shared" ref="AI219" ca="1" si="1138">AI214+AI225+AI226-IF(AI$2=1,AI215,AI215-AH215)+IF(AI$2=1,AI217,AI217-AH217)</f>
        <v>53387.48047382394</v>
      </c>
      <c r="AJ219" s="180">
        <f t="shared" ref="AJ219" ca="1" si="1139">AJ214+AJ225+AJ226-IF(AJ$2=1,AJ215,AJ215-AI215)+IF(AJ$2=1,AJ217,AJ217-AI217)</f>
        <v>54170.880149629127</v>
      </c>
      <c r="AK219" s="180">
        <f t="shared" ref="AK219" ca="1" si="1140">AK214+AK225+AK226-IF(AK$2=1,AK215,AK215-AJ215)+IF(AK$2=1,AK217,AK217-AJ217)</f>
        <v>54965.775311765668</v>
      </c>
      <c r="AL219" s="180">
        <f t="shared" ref="AL219" ca="1" si="1141">AL214+AL225+AL226-IF(AL$2=1,AL215,AL215-AK215)+IF(AL$2=1,AL217,AL217-AK217)</f>
        <v>55772.33464323161</v>
      </c>
      <c r="AM219" s="180">
        <f t="shared" ref="AM219" ca="1" si="1142">AM214+AM225+AM226-IF(AM$2=1,AM215,AM215-AL215)+IF(AM$2=1,AM217,AM217-AL217)</f>
        <v>56590.729302253385</v>
      </c>
      <c r="AN219" s="180">
        <f t="shared" ref="AN219" ca="1" si="1143">AN214+AN225+AN226-IF(AN$2=1,AN215,AN215-AM215)+IF(AN$2=1,AN217,AN217-AM217)</f>
        <v>57421.13295860689</v>
      </c>
      <c r="AO219" s="180">
        <f t="shared" ref="AO219" ca="1" si="1144">AO214+AO225+AO226-IF(AO$2=1,AO215,AO215-AN215)+IF(AO$2=1,AO217,AO217-AN217)</f>
        <v>58263.721830471623</v>
      </c>
      <c r="AP219" s="180">
        <f t="shared" ref="AP219" ca="1" si="1145">AP214+AP225+AP226-IF(AP$2=1,AP215,AP215-AO215)+IF(AP$2=1,AP217,AP217-AO217)</f>
        <v>59118.674721825519</v>
      </c>
      <c r="AQ219" s="180">
        <f t="shared" ref="AQ219" ca="1" si="1146">AQ214+AQ225+AQ226-IF(AQ$2=1,AQ215,AQ215-AP215)+IF(AQ$2=1,AQ217,AQ217-AP217)</f>
        <v>59986.17306038861</v>
      </c>
      <c r="AR219" s="180">
        <f t="shared" ref="AR219" ca="1" si="1147">AR214+AR225+AR226-IF(AR$2=1,AR215,AR215-AQ215)+IF(AR$2=1,AR217,AR217-AQ217)</f>
        <v>60866.400936123318</v>
      </c>
      <c r="AS219" s="180">
        <f t="shared" ref="AS219" ca="1" si="1148">AS214+AS225+AS226-IF(AS$2=1,AS215,AS215-AR215)+IF(AS$2=1,AS217,AS217-AR217)</f>
        <v>61759.545140299932</v>
      </c>
      <c r="AT219" s="180">
        <f t="shared" ref="AT219" ca="1" si="1149">AT214+AT225+AT226-IF(AT$2=1,AT215,AT215-AS215)+IF(AT$2=1,AT217,AT217-AS217)</f>
        <v>62665.795205135066</v>
      </c>
      <c r="AU219" s="180">
        <f t="shared" ref="AU219" ca="1" si="1150">AU214+AU225+AU226-IF(AU$2=1,AU215,AU215-AT215)+IF(AU$2=1,AU217,AU217-AT217)</f>
        <v>63585.343444011931</v>
      </c>
      <c r="AV219" s="180">
        <f t="shared" ref="AV219" ca="1" si="1151">AV214+AV225+AV226-IF(AV$2=1,AV215,AV215-AU215)+IF(AV$2=1,AV217,AV217-AU217)</f>
        <v>64518.384992290732</v>
      </c>
      <c r="AW219" s="180"/>
      <c r="AX219" s="169">
        <f ca="1">SUM(G219:AW219)</f>
        <v>1866419.7924766694</v>
      </c>
    </row>
    <row r="220" spans="1:50" hidden="1" outlineLevel="1" x14ac:dyDescent="0.2">
      <c r="A220" s="179" t="str">
        <f ca="1">Language!A$603</f>
        <v>темп изменения цен</v>
      </c>
      <c r="B220" s="84"/>
      <c r="C220" s="82" t="str">
        <f ca="1">Language!$A$471</f>
        <v>% в год</v>
      </c>
      <c r="D220" s="153"/>
      <c r="F220" s="57" t="s">
        <v>756</v>
      </c>
      <c r="G220" s="321">
        <f>CHOOSE($D210,Параметры!G$47,Параметры!G$56,Параметры!G$62)</f>
        <v>0.06</v>
      </c>
      <c r="H220" s="321">
        <f>CHOOSE($D210,Параметры!H$47,Параметры!H$56,Параметры!H$62)</f>
        <v>0.06</v>
      </c>
      <c r="I220" s="321">
        <f>CHOOSE($D210,Параметры!I$47,Параметры!I$56,Параметры!I$62)</f>
        <v>0.06</v>
      </c>
      <c r="J220" s="321">
        <f>CHOOSE($D210,Параметры!J$47,Параметры!J$56,Параметры!J$62)</f>
        <v>0.06</v>
      </c>
      <c r="K220" s="321">
        <f>CHOOSE($D210,Параметры!K$47,Параметры!K$56,Параметры!K$62)</f>
        <v>0.06</v>
      </c>
      <c r="L220" s="321">
        <f>CHOOSE($D210,Параметры!L$47,Параметры!L$56,Параметры!L$62)</f>
        <v>0.06</v>
      </c>
      <c r="M220" s="321">
        <f>CHOOSE($D210,Параметры!M$47,Параметры!M$56,Параметры!M$62)</f>
        <v>0.06</v>
      </c>
      <c r="N220" s="321">
        <f>CHOOSE($D210,Параметры!N$47,Параметры!N$56,Параметры!N$62)</f>
        <v>0.06</v>
      </c>
      <c r="O220" s="321">
        <f>CHOOSE($D210,Параметры!O$47,Параметры!O$56,Параметры!O$62)</f>
        <v>0.06</v>
      </c>
      <c r="P220" s="321">
        <f>CHOOSE($D210,Параметры!P$47,Параметры!P$56,Параметры!P$62)</f>
        <v>0.06</v>
      </c>
      <c r="Q220" s="321">
        <f>CHOOSE($D210,Параметры!Q$47,Параметры!Q$56,Параметры!Q$62)</f>
        <v>0.06</v>
      </c>
      <c r="R220" s="321">
        <f>CHOOSE($D210,Параметры!R$47,Параметры!R$56,Параметры!R$62)</f>
        <v>0.06</v>
      </c>
      <c r="S220" s="321">
        <f>CHOOSE($D210,Параметры!S$47,Параметры!S$56,Параметры!S$62)</f>
        <v>0.06</v>
      </c>
      <c r="T220" s="321">
        <f>CHOOSE($D210,Параметры!T$47,Параметры!T$56,Параметры!T$62)</f>
        <v>0.06</v>
      </c>
      <c r="U220" s="321">
        <f>CHOOSE($D210,Параметры!U$47,Параметры!U$56,Параметры!U$62)</f>
        <v>0.06</v>
      </c>
      <c r="V220" s="321">
        <f>CHOOSE($D210,Параметры!V$47,Параметры!V$56,Параметры!V$62)</f>
        <v>0.06</v>
      </c>
      <c r="W220" s="321">
        <f>CHOOSE($D210,Параметры!W$47,Параметры!W$56,Параметры!W$62)</f>
        <v>0.06</v>
      </c>
      <c r="X220" s="321">
        <f>CHOOSE($D210,Параметры!X$47,Параметры!X$56,Параметры!X$62)</f>
        <v>0.06</v>
      </c>
      <c r="Y220" s="321">
        <f>CHOOSE($D210,Параметры!Y$47,Параметры!Y$56,Параметры!Y$62)</f>
        <v>0.06</v>
      </c>
      <c r="Z220" s="321">
        <f>CHOOSE($D210,Параметры!Z$47,Параметры!Z$56,Параметры!Z$62)</f>
        <v>0.06</v>
      </c>
      <c r="AA220" s="321">
        <f>CHOOSE($D210,Параметры!AA$47,Параметры!AA$56,Параметры!AA$62)</f>
        <v>0.06</v>
      </c>
      <c r="AB220" s="321">
        <f>CHOOSE($D210,Параметры!AB$47,Параметры!AB$56,Параметры!AB$62)</f>
        <v>0.06</v>
      </c>
      <c r="AC220" s="321">
        <f>CHOOSE($D210,Параметры!AC$47,Параметры!AC$56,Параметры!AC$62)</f>
        <v>0.06</v>
      </c>
      <c r="AD220" s="321">
        <f>CHOOSE($D210,Параметры!AD$47,Параметры!AD$56,Параметры!AD$62)</f>
        <v>0.06</v>
      </c>
      <c r="AE220" s="321">
        <f>CHOOSE($D210,Параметры!AE$47,Параметры!AE$56,Параметры!AE$62)</f>
        <v>0.06</v>
      </c>
      <c r="AF220" s="321">
        <f>CHOOSE($D210,Параметры!AF$47,Параметры!AF$56,Параметры!AF$62)</f>
        <v>0.06</v>
      </c>
      <c r="AG220" s="321">
        <f>CHOOSE($D210,Параметры!AG$47,Параметры!AG$56,Параметры!AG$62)</f>
        <v>0.06</v>
      </c>
      <c r="AH220" s="321">
        <f>CHOOSE($D210,Параметры!AH$47,Параметры!AH$56,Параметры!AH$62)</f>
        <v>0.06</v>
      </c>
      <c r="AI220" s="321">
        <f>CHOOSE($D210,Параметры!AI$47,Параметры!AI$56,Параметры!AI$62)</f>
        <v>0.06</v>
      </c>
      <c r="AJ220" s="321">
        <f>CHOOSE($D210,Параметры!AJ$47,Параметры!AJ$56,Параметры!AJ$62)</f>
        <v>0.06</v>
      </c>
      <c r="AK220" s="321">
        <f>CHOOSE($D210,Параметры!AK$47,Параметры!AK$56,Параметры!AK$62)</f>
        <v>0.06</v>
      </c>
      <c r="AL220" s="321">
        <f>CHOOSE($D210,Параметры!AL$47,Параметры!AL$56,Параметры!AL$62)</f>
        <v>0.06</v>
      </c>
      <c r="AM220" s="321">
        <f>CHOOSE($D210,Параметры!AM$47,Параметры!AM$56,Параметры!AM$62)</f>
        <v>0.06</v>
      </c>
      <c r="AN220" s="321">
        <f>CHOOSE($D210,Параметры!AN$47,Параметры!AN$56,Параметры!AN$62)</f>
        <v>0.06</v>
      </c>
      <c r="AO220" s="321">
        <f>CHOOSE($D210,Параметры!AO$47,Параметры!AO$56,Параметры!AO$62)</f>
        <v>0.06</v>
      </c>
      <c r="AP220" s="321">
        <f>CHOOSE($D210,Параметры!AP$47,Параметры!AP$56,Параметры!AP$62)</f>
        <v>0.06</v>
      </c>
      <c r="AQ220" s="321">
        <f>CHOOSE($D210,Параметры!AQ$47,Параметры!AQ$56,Параметры!AQ$62)</f>
        <v>0.06</v>
      </c>
      <c r="AR220" s="321">
        <f>CHOOSE($D210,Параметры!AR$47,Параметры!AR$56,Параметры!AR$62)</f>
        <v>0.06</v>
      </c>
      <c r="AS220" s="321">
        <f>CHOOSE($D210,Параметры!AS$47,Параметры!AS$56,Параметры!AS$62)</f>
        <v>0.06</v>
      </c>
      <c r="AT220" s="321">
        <f>CHOOSE($D210,Параметры!AT$47,Параметры!AT$56,Параметры!AT$62)</f>
        <v>0.06</v>
      </c>
      <c r="AU220" s="321">
        <f>CHOOSE($D210,Параметры!AU$47,Параметры!AU$56,Параметры!AU$62)</f>
        <v>0.06</v>
      </c>
      <c r="AV220" s="321">
        <f>CHOOSE($D210,Параметры!AV$47,Параметры!AV$56,Параметры!AV$62)</f>
        <v>0.06</v>
      </c>
      <c r="AW220" s="183"/>
      <c r="AX220" s="184"/>
    </row>
    <row r="221" spans="1:50" hidden="1" outlineLevel="1" x14ac:dyDescent="0.2">
      <c r="A221" s="179" t="str">
        <f ca="1">Language!A$604</f>
        <v>ставка НДС</v>
      </c>
      <c r="B221" s="84"/>
      <c r="C221" s="82" t="s">
        <v>1</v>
      </c>
      <c r="D221" s="66"/>
      <c r="F221" s="57" t="s">
        <v>756</v>
      </c>
      <c r="G221" s="321">
        <f>Параметры!G$72*10/18</f>
        <v>9.9999999999999992E-2</v>
      </c>
      <c r="H221" s="321">
        <f>Параметры!H$72*10/18</f>
        <v>9.9999999999999992E-2</v>
      </c>
      <c r="I221" s="321">
        <f>Параметры!I$72*10/18</f>
        <v>9.9999999999999992E-2</v>
      </c>
      <c r="J221" s="321">
        <f>Параметры!J$72*10/18</f>
        <v>9.9999999999999992E-2</v>
      </c>
      <c r="K221" s="321">
        <f>Параметры!K$72*10/18</f>
        <v>9.9999999999999992E-2</v>
      </c>
      <c r="L221" s="321">
        <f>Параметры!L$72*10/18</f>
        <v>9.9999999999999992E-2</v>
      </c>
      <c r="M221" s="321">
        <f>Параметры!M$72*10/18</f>
        <v>9.9999999999999992E-2</v>
      </c>
      <c r="N221" s="321">
        <f>Параметры!N$72*10/18</f>
        <v>9.9999999999999992E-2</v>
      </c>
      <c r="O221" s="321">
        <f>Параметры!O$72*10/18</f>
        <v>9.9999999999999992E-2</v>
      </c>
      <c r="P221" s="321">
        <f>Параметры!P$72*10/18</f>
        <v>9.9999999999999992E-2</v>
      </c>
      <c r="Q221" s="321">
        <f>Параметры!Q$72*10/18</f>
        <v>9.9999999999999992E-2</v>
      </c>
      <c r="R221" s="321">
        <f>Параметры!R$72*10/18</f>
        <v>9.9999999999999992E-2</v>
      </c>
      <c r="S221" s="321">
        <f>Параметры!S$72*10/18</f>
        <v>9.9999999999999992E-2</v>
      </c>
      <c r="T221" s="321">
        <f>Параметры!T$72*10/18</f>
        <v>9.9999999999999992E-2</v>
      </c>
      <c r="U221" s="321">
        <f>Параметры!U$72*10/18</f>
        <v>9.9999999999999992E-2</v>
      </c>
      <c r="V221" s="321">
        <f>Параметры!V$72*10/18</f>
        <v>9.9999999999999992E-2</v>
      </c>
      <c r="W221" s="321">
        <f>Параметры!W$72*10/18</f>
        <v>9.9999999999999992E-2</v>
      </c>
      <c r="X221" s="321">
        <f>Параметры!X$72*10/18</f>
        <v>9.9999999999999992E-2</v>
      </c>
      <c r="Y221" s="321">
        <f>Параметры!Y$72*10/18</f>
        <v>9.9999999999999992E-2</v>
      </c>
      <c r="Z221" s="321">
        <f>Параметры!Z$72*10/18</f>
        <v>9.9999999999999992E-2</v>
      </c>
      <c r="AA221" s="321">
        <f>Параметры!AA$72*10/18</f>
        <v>9.9999999999999992E-2</v>
      </c>
      <c r="AB221" s="321">
        <f>Параметры!AB$72*10/18</f>
        <v>9.9999999999999992E-2</v>
      </c>
      <c r="AC221" s="321">
        <f>Параметры!AC$72*10/18</f>
        <v>9.9999999999999992E-2</v>
      </c>
      <c r="AD221" s="321">
        <f>Параметры!AD$72*10/18</f>
        <v>9.9999999999999992E-2</v>
      </c>
      <c r="AE221" s="321">
        <f>Параметры!AE$72*10/18</f>
        <v>9.9999999999999992E-2</v>
      </c>
      <c r="AF221" s="321">
        <f>Параметры!AF$72*10/18</f>
        <v>9.9999999999999992E-2</v>
      </c>
      <c r="AG221" s="321">
        <f>Параметры!AG$72*10/18</f>
        <v>9.9999999999999992E-2</v>
      </c>
      <c r="AH221" s="321">
        <f>Параметры!AH$72*10/18</f>
        <v>9.9999999999999992E-2</v>
      </c>
      <c r="AI221" s="321">
        <f>Параметры!AI$72*10/18</f>
        <v>9.9999999999999992E-2</v>
      </c>
      <c r="AJ221" s="321">
        <f>Параметры!AJ$72*10/18</f>
        <v>9.9999999999999992E-2</v>
      </c>
      <c r="AK221" s="321">
        <f>Параметры!AK$72*10/18</f>
        <v>9.9999999999999992E-2</v>
      </c>
      <c r="AL221" s="321">
        <f>Параметры!AL$72*10/18</f>
        <v>9.9999999999999992E-2</v>
      </c>
      <c r="AM221" s="321">
        <f>Параметры!AM$72*10/18</f>
        <v>9.9999999999999992E-2</v>
      </c>
      <c r="AN221" s="321">
        <f>Параметры!AN$72*10/18</f>
        <v>9.9999999999999992E-2</v>
      </c>
      <c r="AO221" s="321">
        <f>Параметры!AO$72*10/18</f>
        <v>9.9999999999999992E-2</v>
      </c>
      <c r="AP221" s="321">
        <f>Параметры!AP$72*10/18</f>
        <v>9.9999999999999992E-2</v>
      </c>
      <c r="AQ221" s="321">
        <f>Параметры!AQ$72*10/18</f>
        <v>9.9999999999999992E-2</v>
      </c>
      <c r="AR221" s="321">
        <f>Параметры!AR$72*10/18</f>
        <v>9.9999999999999992E-2</v>
      </c>
      <c r="AS221" s="321">
        <f>Параметры!AS$72*10/18</f>
        <v>9.9999999999999992E-2</v>
      </c>
      <c r="AT221" s="321">
        <f>Параметры!AT$72*10/18</f>
        <v>9.9999999999999992E-2</v>
      </c>
      <c r="AU221" s="321">
        <f>Параметры!AU$72*10/18</f>
        <v>9.9999999999999992E-2</v>
      </c>
      <c r="AV221" s="321">
        <f>Параметры!AV$72*10/18</f>
        <v>9.9999999999999992E-2</v>
      </c>
      <c r="AW221" s="183"/>
      <c r="AX221" s="87"/>
    </row>
    <row r="222" spans="1:50" hidden="1" outlineLevel="1" x14ac:dyDescent="0.2">
      <c r="A222" s="179" t="str">
        <f ca="1">Language!A$605</f>
        <v>акцизы, на единицу</v>
      </c>
      <c r="B222" s="66"/>
      <c r="C222" s="82" t="str">
        <f ca="1">CHOOSE(D222,CurName1,CurName2,CurName3)&amp;"/"&amp;C212</f>
        <v>тыс. руб./тн</v>
      </c>
      <c r="D222" s="66">
        <f>D210</f>
        <v>1</v>
      </c>
      <c r="F222" s="57" t="s">
        <v>756</v>
      </c>
      <c r="G222" s="319">
        <v>0</v>
      </c>
      <c r="H222" s="319">
        <f t="shared" ref="H222:H223" si="1152">G222</f>
        <v>0</v>
      </c>
      <c r="I222" s="319">
        <f t="shared" ref="I222:I223" si="1153">H222</f>
        <v>0</v>
      </c>
      <c r="J222" s="319">
        <f t="shared" ref="J222:J223" si="1154">I222</f>
        <v>0</v>
      </c>
      <c r="K222" s="319">
        <f t="shared" ref="K222:K223" si="1155">J222</f>
        <v>0</v>
      </c>
      <c r="L222" s="319">
        <f t="shared" ref="L222:L223" si="1156">K222</f>
        <v>0</v>
      </c>
      <c r="M222" s="319">
        <f t="shared" ref="M222:M223" si="1157">L222</f>
        <v>0</v>
      </c>
      <c r="N222" s="319">
        <f t="shared" ref="N222:N223" si="1158">M222</f>
        <v>0</v>
      </c>
      <c r="O222" s="319">
        <f t="shared" ref="O222:O223" si="1159">N222</f>
        <v>0</v>
      </c>
      <c r="P222" s="319">
        <f t="shared" ref="P222:P223" si="1160">O222</f>
        <v>0</v>
      </c>
      <c r="Q222" s="319">
        <f t="shared" ref="Q222:Q223" si="1161">P222</f>
        <v>0</v>
      </c>
      <c r="R222" s="319">
        <f t="shared" ref="R222:R223" si="1162">Q222</f>
        <v>0</v>
      </c>
      <c r="S222" s="319">
        <f t="shared" ref="S222:S223" si="1163">R222</f>
        <v>0</v>
      </c>
      <c r="T222" s="319">
        <f t="shared" ref="T222:T223" si="1164">S222</f>
        <v>0</v>
      </c>
      <c r="U222" s="319">
        <f t="shared" ref="U222:U223" si="1165">T222</f>
        <v>0</v>
      </c>
      <c r="V222" s="319">
        <f t="shared" ref="V222:V223" si="1166">U222</f>
        <v>0</v>
      </c>
      <c r="W222" s="319">
        <f t="shared" ref="W222:W223" si="1167">V222</f>
        <v>0</v>
      </c>
      <c r="X222" s="319">
        <f t="shared" ref="X222:X223" si="1168">W222</f>
        <v>0</v>
      </c>
      <c r="Y222" s="319">
        <f t="shared" ref="Y222:Y223" si="1169">X222</f>
        <v>0</v>
      </c>
      <c r="Z222" s="319">
        <f t="shared" ref="Z222:Z223" si="1170">Y222</f>
        <v>0</v>
      </c>
      <c r="AA222" s="319">
        <f t="shared" ref="AA222:AA223" si="1171">Z222</f>
        <v>0</v>
      </c>
      <c r="AB222" s="319">
        <f t="shared" ref="AB222:AB223" si="1172">AA222</f>
        <v>0</v>
      </c>
      <c r="AC222" s="319">
        <f t="shared" ref="AC222:AC223" si="1173">AB222</f>
        <v>0</v>
      </c>
      <c r="AD222" s="319">
        <f t="shared" ref="AD222:AD223" si="1174">AC222</f>
        <v>0</v>
      </c>
      <c r="AE222" s="319">
        <f t="shared" ref="AE222:AE223" si="1175">AD222</f>
        <v>0</v>
      </c>
      <c r="AF222" s="319">
        <f t="shared" ref="AF222:AF223" si="1176">AE222</f>
        <v>0</v>
      </c>
      <c r="AG222" s="319">
        <f t="shared" ref="AG222:AG223" si="1177">AF222</f>
        <v>0</v>
      </c>
      <c r="AH222" s="319">
        <f t="shared" ref="AH222:AH223" si="1178">AG222</f>
        <v>0</v>
      </c>
      <c r="AI222" s="319">
        <f t="shared" ref="AI222:AI223" si="1179">AH222</f>
        <v>0</v>
      </c>
      <c r="AJ222" s="319">
        <f t="shared" ref="AJ222:AJ223" si="1180">AI222</f>
        <v>0</v>
      </c>
      <c r="AK222" s="319">
        <f t="shared" ref="AK222:AK223" si="1181">AJ222</f>
        <v>0</v>
      </c>
      <c r="AL222" s="319">
        <f t="shared" ref="AL222:AL223" si="1182">AK222</f>
        <v>0</v>
      </c>
      <c r="AM222" s="319">
        <f t="shared" ref="AM222:AM223" si="1183">AL222</f>
        <v>0</v>
      </c>
      <c r="AN222" s="319">
        <f t="shared" ref="AN222:AN223" si="1184">AM222</f>
        <v>0</v>
      </c>
      <c r="AO222" s="319">
        <f t="shared" ref="AO222:AO223" si="1185">AN222</f>
        <v>0</v>
      </c>
      <c r="AP222" s="319">
        <f t="shared" ref="AP222:AP223" si="1186">AO222</f>
        <v>0</v>
      </c>
      <c r="AQ222" s="319">
        <f t="shared" ref="AQ222:AQ223" si="1187">AP222</f>
        <v>0</v>
      </c>
      <c r="AR222" s="319">
        <f t="shared" ref="AR222:AR223" si="1188">AQ222</f>
        <v>0</v>
      </c>
      <c r="AS222" s="319">
        <f t="shared" ref="AS222:AS223" si="1189">AR222</f>
        <v>0</v>
      </c>
      <c r="AT222" s="319">
        <f t="shared" ref="AT222:AT223" si="1190">AS222</f>
        <v>0</v>
      </c>
      <c r="AU222" s="319">
        <f t="shared" ref="AU222:AU223" si="1191">AT222</f>
        <v>0</v>
      </c>
      <c r="AV222" s="319">
        <f t="shared" ref="AV222:AV223" si="1192">AU222</f>
        <v>0</v>
      </c>
      <c r="AW222" s="180"/>
      <c r="AX222" s="87"/>
    </row>
    <row r="223" spans="1:50" hidden="1" outlineLevel="1" x14ac:dyDescent="0.2">
      <c r="A223" s="179" t="str">
        <f ca="1">Language!A$606</f>
        <v>ставка акцизов, в процентах</v>
      </c>
      <c r="B223" s="84"/>
      <c r="C223" s="82" t="s">
        <v>1</v>
      </c>
      <c r="D223" s="66"/>
      <c r="F223" s="57" t="s">
        <v>756</v>
      </c>
      <c r="G223" s="321">
        <v>0</v>
      </c>
      <c r="H223" s="321">
        <f t="shared" si="1152"/>
        <v>0</v>
      </c>
      <c r="I223" s="321">
        <f t="shared" si="1153"/>
        <v>0</v>
      </c>
      <c r="J223" s="321">
        <f t="shared" si="1154"/>
        <v>0</v>
      </c>
      <c r="K223" s="321">
        <f t="shared" si="1155"/>
        <v>0</v>
      </c>
      <c r="L223" s="321">
        <f t="shared" si="1156"/>
        <v>0</v>
      </c>
      <c r="M223" s="321">
        <f t="shared" si="1157"/>
        <v>0</v>
      </c>
      <c r="N223" s="321">
        <f t="shared" si="1158"/>
        <v>0</v>
      </c>
      <c r="O223" s="321">
        <f t="shared" si="1159"/>
        <v>0</v>
      </c>
      <c r="P223" s="321">
        <f t="shared" si="1160"/>
        <v>0</v>
      </c>
      <c r="Q223" s="321">
        <f t="shared" si="1161"/>
        <v>0</v>
      </c>
      <c r="R223" s="321">
        <f t="shared" si="1162"/>
        <v>0</v>
      </c>
      <c r="S223" s="321">
        <f t="shared" si="1163"/>
        <v>0</v>
      </c>
      <c r="T223" s="321">
        <f t="shared" si="1164"/>
        <v>0</v>
      </c>
      <c r="U223" s="321">
        <f t="shared" si="1165"/>
        <v>0</v>
      </c>
      <c r="V223" s="321">
        <f t="shared" si="1166"/>
        <v>0</v>
      </c>
      <c r="W223" s="321">
        <f t="shared" si="1167"/>
        <v>0</v>
      </c>
      <c r="X223" s="321">
        <f t="shared" si="1168"/>
        <v>0</v>
      </c>
      <c r="Y223" s="321">
        <f t="shared" si="1169"/>
        <v>0</v>
      </c>
      <c r="Z223" s="321">
        <f t="shared" si="1170"/>
        <v>0</v>
      </c>
      <c r="AA223" s="321">
        <f t="shared" si="1171"/>
        <v>0</v>
      </c>
      <c r="AB223" s="321">
        <f t="shared" si="1172"/>
        <v>0</v>
      </c>
      <c r="AC223" s="321">
        <f t="shared" si="1173"/>
        <v>0</v>
      </c>
      <c r="AD223" s="321">
        <f t="shared" si="1174"/>
        <v>0</v>
      </c>
      <c r="AE223" s="321">
        <f t="shared" si="1175"/>
        <v>0</v>
      </c>
      <c r="AF223" s="321">
        <f t="shared" si="1176"/>
        <v>0</v>
      </c>
      <c r="AG223" s="321">
        <f t="shared" si="1177"/>
        <v>0</v>
      </c>
      <c r="AH223" s="321">
        <f t="shared" si="1178"/>
        <v>0</v>
      </c>
      <c r="AI223" s="321">
        <f t="shared" si="1179"/>
        <v>0</v>
      </c>
      <c r="AJ223" s="321">
        <f t="shared" si="1180"/>
        <v>0</v>
      </c>
      <c r="AK223" s="321">
        <f t="shared" si="1181"/>
        <v>0</v>
      </c>
      <c r="AL223" s="321">
        <f t="shared" si="1182"/>
        <v>0</v>
      </c>
      <c r="AM223" s="321">
        <f t="shared" si="1183"/>
        <v>0</v>
      </c>
      <c r="AN223" s="321">
        <f t="shared" si="1184"/>
        <v>0</v>
      </c>
      <c r="AO223" s="321">
        <f t="shared" si="1185"/>
        <v>0</v>
      </c>
      <c r="AP223" s="321">
        <f t="shared" si="1186"/>
        <v>0</v>
      </c>
      <c r="AQ223" s="321">
        <f t="shared" si="1187"/>
        <v>0</v>
      </c>
      <c r="AR223" s="321">
        <f t="shared" si="1188"/>
        <v>0</v>
      </c>
      <c r="AS223" s="321">
        <f t="shared" si="1189"/>
        <v>0</v>
      </c>
      <c r="AT223" s="321">
        <f t="shared" si="1190"/>
        <v>0</v>
      </c>
      <c r="AU223" s="321">
        <f t="shared" si="1191"/>
        <v>0</v>
      </c>
      <c r="AV223" s="321">
        <f t="shared" si="1192"/>
        <v>0</v>
      </c>
      <c r="AW223" s="183"/>
      <c r="AX223" s="87"/>
    </row>
    <row r="224" spans="1:50" hidden="1" outlineLevel="1" x14ac:dyDescent="0.2">
      <c r="A224" s="179" t="str">
        <f ca="1">Language!A$607</f>
        <v>коэффициент прироста цен к предыдущему периоду</v>
      </c>
      <c r="B224" s="84"/>
      <c r="C224" s="82" t="str">
        <f ca="1">Language!$A$1449</f>
        <v>раз</v>
      </c>
      <c r="D224" s="66"/>
      <c r="F224" s="57" t="s">
        <v>756</v>
      </c>
      <c r="G224" s="86">
        <f ca="1">IF(G$2=1,1,IF(Prj_Inflation=1,POWER(1+OFFSET(G220,0,-1),Параметры!G$30/360),1))</f>
        <v>1</v>
      </c>
      <c r="H224" s="86">
        <f ca="1">IF(H$2=1,1,IF(Prj_Inflation=1,POWER(1+OFFSET(H220,0,-1),Параметры!H$30/360),1))</f>
        <v>1.0146738461686593</v>
      </c>
      <c r="I224" s="86">
        <f ca="1">IF(I$2=1,1,IF(Prj_Inflation=1,POWER(1+OFFSET(I220,0,-1),Параметры!I$30/360),1))</f>
        <v>1.0146738461686593</v>
      </c>
      <c r="J224" s="86">
        <f ca="1">IF(J$2=1,1,IF(Prj_Inflation=1,POWER(1+OFFSET(J220,0,-1),Параметры!J$30/360),1))</f>
        <v>1.0146738461686593</v>
      </c>
      <c r="K224" s="86">
        <f ca="1">IF(K$2=1,1,IF(Prj_Inflation=1,POWER(1+OFFSET(K220,0,-1),Параметры!K$30/360),1))</f>
        <v>1.0146738461686593</v>
      </c>
      <c r="L224" s="86">
        <f ca="1">IF(L$2=1,1,IF(Prj_Inflation=1,POWER(1+OFFSET(L220,0,-1),Параметры!L$30/360),1))</f>
        <v>1.0146738461686593</v>
      </c>
      <c r="M224" s="86">
        <f ca="1">IF(M$2=1,1,IF(Prj_Inflation=1,POWER(1+OFFSET(M220,0,-1),Параметры!M$30/360),1))</f>
        <v>1.0146738461686593</v>
      </c>
      <c r="N224" s="86">
        <f ca="1">IF(N$2=1,1,IF(Prj_Inflation=1,POWER(1+OFFSET(N220,0,-1),Параметры!N$30/360),1))</f>
        <v>1.0146738461686593</v>
      </c>
      <c r="O224" s="86">
        <f ca="1">IF(O$2=1,1,IF(Prj_Inflation=1,POWER(1+OFFSET(O220,0,-1),Параметры!O$30/360),1))</f>
        <v>1.0146738461686593</v>
      </c>
      <c r="P224" s="86">
        <f ca="1">IF(P$2=1,1,IF(Prj_Inflation=1,POWER(1+OFFSET(P220,0,-1),Параметры!P$30/360),1))</f>
        <v>1.0146738461686593</v>
      </c>
      <c r="Q224" s="86">
        <f ca="1">IF(Q$2=1,1,IF(Prj_Inflation=1,POWER(1+OFFSET(Q220,0,-1),Параметры!Q$30/360),1))</f>
        <v>1.0146738461686593</v>
      </c>
      <c r="R224" s="86">
        <f ca="1">IF(R$2=1,1,IF(Prj_Inflation=1,POWER(1+OFFSET(R220,0,-1),Параметры!R$30/360),1))</f>
        <v>1.0146738461686593</v>
      </c>
      <c r="S224" s="86">
        <f ca="1">IF(S$2=1,1,IF(Prj_Inflation=1,POWER(1+OFFSET(S220,0,-1),Параметры!S$30/360),1))</f>
        <v>1.0146738461686593</v>
      </c>
      <c r="T224" s="86">
        <f ca="1">IF(T$2=1,1,IF(Prj_Inflation=1,POWER(1+OFFSET(T220,0,-1),Параметры!T$30/360),1))</f>
        <v>1.0146738461686593</v>
      </c>
      <c r="U224" s="86">
        <f ca="1">IF(U$2=1,1,IF(Prj_Inflation=1,POWER(1+OFFSET(U220,0,-1),Параметры!U$30/360),1))</f>
        <v>1.0146738461686593</v>
      </c>
      <c r="V224" s="86">
        <f ca="1">IF(V$2=1,1,IF(Prj_Inflation=1,POWER(1+OFFSET(V220,0,-1),Параметры!V$30/360),1))</f>
        <v>1.0146738461686593</v>
      </c>
      <c r="W224" s="86">
        <f ca="1">IF(W$2=1,1,IF(Prj_Inflation=1,POWER(1+OFFSET(W220,0,-1),Параметры!W$30/360),1))</f>
        <v>1.0146738461686593</v>
      </c>
      <c r="X224" s="86">
        <f ca="1">IF(X$2=1,1,IF(Prj_Inflation=1,POWER(1+OFFSET(X220,0,-1),Параметры!X$30/360),1))</f>
        <v>1.0146738461686593</v>
      </c>
      <c r="Y224" s="86">
        <f ca="1">IF(Y$2=1,1,IF(Prj_Inflation=1,POWER(1+OFFSET(Y220,0,-1),Параметры!Y$30/360),1))</f>
        <v>1.0146738461686593</v>
      </c>
      <c r="Z224" s="86">
        <f ca="1">IF(Z$2=1,1,IF(Prj_Inflation=1,POWER(1+OFFSET(Z220,0,-1),Параметры!Z$30/360),1))</f>
        <v>1.0146738461686593</v>
      </c>
      <c r="AA224" s="86">
        <f ca="1">IF(AA$2=1,1,IF(Prj_Inflation=1,POWER(1+OFFSET(AA220,0,-1),Параметры!AA$30/360),1))</f>
        <v>1.0146738461686593</v>
      </c>
      <c r="AB224" s="86">
        <f ca="1">IF(AB$2=1,1,IF(Prj_Inflation=1,POWER(1+OFFSET(AB220,0,-1),Параметры!AB$30/360),1))</f>
        <v>1.0146738461686593</v>
      </c>
      <c r="AC224" s="86">
        <f ca="1">IF(AC$2=1,1,IF(Prj_Inflation=1,POWER(1+OFFSET(AC220,0,-1),Параметры!AC$30/360),1))</f>
        <v>1.0146738461686593</v>
      </c>
      <c r="AD224" s="86">
        <f ca="1">IF(AD$2=1,1,IF(Prj_Inflation=1,POWER(1+OFFSET(AD220,0,-1),Параметры!AD$30/360),1))</f>
        <v>1.0146738461686593</v>
      </c>
      <c r="AE224" s="86">
        <f ca="1">IF(AE$2=1,1,IF(Prj_Inflation=1,POWER(1+OFFSET(AE220,0,-1),Параметры!AE$30/360),1))</f>
        <v>1.0146738461686593</v>
      </c>
      <c r="AF224" s="86">
        <f ca="1">IF(AF$2=1,1,IF(Prj_Inflation=1,POWER(1+OFFSET(AF220,0,-1),Параметры!AF$30/360),1))</f>
        <v>1.0146738461686593</v>
      </c>
      <c r="AG224" s="86">
        <f ca="1">IF(AG$2=1,1,IF(Prj_Inflation=1,POWER(1+OFFSET(AG220,0,-1),Параметры!AG$30/360),1))</f>
        <v>1.0146738461686593</v>
      </c>
      <c r="AH224" s="86">
        <f ca="1">IF(AH$2=1,1,IF(Prj_Inflation=1,POWER(1+OFFSET(AH220,0,-1),Параметры!AH$30/360),1))</f>
        <v>1.0146738461686593</v>
      </c>
      <c r="AI224" s="86">
        <f ca="1">IF(AI$2=1,1,IF(Prj_Inflation=1,POWER(1+OFFSET(AI220,0,-1),Параметры!AI$30/360),1))</f>
        <v>1.0146738461686593</v>
      </c>
      <c r="AJ224" s="86">
        <f ca="1">IF(AJ$2=1,1,IF(Prj_Inflation=1,POWER(1+OFFSET(AJ220,0,-1),Параметры!AJ$30/360),1))</f>
        <v>1.0146738461686593</v>
      </c>
      <c r="AK224" s="86">
        <f ca="1">IF(AK$2=1,1,IF(Prj_Inflation=1,POWER(1+OFFSET(AK220,0,-1),Параметры!AK$30/360),1))</f>
        <v>1.0146738461686593</v>
      </c>
      <c r="AL224" s="86">
        <f ca="1">IF(AL$2=1,1,IF(Prj_Inflation=1,POWER(1+OFFSET(AL220,0,-1),Параметры!AL$30/360),1))</f>
        <v>1.0146738461686593</v>
      </c>
      <c r="AM224" s="86">
        <f ca="1">IF(AM$2=1,1,IF(Prj_Inflation=1,POWER(1+OFFSET(AM220,0,-1),Параметры!AM$30/360),1))</f>
        <v>1.0146738461686593</v>
      </c>
      <c r="AN224" s="86">
        <f ca="1">IF(AN$2=1,1,IF(Prj_Inflation=1,POWER(1+OFFSET(AN220,0,-1),Параметры!AN$30/360),1))</f>
        <v>1.0146738461686593</v>
      </c>
      <c r="AO224" s="86">
        <f ca="1">IF(AO$2=1,1,IF(Prj_Inflation=1,POWER(1+OFFSET(AO220,0,-1),Параметры!AO$30/360),1))</f>
        <v>1.0146738461686593</v>
      </c>
      <c r="AP224" s="86">
        <f ca="1">IF(AP$2=1,1,IF(Prj_Inflation=1,POWER(1+OFFSET(AP220,0,-1),Параметры!AP$30/360),1))</f>
        <v>1.0146738461686593</v>
      </c>
      <c r="AQ224" s="86">
        <f ca="1">IF(AQ$2=1,1,IF(Prj_Inflation=1,POWER(1+OFFSET(AQ220,0,-1),Параметры!AQ$30/360),1))</f>
        <v>1.0146738461686593</v>
      </c>
      <c r="AR224" s="86">
        <f ca="1">IF(AR$2=1,1,IF(Prj_Inflation=1,POWER(1+OFFSET(AR220,0,-1),Параметры!AR$30/360),1))</f>
        <v>1.0146738461686593</v>
      </c>
      <c r="AS224" s="86">
        <f ca="1">IF(AS$2=1,1,IF(Prj_Inflation=1,POWER(1+OFFSET(AS220,0,-1),Параметры!AS$30/360),1))</f>
        <v>1.0146738461686593</v>
      </c>
      <c r="AT224" s="86">
        <f ca="1">IF(AT$2=1,1,IF(Prj_Inflation=1,POWER(1+OFFSET(AT220,0,-1),Параметры!AT$30/360),1))</f>
        <v>1.0146738461686593</v>
      </c>
      <c r="AU224" s="86">
        <f ca="1">IF(AU$2=1,1,IF(Prj_Inflation=1,POWER(1+OFFSET(AU220,0,-1),Параметры!AU$30/360),1))</f>
        <v>1.0146738461686593</v>
      </c>
      <c r="AV224" s="86">
        <f ca="1">IF(AV$2=1,1,IF(Prj_Inflation=1,POWER(1+OFFSET(AV220,0,-1),Параметры!AV$30/360),1))</f>
        <v>1.0146738461686593</v>
      </c>
      <c r="AW224" s="86"/>
      <c r="AX224" s="87"/>
    </row>
    <row r="225" spans="1:50" hidden="1" outlineLevel="1" x14ac:dyDescent="0.2">
      <c r="A225" s="179" t="str">
        <f ca="1">Language!A$608</f>
        <v>акцизы начисленные</v>
      </c>
      <c r="B225" s="66"/>
      <c r="C225" s="82" t="str">
        <f ca="1">CHOOSE(D225,CurName1,CurName2,CurName3)</f>
        <v>тыс. руб.</v>
      </c>
      <c r="D225" s="155">
        <f>D210</f>
        <v>1</v>
      </c>
      <c r="E225" s="57" t="s">
        <v>996</v>
      </c>
      <c r="F225" s="57" t="s">
        <v>753</v>
      </c>
      <c r="G225" s="185">
        <f t="shared" ref="G225:AV225" ca="1" si="1193">G214*G223+G212*G222</f>
        <v>0</v>
      </c>
      <c r="H225" s="185">
        <f t="shared" ca="1" si="1193"/>
        <v>0</v>
      </c>
      <c r="I225" s="185">
        <f t="shared" ca="1" si="1193"/>
        <v>0</v>
      </c>
      <c r="J225" s="185">
        <f t="shared" ca="1" si="1193"/>
        <v>0</v>
      </c>
      <c r="K225" s="185">
        <f t="shared" ca="1" si="1193"/>
        <v>0</v>
      </c>
      <c r="L225" s="185">
        <f t="shared" ca="1" si="1193"/>
        <v>0</v>
      </c>
      <c r="M225" s="185">
        <f t="shared" ca="1" si="1193"/>
        <v>0</v>
      </c>
      <c r="N225" s="185">
        <f t="shared" ca="1" si="1193"/>
        <v>0</v>
      </c>
      <c r="O225" s="185">
        <f t="shared" ca="1" si="1193"/>
        <v>0</v>
      </c>
      <c r="P225" s="185">
        <f t="shared" ca="1" si="1193"/>
        <v>0</v>
      </c>
      <c r="Q225" s="185">
        <f t="shared" ca="1" si="1193"/>
        <v>0</v>
      </c>
      <c r="R225" s="185">
        <f t="shared" ca="1" si="1193"/>
        <v>0</v>
      </c>
      <c r="S225" s="185">
        <f t="shared" ca="1" si="1193"/>
        <v>0</v>
      </c>
      <c r="T225" s="185">
        <f t="shared" ca="1" si="1193"/>
        <v>0</v>
      </c>
      <c r="U225" s="185">
        <f t="shared" ca="1" si="1193"/>
        <v>0</v>
      </c>
      <c r="V225" s="185">
        <f t="shared" ca="1" si="1193"/>
        <v>0</v>
      </c>
      <c r="W225" s="185">
        <f t="shared" ca="1" si="1193"/>
        <v>0</v>
      </c>
      <c r="X225" s="185">
        <f t="shared" ca="1" si="1193"/>
        <v>0</v>
      </c>
      <c r="Y225" s="185">
        <f t="shared" ca="1" si="1193"/>
        <v>0</v>
      </c>
      <c r="Z225" s="185">
        <f t="shared" ca="1" si="1193"/>
        <v>0</v>
      </c>
      <c r="AA225" s="185">
        <f t="shared" ca="1" si="1193"/>
        <v>0</v>
      </c>
      <c r="AB225" s="185">
        <f t="shared" ca="1" si="1193"/>
        <v>0</v>
      </c>
      <c r="AC225" s="185">
        <f t="shared" ca="1" si="1193"/>
        <v>0</v>
      </c>
      <c r="AD225" s="185">
        <f t="shared" ca="1" si="1193"/>
        <v>0</v>
      </c>
      <c r="AE225" s="185">
        <f t="shared" ca="1" si="1193"/>
        <v>0</v>
      </c>
      <c r="AF225" s="185">
        <f t="shared" ca="1" si="1193"/>
        <v>0</v>
      </c>
      <c r="AG225" s="185">
        <f t="shared" ca="1" si="1193"/>
        <v>0</v>
      </c>
      <c r="AH225" s="185">
        <f t="shared" ca="1" si="1193"/>
        <v>0</v>
      </c>
      <c r="AI225" s="185">
        <f t="shared" ca="1" si="1193"/>
        <v>0</v>
      </c>
      <c r="AJ225" s="185">
        <f t="shared" ca="1" si="1193"/>
        <v>0</v>
      </c>
      <c r="AK225" s="185">
        <f t="shared" ca="1" si="1193"/>
        <v>0</v>
      </c>
      <c r="AL225" s="185">
        <f t="shared" ca="1" si="1193"/>
        <v>0</v>
      </c>
      <c r="AM225" s="185">
        <f t="shared" ca="1" si="1193"/>
        <v>0</v>
      </c>
      <c r="AN225" s="185">
        <f t="shared" ca="1" si="1193"/>
        <v>0</v>
      </c>
      <c r="AO225" s="185">
        <f t="shared" ca="1" si="1193"/>
        <v>0</v>
      </c>
      <c r="AP225" s="185">
        <f t="shared" ca="1" si="1193"/>
        <v>0</v>
      </c>
      <c r="AQ225" s="185">
        <f t="shared" ca="1" si="1193"/>
        <v>0</v>
      </c>
      <c r="AR225" s="185">
        <f t="shared" ca="1" si="1193"/>
        <v>0</v>
      </c>
      <c r="AS225" s="185">
        <f t="shared" ca="1" si="1193"/>
        <v>0</v>
      </c>
      <c r="AT225" s="185">
        <f t="shared" ca="1" si="1193"/>
        <v>0</v>
      </c>
      <c r="AU225" s="185">
        <f t="shared" ca="1" si="1193"/>
        <v>0</v>
      </c>
      <c r="AV225" s="185">
        <f t="shared" ca="1" si="1193"/>
        <v>0</v>
      </c>
      <c r="AW225" s="180"/>
      <c r="AX225" s="169">
        <f ca="1">SUM(G225:AW225)</f>
        <v>0</v>
      </c>
    </row>
    <row r="226" spans="1:50" hidden="1" outlineLevel="1" x14ac:dyDescent="0.2">
      <c r="A226" s="179" t="str">
        <f ca="1">Language!A$609</f>
        <v>НДС начисленный</v>
      </c>
      <c r="B226" s="66"/>
      <c r="C226" s="82" t="str">
        <f ca="1">CHOOSE(D226,CurName1,CurName2,CurName3)</f>
        <v>тыс. руб.</v>
      </c>
      <c r="D226" s="155">
        <f>D210</f>
        <v>1</v>
      </c>
      <c r="E226" s="57" t="s">
        <v>789</v>
      </c>
      <c r="F226" s="57" t="s">
        <v>753</v>
      </c>
      <c r="G226" s="185">
        <f t="shared" ref="G226:AV226" ca="1" si="1194">(G214+G225)*G221</f>
        <v>117.99999999999999</v>
      </c>
      <c r="H226" s="185">
        <f t="shared" ca="1" si="1194"/>
        <v>538.79181231555799</v>
      </c>
      <c r="I226" s="185">
        <f t="shared" ca="1" si="1194"/>
        <v>1093.3959209728193</v>
      </c>
      <c r="J226" s="185">
        <f t="shared" ca="1" si="1194"/>
        <v>1540.8892284980752</v>
      </c>
      <c r="K226" s="185">
        <f t="shared" ca="1" si="1194"/>
        <v>1876.2000000000003</v>
      </c>
      <c r="L226" s="185">
        <f t="shared" ca="1" si="1194"/>
        <v>2221.0195818785783</v>
      </c>
      <c r="M226" s="185">
        <f t="shared" ca="1" si="1194"/>
        <v>2575.5548360693078</v>
      </c>
      <c r="N226" s="185">
        <f t="shared" ca="1" si="1194"/>
        <v>2940.016647974327</v>
      </c>
      <c r="O226" s="185">
        <f t="shared" ca="1" si="1194"/>
        <v>3314.6199999999994</v>
      </c>
      <c r="P226" s="185">
        <f t="shared" ca="1" si="1194"/>
        <v>3699.5840463863174</v>
      </c>
      <c r="Q226" s="185">
        <f t="shared" ca="1" si="1194"/>
        <v>3753.8711735710162</v>
      </c>
      <c r="R226" s="185">
        <f t="shared" ca="1" si="1194"/>
        <v>3808.9549017089621</v>
      </c>
      <c r="S226" s="185">
        <f t="shared" ca="1" si="1194"/>
        <v>3864.8469200000004</v>
      </c>
      <c r="T226" s="185">
        <f t="shared" ca="1" si="1194"/>
        <v>3921.5590891694974</v>
      </c>
      <c r="U226" s="185">
        <f t="shared" ca="1" si="1194"/>
        <v>3979.1034439852779</v>
      </c>
      <c r="V226" s="185">
        <f t="shared" ca="1" si="1194"/>
        <v>4037.4921958115001</v>
      </c>
      <c r="W226" s="185">
        <f t="shared" ca="1" si="1194"/>
        <v>4096.7377352000003</v>
      </c>
      <c r="X226" s="185">
        <f t="shared" ca="1" si="1194"/>
        <v>4156.8526345196669</v>
      </c>
      <c r="Y226" s="185">
        <f t="shared" ca="1" si="1194"/>
        <v>4217.8496506243937</v>
      </c>
      <c r="Z226" s="185">
        <f t="shared" ca="1" si="1194"/>
        <v>4279.7417275601902</v>
      </c>
      <c r="AA226" s="185">
        <f t="shared" ca="1" si="1194"/>
        <v>4342.5419993120004</v>
      </c>
      <c r="AB226" s="185">
        <f t="shared" ca="1" si="1194"/>
        <v>4406.2637925908466</v>
      </c>
      <c r="AC226" s="185">
        <f t="shared" ca="1" si="1194"/>
        <v>4470.9206296618577</v>
      </c>
      <c r="AD226" s="185">
        <f t="shared" ca="1" si="1194"/>
        <v>4536.526231213802</v>
      </c>
      <c r="AE226" s="185">
        <f t="shared" ca="1" si="1194"/>
        <v>4603.0945192707204</v>
      </c>
      <c r="AF226" s="185">
        <f t="shared" ca="1" si="1194"/>
        <v>4670.6396201462985</v>
      </c>
      <c r="AG226" s="185">
        <f t="shared" ca="1" si="1194"/>
        <v>4739.1758674415705</v>
      </c>
      <c r="AH226" s="185">
        <f t="shared" ca="1" si="1194"/>
        <v>4808.7178050866314</v>
      </c>
      <c r="AI226" s="185">
        <f t="shared" ca="1" si="1194"/>
        <v>4879.2801904269654</v>
      </c>
      <c r="AJ226" s="185">
        <f t="shared" ca="1" si="1194"/>
        <v>4950.8779973550772</v>
      </c>
      <c r="AK226" s="185">
        <f t="shared" ca="1" si="1194"/>
        <v>5023.5264194880656</v>
      </c>
      <c r="AL226" s="185">
        <f t="shared" ca="1" si="1194"/>
        <v>5097.2408733918292</v>
      </c>
      <c r="AM226" s="185">
        <f t="shared" ca="1" si="1194"/>
        <v>5172.0370018525837</v>
      </c>
      <c r="AN226" s="185">
        <f t="shared" ca="1" si="1194"/>
        <v>5247.930677196382</v>
      </c>
      <c r="AO226" s="185">
        <f t="shared" ca="1" si="1194"/>
        <v>5324.9380046573506</v>
      </c>
      <c r="AP226" s="185">
        <f t="shared" ca="1" si="1194"/>
        <v>5403.0753257953402</v>
      </c>
      <c r="AQ226" s="185">
        <f t="shared" ca="1" si="1194"/>
        <v>5482.3592219637403</v>
      </c>
      <c r="AR226" s="185">
        <f t="shared" ca="1" si="1194"/>
        <v>5562.8065178281668</v>
      </c>
      <c r="AS226" s="185">
        <f t="shared" ca="1" si="1194"/>
        <v>5644.4342849367922</v>
      </c>
      <c r="AT226" s="185">
        <f t="shared" ca="1" si="1194"/>
        <v>5727.2598453430619</v>
      </c>
      <c r="AU226" s="185">
        <f t="shared" ca="1" si="1194"/>
        <v>5811.3007752815656</v>
      </c>
      <c r="AV226" s="185">
        <f t="shared" ca="1" si="1194"/>
        <v>5896.5749088978582</v>
      </c>
      <c r="AW226" s="180"/>
      <c r="AX226" s="169">
        <f ca="1">SUM(G226:AW226)</f>
        <v>171836.604055384</v>
      </c>
    </row>
    <row r="227" spans="1:50" hidden="1" outlineLevel="1" x14ac:dyDescent="0.2">
      <c r="A227" s="179" t="str">
        <f ca="1">Language!A$610</f>
        <v>НДС полученный с авансов</v>
      </c>
      <c r="B227" s="66"/>
      <c r="C227" s="82" t="str">
        <f ca="1">CHOOSE(D227,CurName1,CurName2,CurName3)</f>
        <v>тыс. руб.</v>
      </c>
      <c r="D227" s="155">
        <f>D210</f>
        <v>1</v>
      </c>
      <c r="E227" s="57" t="s">
        <v>1450</v>
      </c>
      <c r="F227" s="57" t="s">
        <v>753</v>
      </c>
      <c r="G227" s="185">
        <f ca="1">G217*G221/(1+G221)</f>
        <v>0</v>
      </c>
      <c r="H227" s="185">
        <f t="shared" ref="H227:AV227" ca="1" si="1195">H217*H221/(1+H221)</f>
        <v>0</v>
      </c>
      <c r="I227" s="185">
        <f t="shared" ca="1" si="1195"/>
        <v>0</v>
      </c>
      <c r="J227" s="185">
        <f t="shared" ca="1" si="1195"/>
        <v>0</v>
      </c>
      <c r="K227" s="185">
        <f t="shared" ca="1" si="1195"/>
        <v>0</v>
      </c>
      <c r="L227" s="185">
        <f t="shared" ca="1" si="1195"/>
        <v>0</v>
      </c>
      <c r="M227" s="185">
        <f t="shared" ca="1" si="1195"/>
        <v>0</v>
      </c>
      <c r="N227" s="185">
        <f t="shared" ca="1" si="1195"/>
        <v>0</v>
      </c>
      <c r="O227" s="185">
        <f t="shared" ca="1" si="1195"/>
        <v>0</v>
      </c>
      <c r="P227" s="185">
        <f t="shared" ca="1" si="1195"/>
        <v>0</v>
      </c>
      <c r="Q227" s="185">
        <f t="shared" ca="1" si="1195"/>
        <v>0</v>
      </c>
      <c r="R227" s="185">
        <f t="shared" ca="1" si="1195"/>
        <v>0</v>
      </c>
      <c r="S227" s="185">
        <f t="shared" ca="1" si="1195"/>
        <v>0</v>
      </c>
      <c r="T227" s="185">
        <f t="shared" ca="1" si="1195"/>
        <v>0</v>
      </c>
      <c r="U227" s="185">
        <f t="shared" ca="1" si="1195"/>
        <v>0</v>
      </c>
      <c r="V227" s="185">
        <f t="shared" ca="1" si="1195"/>
        <v>0</v>
      </c>
      <c r="W227" s="185">
        <f t="shared" ca="1" si="1195"/>
        <v>0</v>
      </c>
      <c r="X227" s="185">
        <f t="shared" ca="1" si="1195"/>
        <v>0</v>
      </c>
      <c r="Y227" s="185">
        <f t="shared" ca="1" si="1195"/>
        <v>0</v>
      </c>
      <c r="Z227" s="185">
        <f t="shared" ca="1" si="1195"/>
        <v>0</v>
      </c>
      <c r="AA227" s="185">
        <f t="shared" ca="1" si="1195"/>
        <v>0</v>
      </c>
      <c r="AB227" s="185">
        <f t="shared" ca="1" si="1195"/>
        <v>0</v>
      </c>
      <c r="AC227" s="185">
        <f t="shared" ca="1" si="1195"/>
        <v>0</v>
      </c>
      <c r="AD227" s="185">
        <f t="shared" ca="1" si="1195"/>
        <v>0</v>
      </c>
      <c r="AE227" s="185">
        <f t="shared" ca="1" si="1195"/>
        <v>0</v>
      </c>
      <c r="AF227" s="185">
        <f t="shared" ca="1" si="1195"/>
        <v>0</v>
      </c>
      <c r="AG227" s="185">
        <f t="shared" ca="1" si="1195"/>
        <v>0</v>
      </c>
      <c r="AH227" s="185">
        <f t="shared" ca="1" si="1195"/>
        <v>0</v>
      </c>
      <c r="AI227" s="185">
        <f t="shared" ca="1" si="1195"/>
        <v>0</v>
      </c>
      <c r="AJ227" s="185">
        <f t="shared" ca="1" si="1195"/>
        <v>0</v>
      </c>
      <c r="AK227" s="185">
        <f t="shared" ca="1" si="1195"/>
        <v>0</v>
      </c>
      <c r="AL227" s="185">
        <f t="shared" ca="1" si="1195"/>
        <v>0</v>
      </c>
      <c r="AM227" s="185">
        <f t="shared" ca="1" si="1195"/>
        <v>0</v>
      </c>
      <c r="AN227" s="185">
        <f t="shared" ca="1" si="1195"/>
        <v>0</v>
      </c>
      <c r="AO227" s="185">
        <f t="shared" ca="1" si="1195"/>
        <v>0</v>
      </c>
      <c r="AP227" s="185">
        <f t="shared" ca="1" si="1195"/>
        <v>0</v>
      </c>
      <c r="AQ227" s="185">
        <f t="shared" ca="1" si="1195"/>
        <v>0</v>
      </c>
      <c r="AR227" s="185">
        <f t="shared" ca="1" si="1195"/>
        <v>0</v>
      </c>
      <c r="AS227" s="185">
        <f t="shared" ca="1" si="1195"/>
        <v>0</v>
      </c>
      <c r="AT227" s="185">
        <f t="shared" ca="1" si="1195"/>
        <v>0</v>
      </c>
      <c r="AU227" s="185">
        <f t="shared" ca="1" si="1195"/>
        <v>0</v>
      </c>
      <c r="AV227" s="185">
        <f t="shared" ca="1" si="1195"/>
        <v>0</v>
      </c>
      <c r="AW227" s="180"/>
      <c r="AX227" s="169">
        <f ca="1">SUM(G227:AW227)</f>
        <v>0</v>
      </c>
    </row>
    <row r="228" spans="1:50" x14ac:dyDescent="0.2">
      <c r="A228" s="317" t="s">
        <v>2293</v>
      </c>
      <c r="B228" s="102"/>
      <c r="C228" s="166"/>
      <c r="D228" s="158">
        <v>1</v>
      </c>
      <c r="F228" s="57" t="s">
        <v>2284</v>
      </c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150"/>
    </row>
    <row r="229" spans="1:50" hidden="1" x14ac:dyDescent="0.2">
      <c r="A229" s="172" t="str">
        <f ca="1">Language!A$594</f>
        <v>коэффициент загрузки</v>
      </c>
      <c r="B229" s="173"/>
      <c r="C229" s="173"/>
      <c r="D229" s="174"/>
      <c r="F229" s="57" t="s">
        <v>756</v>
      </c>
      <c r="G229" s="318">
        <f t="shared" ref="G229:AV229" si="1196">IF(G$2&gt;Prj_Invest,1,0)</f>
        <v>1</v>
      </c>
      <c r="H229" s="318">
        <f t="shared" si="1196"/>
        <v>1</v>
      </c>
      <c r="I229" s="318">
        <f t="shared" si="1196"/>
        <v>1</v>
      </c>
      <c r="J229" s="318">
        <f t="shared" si="1196"/>
        <v>1</v>
      </c>
      <c r="K229" s="318">
        <f t="shared" si="1196"/>
        <v>1</v>
      </c>
      <c r="L229" s="318">
        <f t="shared" si="1196"/>
        <v>1</v>
      </c>
      <c r="M229" s="318">
        <f t="shared" si="1196"/>
        <v>1</v>
      </c>
      <c r="N229" s="318">
        <f t="shared" si="1196"/>
        <v>1</v>
      </c>
      <c r="O229" s="318">
        <f t="shared" si="1196"/>
        <v>1</v>
      </c>
      <c r="P229" s="318">
        <f t="shared" si="1196"/>
        <v>1</v>
      </c>
      <c r="Q229" s="318">
        <f t="shared" si="1196"/>
        <v>1</v>
      </c>
      <c r="R229" s="318">
        <f t="shared" si="1196"/>
        <v>1</v>
      </c>
      <c r="S229" s="318">
        <f t="shared" si="1196"/>
        <v>1</v>
      </c>
      <c r="T229" s="318">
        <f t="shared" si="1196"/>
        <v>1</v>
      </c>
      <c r="U229" s="318">
        <f t="shared" si="1196"/>
        <v>1</v>
      </c>
      <c r="V229" s="318">
        <f t="shared" si="1196"/>
        <v>1</v>
      </c>
      <c r="W229" s="318">
        <f t="shared" si="1196"/>
        <v>1</v>
      </c>
      <c r="X229" s="318">
        <f t="shared" si="1196"/>
        <v>1</v>
      </c>
      <c r="Y229" s="318">
        <f t="shared" si="1196"/>
        <v>1</v>
      </c>
      <c r="Z229" s="318">
        <f t="shared" si="1196"/>
        <v>1</v>
      </c>
      <c r="AA229" s="318">
        <f t="shared" si="1196"/>
        <v>1</v>
      </c>
      <c r="AB229" s="318">
        <f t="shared" si="1196"/>
        <v>1</v>
      </c>
      <c r="AC229" s="318">
        <f t="shared" si="1196"/>
        <v>1</v>
      </c>
      <c r="AD229" s="318">
        <f t="shared" si="1196"/>
        <v>1</v>
      </c>
      <c r="AE229" s="318">
        <f t="shared" si="1196"/>
        <v>1</v>
      </c>
      <c r="AF229" s="318">
        <f t="shared" si="1196"/>
        <v>1</v>
      </c>
      <c r="AG229" s="318">
        <f t="shared" si="1196"/>
        <v>1</v>
      </c>
      <c r="AH229" s="318">
        <f t="shared" si="1196"/>
        <v>1</v>
      </c>
      <c r="AI229" s="318">
        <f t="shared" si="1196"/>
        <v>1</v>
      </c>
      <c r="AJ229" s="318">
        <f t="shared" si="1196"/>
        <v>1</v>
      </c>
      <c r="AK229" s="318">
        <f t="shared" si="1196"/>
        <v>1</v>
      </c>
      <c r="AL229" s="318">
        <f t="shared" si="1196"/>
        <v>1</v>
      </c>
      <c r="AM229" s="318">
        <f t="shared" si="1196"/>
        <v>1</v>
      </c>
      <c r="AN229" s="318">
        <f t="shared" si="1196"/>
        <v>1</v>
      </c>
      <c r="AO229" s="318">
        <f t="shared" si="1196"/>
        <v>1</v>
      </c>
      <c r="AP229" s="318">
        <f t="shared" si="1196"/>
        <v>1</v>
      </c>
      <c r="AQ229" s="318">
        <f t="shared" si="1196"/>
        <v>1</v>
      </c>
      <c r="AR229" s="318">
        <f t="shared" si="1196"/>
        <v>1</v>
      </c>
      <c r="AS229" s="318">
        <f t="shared" si="1196"/>
        <v>1</v>
      </c>
      <c r="AT229" s="318">
        <f t="shared" si="1196"/>
        <v>1</v>
      </c>
      <c r="AU229" s="318">
        <f t="shared" si="1196"/>
        <v>1</v>
      </c>
      <c r="AV229" s="318">
        <f t="shared" si="1196"/>
        <v>1</v>
      </c>
      <c r="AW229" s="175"/>
      <c r="AX229" s="117"/>
    </row>
    <row r="230" spans="1:50" x14ac:dyDescent="0.2">
      <c r="A230" s="172" t="str">
        <f ca="1">Language!A$595</f>
        <v>объем продаж за период</v>
      </c>
      <c r="B230" s="337"/>
      <c r="C230" s="313" t="s">
        <v>2259</v>
      </c>
      <c r="D230" s="174"/>
      <c r="E230" s="57" t="s">
        <v>950</v>
      </c>
      <c r="F230" s="57" t="s">
        <v>753</v>
      </c>
      <c r="G230" s="311">
        <f t="shared" ref="G230:AV230" si="1197">G50</f>
        <v>20</v>
      </c>
      <c r="H230" s="311">
        <f t="shared" si="1197"/>
        <v>90</v>
      </c>
      <c r="I230" s="311">
        <f t="shared" si="1197"/>
        <v>180</v>
      </c>
      <c r="J230" s="311">
        <f t="shared" si="1197"/>
        <v>250</v>
      </c>
      <c r="K230" s="311">
        <f t="shared" si="1197"/>
        <v>300</v>
      </c>
      <c r="L230" s="311">
        <f t="shared" si="1197"/>
        <v>350</v>
      </c>
      <c r="M230" s="311">
        <f t="shared" si="1197"/>
        <v>400</v>
      </c>
      <c r="N230" s="311">
        <f t="shared" si="1197"/>
        <v>450</v>
      </c>
      <c r="O230" s="311">
        <f t="shared" si="1197"/>
        <v>500</v>
      </c>
      <c r="P230" s="311">
        <f t="shared" si="1197"/>
        <v>550</v>
      </c>
      <c r="Q230" s="311">
        <f t="shared" si="1197"/>
        <v>550</v>
      </c>
      <c r="R230" s="311">
        <f t="shared" si="1197"/>
        <v>550</v>
      </c>
      <c r="S230" s="311">
        <f t="shared" si="1197"/>
        <v>550</v>
      </c>
      <c r="T230" s="311">
        <f t="shared" si="1197"/>
        <v>550</v>
      </c>
      <c r="U230" s="311">
        <f t="shared" si="1197"/>
        <v>550</v>
      </c>
      <c r="V230" s="311">
        <f t="shared" si="1197"/>
        <v>550</v>
      </c>
      <c r="W230" s="311">
        <f t="shared" si="1197"/>
        <v>550</v>
      </c>
      <c r="X230" s="311">
        <f t="shared" si="1197"/>
        <v>550</v>
      </c>
      <c r="Y230" s="311">
        <f t="shared" si="1197"/>
        <v>550</v>
      </c>
      <c r="Z230" s="311">
        <f t="shared" si="1197"/>
        <v>550</v>
      </c>
      <c r="AA230" s="311">
        <f t="shared" si="1197"/>
        <v>550</v>
      </c>
      <c r="AB230" s="311">
        <f t="shared" si="1197"/>
        <v>550</v>
      </c>
      <c r="AC230" s="311">
        <f t="shared" si="1197"/>
        <v>550</v>
      </c>
      <c r="AD230" s="311">
        <f t="shared" si="1197"/>
        <v>550</v>
      </c>
      <c r="AE230" s="311">
        <f t="shared" si="1197"/>
        <v>550</v>
      </c>
      <c r="AF230" s="311">
        <f t="shared" si="1197"/>
        <v>550</v>
      </c>
      <c r="AG230" s="311">
        <f t="shared" si="1197"/>
        <v>550</v>
      </c>
      <c r="AH230" s="311">
        <f t="shared" si="1197"/>
        <v>550</v>
      </c>
      <c r="AI230" s="311">
        <f t="shared" si="1197"/>
        <v>550</v>
      </c>
      <c r="AJ230" s="311">
        <f t="shared" si="1197"/>
        <v>550</v>
      </c>
      <c r="AK230" s="311">
        <f t="shared" si="1197"/>
        <v>550</v>
      </c>
      <c r="AL230" s="311">
        <f t="shared" si="1197"/>
        <v>550</v>
      </c>
      <c r="AM230" s="311">
        <f t="shared" si="1197"/>
        <v>550</v>
      </c>
      <c r="AN230" s="311">
        <f t="shared" si="1197"/>
        <v>550</v>
      </c>
      <c r="AO230" s="311">
        <f t="shared" si="1197"/>
        <v>550</v>
      </c>
      <c r="AP230" s="311">
        <f t="shared" si="1197"/>
        <v>550</v>
      </c>
      <c r="AQ230" s="311">
        <f t="shared" si="1197"/>
        <v>550</v>
      </c>
      <c r="AR230" s="311">
        <f t="shared" si="1197"/>
        <v>550</v>
      </c>
      <c r="AS230" s="311">
        <f t="shared" si="1197"/>
        <v>550</v>
      </c>
      <c r="AT230" s="311">
        <f t="shared" si="1197"/>
        <v>550</v>
      </c>
      <c r="AU230" s="311">
        <f t="shared" si="1197"/>
        <v>550</v>
      </c>
      <c r="AV230" s="311">
        <f t="shared" si="1197"/>
        <v>550</v>
      </c>
      <c r="AW230" s="148"/>
      <c r="AX230" s="171">
        <f>SUM(G230:AW230)</f>
        <v>20690</v>
      </c>
    </row>
    <row r="231" spans="1:50" x14ac:dyDescent="0.2">
      <c r="A231" s="83" t="str">
        <f ca="1">Language!A$596 &amp; C230 &amp; Language!A$1457</f>
        <v>цена за единицу (тн), без НДС</v>
      </c>
      <c r="B231" s="322">
        <v>39</v>
      </c>
      <c r="C231" s="146" t="str">
        <f ca="1">CHOOSE(D228,CurName1,CurName2,CurName3)</f>
        <v>тыс. руб.</v>
      </c>
      <c r="E231" s="57" t="s">
        <v>848</v>
      </c>
      <c r="F231" s="57" t="s">
        <v>756</v>
      </c>
      <c r="G231" s="323">
        <f t="shared" ref="G231" ca="1" si="1198">IF(G$2=1,$B231,F231)*G242</f>
        <v>39</v>
      </c>
      <c r="H231" s="323">
        <f t="shared" ref="H231" ca="1" si="1199">IF(H$2=1,$B231,G231)*H242</f>
        <v>39.572280000577713</v>
      </c>
      <c r="I231" s="323">
        <f t="shared" ref="I231" ca="1" si="1200">IF(I$2=1,$B231,H231)*I242</f>
        <v>40.152957549849305</v>
      </c>
      <c r="J231" s="323">
        <f t="shared" ref="J231" ca="1" si="1201">IF(J$2=1,$B231,I231)*J242</f>
        <v>40.742155872152502</v>
      </c>
      <c r="K231" s="323">
        <f t="shared" ref="K231" ca="1" si="1202">IF(K$2=1,$B231,J231)*K242</f>
        <v>41.34</v>
      </c>
      <c r="L231" s="323">
        <f t="shared" ref="L231" ca="1" si="1203">IF(L$2=1,$B231,K231)*L242</f>
        <v>41.946616800612382</v>
      </c>
      <c r="M231" s="323">
        <f t="shared" ref="M231" ca="1" si="1204">IF(M$2=1,$B231,L231)*M242</f>
        <v>42.562135002840272</v>
      </c>
      <c r="N231" s="323">
        <f t="shared" ref="N231" ca="1" si="1205">IF(N$2=1,$B231,M231)*N242</f>
        <v>43.186685224481657</v>
      </c>
      <c r="O231" s="323">
        <f t="shared" ref="O231" ca="1" si="1206">IF(O$2=1,$B231,N231)*O242</f>
        <v>43.820400000000014</v>
      </c>
      <c r="P231" s="323">
        <f t="shared" ref="P231" ca="1" si="1207">IF(P$2=1,$B231,O231)*P242</f>
        <v>44.463413808649129</v>
      </c>
      <c r="Q231" s="323">
        <f t="shared" ref="Q231" ca="1" si="1208">IF(Q$2=1,$B231,P231)*Q242</f>
        <v>45.115863103010689</v>
      </c>
      <c r="R231" s="323">
        <f t="shared" ref="R231" ca="1" si="1209">IF(R$2=1,$B231,Q231)*R242</f>
        <v>45.777886337950562</v>
      </c>
      <c r="S231" s="323">
        <f t="shared" ref="S231" ca="1" si="1210">IF(S$2=1,$B231,R231)*S242</f>
        <v>46.449624000000021</v>
      </c>
      <c r="T231" s="323">
        <f t="shared" ref="T231" ca="1" si="1211">IF(T$2=1,$B231,S231)*T242</f>
        <v>47.131218637168089</v>
      </c>
      <c r="U231" s="323">
        <f t="shared" ref="U231" ca="1" si="1212">IF(U$2=1,$B231,T231)*U242</f>
        <v>47.822814889191342</v>
      </c>
      <c r="V231" s="323">
        <f t="shared" ref="V231" ca="1" si="1213">IF(V$2=1,$B231,U231)*V242</f>
        <v>48.524559518227605</v>
      </c>
      <c r="W231" s="323">
        <f t="shared" ref="W231" ca="1" si="1214">IF(W$2=1,$B231,V231)*W242</f>
        <v>49.23660144000003</v>
      </c>
      <c r="X231" s="323">
        <f t="shared" ref="X231" ca="1" si="1215">IF(X$2=1,$B231,W231)*X242</f>
        <v>49.959091755398177</v>
      </c>
      <c r="Y231" s="323">
        <f t="shared" ref="Y231" ca="1" si="1216">IF(Y$2=1,$B231,X231)*Y242</f>
        <v>50.692183782542827</v>
      </c>
      <c r="Z231" s="323">
        <f t="shared" ref="Z231" ca="1" si="1217">IF(Z$2=1,$B231,Y231)*Z242</f>
        <v>51.436033089321263</v>
      </c>
      <c r="AA231" s="323">
        <f t="shared" ref="AA231" ca="1" si="1218">IF(AA$2=1,$B231,Z231)*AA242</f>
        <v>52.190797526400033</v>
      </c>
      <c r="AB231" s="323">
        <f t="shared" ref="AB231" ca="1" si="1219">IF(AB$2=1,$B231,AA231)*AB242</f>
        <v>52.956637260722069</v>
      </c>
      <c r="AC231" s="323">
        <f t="shared" ref="AC231" ca="1" si="1220">IF(AC$2=1,$B231,AB231)*AC242</f>
        <v>53.733714809495396</v>
      </c>
      <c r="AD231" s="323">
        <f t="shared" ref="AD231" ca="1" si="1221">IF(AD$2=1,$B231,AC231)*AD242</f>
        <v>54.522195074680539</v>
      </c>
      <c r="AE231" s="323">
        <f t="shared" ref="AE231" ca="1" si="1222">IF(AE$2=1,$B231,AD231)*AE242</f>
        <v>55.322245377984032</v>
      </c>
      <c r="AF231" s="323">
        <f t="shared" ref="AF231" ca="1" si="1223">IF(AF$2=1,$B231,AE231)*AF242</f>
        <v>56.134035496365392</v>
      </c>
      <c r="AG231" s="323">
        <f t="shared" ref="AG231" ca="1" si="1224">IF(AG$2=1,$B231,AF231)*AG242</f>
        <v>56.957737698065117</v>
      </c>
      <c r="AH231" s="323">
        <f t="shared" ref="AH231" ca="1" si="1225">IF(AH$2=1,$B231,AG231)*AH242</f>
        <v>57.793526779161368</v>
      </c>
      <c r="AI231" s="323">
        <f t="shared" ref="AI231" ca="1" si="1226">IF(AI$2=1,$B231,AH231)*AI242</f>
        <v>58.641580100663077</v>
      </c>
      <c r="AJ231" s="323">
        <f t="shared" ref="AJ231" ca="1" si="1227">IF(AJ$2=1,$B231,AI231)*AJ242</f>
        <v>59.502077626147319</v>
      </c>
      <c r="AK231" s="323">
        <f t="shared" ref="AK231" ca="1" si="1228">IF(AK$2=1,$B231,AJ231)*AK242</f>
        <v>60.375201959949031</v>
      </c>
      <c r="AL231" s="323">
        <f t="shared" ref="AL231" ca="1" si="1229">IF(AL$2=1,$B231,AK231)*AL242</f>
        <v>61.26113838591106</v>
      </c>
      <c r="AM231" s="323">
        <f t="shared" ref="AM231" ca="1" si="1230">IF(AM$2=1,$B231,AL231)*AM242</f>
        <v>62.160074906702867</v>
      </c>
      <c r="AN231" s="323">
        <f t="shared" ref="AN231" ca="1" si="1231">IF(AN$2=1,$B231,AM231)*AN242</f>
        <v>63.072202283716166</v>
      </c>
      <c r="AO231" s="323">
        <f t="shared" ref="AO231" ca="1" si="1232">IF(AO$2=1,$B231,AN231)*AO242</f>
        <v>63.997714077545979</v>
      </c>
      <c r="AP231" s="323">
        <f t="shared" ref="AP231" ca="1" si="1233">IF(AP$2=1,$B231,AO231)*AP242</f>
        <v>64.936806689065733</v>
      </c>
      <c r="AQ231" s="323">
        <f t="shared" ref="AQ231" ca="1" si="1234">IF(AQ$2=1,$B231,AP231)*AQ242</f>
        <v>65.889679401105056</v>
      </c>
      <c r="AR231" s="323">
        <f t="shared" ref="AR231" ca="1" si="1235">IF(AR$2=1,$B231,AQ231)*AR242</f>
        <v>66.856534420739152</v>
      </c>
      <c r="AS231" s="323">
        <f t="shared" ref="AS231" ca="1" si="1236">IF(AS$2=1,$B231,AR231)*AS242</f>
        <v>67.83757692219875</v>
      </c>
      <c r="AT231" s="323">
        <f t="shared" ref="AT231" ca="1" si="1237">IF(AT$2=1,$B231,AS231)*AT242</f>
        <v>68.833015090409688</v>
      </c>
      <c r="AU231" s="323">
        <f t="shared" ref="AU231" ca="1" si="1238">IF(AU$2=1,$B231,AT231)*AU242</f>
        <v>69.843060165171366</v>
      </c>
      <c r="AV231" s="323">
        <f t="shared" ref="AV231" ca="1" si="1239">IF(AV$2=1,$B231,AU231)*AV242</f>
        <v>70.867926485983503</v>
      </c>
      <c r="AW231" s="148"/>
      <c r="AX231" s="117"/>
    </row>
    <row r="232" spans="1:50" collapsed="1" x14ac:dyDescent="0.2">
      <c r="A232" s="83" t="str">
        <f ca="1">Language!A$597</f>
        <v>выручка от реализации, без НДС</v>
      </c>
      <c r="B232" s="157"/>
      <c r="C232" s="146" t="str">
        <f t="shared" ref="C232" ca="1" si="1240">CHOOSE(D232,CurName1,CurName2,CurName3)</f>
        <v>тыс. руб.</v>
      </c>
      <c r="D232" s="155">
        <f>D228</f>
        <v>1</v>
      </c>
      <c r="E232" s="57" t="s">
        <v>992</v>
      </c>
      <c r="F232" s="57" t="s">
        <v>753</v>
      </c>
      <c r="G232" s="176">
        <f t="shared" ref="G232:AV232" ca="1" si="1241">G230*G231</f>
        <v>780</v>
      </c>
      <c r="H232" s="176">
        <f t="shared" ca="1" si="1241"/>
        <v>3561.5052000519941</v>
      </c>
      <c r="I232" s="176">
        <f t="shared" ca="1" si="1241"/>
        <v>7227.532358972875</v>
      </c>
      <c r="J232" s="176">
        <f t="shared" ca="1" si="1241"/>
        <v>10185.538968038125</v>
      </c>
      <c r="K232" s="176">
        <f t="shared" ca="1" si="1241"/>
        <v>12402.000000000002</v>
      </c>
      <c r="L232" s="176">
        <f t="shared" ca="1" si="1241"/>
        <v>14681.315880214333</v>
      </c>
      <c r="M232" s="176">
        <f t="shared" ca="1" si="1241"/>
        <v>17024.854001136107</v>
      </c>
      <c r="N232" s="176">
        <f t="shared" ca="1" si="1241"/>
        <v>19434.008351016746</v>
      </c>
      <c r="O232" s="176">
        <f t="shared" ca="1" si="1241"/>
        <v>21910.200000000008</v>
      </c>
      <c r="P232" s="176">
        <f t="shared" ca="1" si="1241"/>
        <v>24454.877594757021</v>
      </c>
      <c r="Q232" s="176">
        <f t="shared" ca="1" si="1241"/>
        <v>24813.724706655878</v>
      </c>
      <c r="R232" s="176">
        <f t="shared" ca="1" si="1241"/>
        <v>25177.837485872809</v>
      </c>
      <c r="S232" s="176">
        <f t="shared" ca="1" si="1241"/>
        <v>25547.293200000011</v>
      </c>
      <c r="T232" s="176">
        <f t="shared" ca="1" si="1241"/>
        <v>25922.17025044245</v>
      </c>
      <c r="U232" s="176">
        <f t="shared" ca="1" si="1241"/>
        <v>26302.548189055236</v>
      </c>
      <c r="V232" s="176">
        <f t="shared" ca="1" si="1241"/>
        <v>26688.507735025181</v>
      </c>
      <c r="W232" s="176">
        <f t="shared" ca="1" si="1241"/>
        <v>27080.130792000014</v>
      </c>
      <c r="X232" s="176">
        <f t="shared" ca="1" si="1241"/>
        <v>27477.500465468998</v>
      </c>
      <c r="Y232" s="176">
        <f t="shared" ca="1" si="1241"/>
        <v>27880.701080398554</v>
      </c>
      <c r="Z232" s="176">
        <f t="shared" ca="1" si="1241"/>
        <v>28289.818199126694</v>
      </c>
      <c r="AA232" s="176">
        <f t="shared" ca="1" si="1241"/>
        <v>28704.938639520016</v>
      </c>
      <c r="AB232" s="176">
        <f t="shared" ca="1" si="1241"/>
        <v>29126.150493397137</v>
      </c>
      <c r="AC232" s="176">
        <f t="shared" ca="1" si="1241"/>
        <v>29553.543145222469</v>
      </c>
      <c r="AD232" s="176">
        <f t="shared" ca="1" si="1241"/>
        <v>29987.207291074297</v>
      </c>
      <c r="AE232" s="176">
        <f t="shared" ca="1" si="1241"/>
        <v>30427.234957891218</v>
      </c>
      <c r="AF232" s="176">
        <f t="shared" ca="1" si="1241"/>
        <v>30873.719523000967</v>
      </c>
      <c r="AG232" s="176">
        <f t="shared" ca="1" si="1241"/>
        <v>31326.755733935814</v>
      </c>
      <c r="AH232" s="176">
        <f t="shared" ca="1" si="1241"/>
        <v>31786.439728538753</v>
      </c>
      <c r="AI232" s="176">
        <f t="shared" ca="1" si="1241"/>
        <v>32252.869055364692</v>
      </c>
      <c r="AJ232" s="176">
        <f t="shared" ca="1" si="1241"/>
        <v>32726.142694381026</v>
      </c>
      <c r="AK232" s="176">
        <f t="shared" ca="1" si="1241"/>
        <v>33206.361077971967</v>
      </c>
      <c r="AL232" s="176">
        <f t="shared" ca="1" si="1241"/>
        <v>33693.626112251084</v>
      </c>
      <c r="AM232" s="176">
        <f t="shared" ca="1" si="1241"/>
        <v>34188.04119868658</v>
      </c>
      <c r="AN232" s="176">
        <f t="shared" ca="1" si="1241"/>
        <v>34689.711256043891</v>
      </c>
      <c r="AO232" s="176">
        <f t="shared" ca="1" si="1241"/>
        <v>35198.742742650291</v>
      </c>
      <c r="AP232" s="176">
        <f t="shared" ca="1" si="1241"/>
        <v>35715.243678986153</v>
      </c>
      <c r="AQ232" s="176">
        <f t="shared" ca="1" si="1241"/>
        <v>36239.323670607781</v>
      </c>
      <c r="AR232" s="176">
        <f t="shared" ca="1" si="1241"/>
        <v>36771.093931406533</v>
      </c>
      <c r="AS232" s="176">
        <f t="shared" ca="1" si="1241"/>
        <v>37310.667307209311</v>
      </c>
      <c r="AT232" s="176">
        <f t="shared" ca="1" si="1241"/>
        <v>37858.158299725328</v>
      </c>
      <c r="AU232" s="176">
        <f t="shared" ca="1" si="1241"/>
        <v>38413.68309084425</v>
      </c>
      <c r="AV232" s="176">
        <f t="shared" ca="1" si="1241"/>
        <v>38977.359567290929</v>
      </c>
      <c r="AW232" s="177"/>
      <c r="AX232" s="178">
        <f ca="1">SUM(G232:AW232)</f>
        <v>1135869.0776542337</v>
      </c>
    </row>
    <row r="233" spans="1:50" hidden="1" outlineLevel="1" x14ac:dyDescent="0.2">
      <c r="A233" s="179" t="str">
        <f ca="1">Language!A$598</f>
        <v>дебиторская задолженность</v>
      </c>
      <c r="B233" s="82"/>
      <c r="C233" s="82" t="str">
        <f ca="1">CHOOSE(D233,CurName1,CurName2,CurName3)</f>
        <v>тыс. руб.</v>
      </c>
      <c r="D233" s="155">
        <f>D228</f>
        <v>1</v>
      </c>
      <c r="E233" s="57" t="s">
        <v>994</v>
      </c>
      <c r="F233" s="57" t="s">
        <v>754</v>
      </c>
      <c r="G233" s="319">
        <f ca="1">IF(AND($B234=0,G$2&gt;1),F233,(G232+G243+G244)*$B234/Параметры!G$30)</f>
        <v>314.60000000000002</v>
      </c>
      <c r="H233" s="319">
        <f ca="1">IF(AND($B234=0,H$2&gt;1),G233,(H232+H243+H244)*$B234/Параметры!H$30)</f>
        <v>1436.473764020971</v>
      </c>
      <c r="I233" s="319">
        <f ca="1">IF(AND($B234=0,I$2&gt;1),H233,(I232+I243+I244)*$B234/Параметры!I$30)</f>
        <v>2915.1047181190597</v>
      </c>
      <c r="J233" s="319">
        <f ca="1">IF(AND($B234=0,J$2&gt;1),I233,(J232+J243+J244)*$B234/Параметры!J$30)</f>
        <v>4108.1673837753769</v>
      </c>
      <c r="K233" s="319">
        <f ca="1">IF(AND($B234=0,K$2&gt;1),J233,(K232+K243+K244)*$B234/Параметры!K$30)</f>
        <v>5002.1400000000012</v>
      </c>
      <c r="L233" s="319">
        <f ca="1">IF(AND($B234=0,L$2&gt;1),K233,(L232+L243+L244)*$B234/Параметры!L$30)</f>
        <v>5921.4640716864478</v>
      </c>
      <c r="M233" s="319">
        <f ca="1">IF(AND($B234=0,M$2&gt;1),L233,(M232+M243+M244)*$B234/Параметры!M$30)</f>
        <v>6866.691113791564</v>
      </c>
      <c r="N233" s="319">
        <f ca="1">IF(AND($B234=0,N$2&gt;1),M233,(N232+N243+N244)*$B234/Параметры!N$30)</f>
        <v>7838.3833682434206</v>
      </c>
      <c r="O233" s="319">
        <f ca="1">IF(AND($B234=0,O$2&gt;1),N233,(O232+O243+O244)*$B234/Параметры!O$30)</f>
        <v>8837.1140000000032</v>
      </c>
      <c r="P233" s="319">
        <f ca="1">IF(AND($B234=0,P$2&gt;1),O233,(P232+P243+P244)*$B234/Параметры!P$30)</f>
        <v>9863.4672965519985</v>
      </c>
      <c r="Q233" s="319">
        <f ca="1">IF(AND($B234=0,Q$2&gt;1),P233,(Q232+Q243+Q244)*$B234/Параметры!Q$30)</f>
        <v>10008.202298351203</v>
      </c>
      <c r="R233" s="319">
        <f ca="1">IF(AND($B234=0,R$2&gt;1),Q233,(R232+R243+R244)*$B234/Параметры!R$30)</f>
        <v>10155.061119302032</v>
      </c>
      <c r="S233" s="319">
        <f ca="1">IF(AND($B234=0,S$2&gt;1),R233,(S232+S243+S244)*$B234/Параметры!S$30)</f>
        <v>10304.074924000004</v>
      </c>
      <c r="T233" s="319">
        <f ca="1">IF(AND($B234=0,T$2&gt;1),S233,(T232+T243+T244)*$B234/Параметры!T$30)</f>
        <v>10455.275334345122</v>
      </c>
      <c r="U233" s="319">
        <f ca="1">IF(AND($B234=0,U$2&gt;1),T233,(U232+U243+U244)*$B234/Параметры!U$30)</f>
        <v>10608.694436252279</v>
      </c>
      <c r="V233" s="319">
        <f ca="1">IF(AND($B234=0,V$2&gt;1),U233,(V232+V243+V244)*$B234/Параметры!V$30)</f>
        <v>10764.364786460157</v>
      </c>
      <c r="W233" s="319">
        <f ca="1">IF(AND($B234=0,W$2&gt;1),V233,(W232+W243+W244)*$B234/Параметры!W$30)</f>
        <v>10922.319419440006</v>
      </c>
      <c r="X233" s="319">
        <f ca="1">IF(AND($B234=0,X$2&gt;1),W233,(X232+X243+X244)*$B234/Параметры!X$30)</f>
        <v>11082.59185440583</v>
      </c>
      <c r="Y233" s="319">
        <f ca="1">IF(AND($B234=0,Y$2&gt;1),X233,(Y232+Y243+Y244)*$B234/Параметры!Y$30)</f>
        <v>11245.216102427416</v>
      </c>
      <c r="Z233" s="319">
        <f ca="1">IF(AND($B234=0,Z$2&gt;1),Y233,(Z232+Z243+Z244)*$B234/Параметры!Z$30)</f>
        <v>11410.226673647765</v>
      </c>
      <c r="AA233" s="319">
        <f ca="1">IF(AND($B234=0,AA$2&gt;1),Z233,(AA232+AA243+AA244)*$B234/Параметры!AA$30)</f>
        <v>11577.658584606406</v>
      </c>
      <c r="AB233" s="319">
        <f ca="1">IF(AND($B234=0,AB$2&gt;1),AA233,(AB232+AB243+AB244)*$B234/Параметры!AB$30)</f>
        <v>11747.547365670178</v>
      </c>
      <c r="AC233" s="319">
        <f ca="1">IF(AND($B234=0,AC$2&gt;1),AB233,(AC232+AC243+AC244)*$B234/Параметры!AC$30)</f>
        <v>11919.929068573063</v>
      </c>
      <c r="AD233" s="319">
        <f ca="1">IF(AND($B234=0,AD$2&gt;1),AC233,(AD232+AD243+AD244)*$B234/Параметры!AD$30)</f>
        <v>12094.840274066633</v>
      </c>
      <c r="AE233" s="319">
        <f ca="1">IF(AND($B234=0,AE$2&gt;1),AD233,(AE232+AE243+AE244)*$B234/Параметры!AE$30)</f>
        <v>12272.31809968279</v>
      </c>
      <c r="AF233" s="319">
        <f ca="1">IF(AND($B234=0,AF$2&gt;1),AE233,(AF232+AF243+AF244)*$B234/Параметры!AF$30)</f>
        <v>12452.40020761039</v>
      </c>
      <c r="AG233" s="319">
        <f ca="1">IF(AND($B234=0,AG$2&gt;1),AF233,(AG232+AG243+AG244)*$B234/Параметры!AG$30)</f>
        <v>12635.124812687445</v>
      </c>
      <c r="AH233" s="319">
        <f ca="1">IF(AND($B234=0,AH$2&gt;1),AG233,(AH232+AH243+AH244)*$B234/Параметры!AH$30)</f>
        <v>12820.53069051063</v>
      </c>
      <c r="AI233" s="319">
        <f ca="1">IF(AND($B234=0,AI$2&gt;1),AH233,(AI232+AI243+AI244)*$B234/Параметры!AI$30)</f>
        <v>13008.657185663758</v>
      </c>
      <c r="AJ233" s="319">
        <f ca="1">IF(AND($B234=0,AJ$2&gt;1),AI233,(AJ232+AJ243+AJ244)*$B234/Параметры!AJ$30)</f>
        <v>13199.544220067011</v>
      </c>
      <c r="AK233" s="319">
        <f ca="1">IF(AND($B234=0,AK$2&gt;1),AJ233,(AK232+AK243+AK244)*$B234/Параметры!AK$30)</f>
        <v>13393.232301448694</v>
      </c>
      <c r="AL233" s="319">
        <f ca="1">IF(AND($B234=0,AL$2&gt;1),AK233,(AL232+AL243+AL244)*$B234/Параметры!AL$30)</f>
        <v>13589.762531941271</v>
      </c>
      <c r="AM233" s="319">
        <f ca="1">IF(AND($B234=0,AM$2&gt;1),AL233,(AM232+AM243+AM244)*$B234/Параметры!AM$30)</f>
        <v>13789.176616803585</v>
      </c>
      <c r="AN233" s="319">
        <f ca="1">IF(AND($B234=0,AN$2&gt;1),AM233,(AN232+AN243+AN244)*$B234/Параметры!AN$30)</f>
        <v>13991.516873271037</v>
      </c>
      <c r="AO233" s="319">
        <f ca="1">IF(AND($B234=0,AO$2&gt;1),AN233,(AO232+AO243+AO244)*$B234/Параметры!AO$30)</f>
        <v>14196.826239535616</v>
      </c>
      <c r="AP233" s="319">
        <f ca="1">IF(AND($B234=0,AP$2&gt;1),AO233,(AP232+AP243+AP244)*$B234/Параметры!AP$30)</f>
        <v>14405.148283857749</v>
      </c>
      <c r="AQ233" s="319">
        <f ca="1">IF(AND($B234=0,AQ$2&gt;1),AP233,(AQ232+AQ243+AQ244)*$B234/Параметры!AQ$30)</f>
        <v>14616.527213811805</v>
      </c>
      <c r="AR233" s="319">
        <f ca="1">IF(AND($B234=0,AR$2&gt;1),AQ233,(AR232+AR243+AR244)*$B234/Параметры!AR$30)</f>
        <v>14831.007885667301</v>
      </c>
      <c r="AS233" s="319">
        <f ca="1">IF(AND($B234=0,AS$2&gt;1),AR233,(AS232+AS243+AS244)*$B234/Параметры!AS$30)</f>
        <v>15048.635813907753</v>
      </c>
      <c r="AT233" s="319">
        <f ca="1">IF(AND($B234=0,AT$2&gt;1),AS233,(AT232+AT243+AT244)*$B234/Параметры!AT$30)</f>
        <v>15269.457180889214</v>
      </c>
      <c r="AU233" s="319">
        <f ca="1">IF(AND($B234=0,AU$2&gt;1),AT233,(AU232+AU243+AU244)*$B234/Параметры!AU$30)</f>
        <v>15493.518846640516</v>
      </c>
      <c r="AV233" s="319">
        <f ca="1">IF(AND($B234=0,AV$2&gt;1),AU233,(AV232+AV243+AV244)*$B234/Параметры!AV$30)</f>
        <v>15720.86835880734</v>
      </c>
      <c r="AW233" s="180"/>
      <c r="AX233" s="87"/>
    </row>
    <row r="234" spans="1:50" hidden="1" outlineLevel="1" x14ac:dyDescent="0.2">
      <c r="A234" s="181" t="str">
        <f ca="1">Language!A$599</f>
        <v>средний период отсрочки платежа</v>
      </c>
      <c r="B234" s="320">
        <f>$B$618</f>
        <v>33</v>
      </c>
      <c r="C234" s="152" t="str">
        <f ca="1">Language!$A$1446</f>
        <v>дней</v>
      </c>
      <c r="D234" s="100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48"/>
      <c r="AX234" s="150"/>
    </row>
    <row r="235" spans="1:50" hidden="1" outlineLevel="1" x14ac:dyDescent="0.2">
      <c r="A235" s="179" t="str">
        <f ca="1">Language!A$600</f>
        <v xml:space="preserve">авансы полученные </v>
      </c>
      <c r="B235" s="82"/>
      <c r="C235" s="103" t="str">
        <f ca="1">CHOOSE(D235,CurName1,CurName2,CurName3)</f>
        <v>тыс. руб.</v>
      </c>
      <c r="D235" s="155">
        <f>D228</f>
        <v>1</v>
      </c>
      <c r="E235" s="57" t="s">
        <v>995</v>
      </c>
      <c r="F235" s="57" t="s">
        <v>754</v>
      </c>
      <c r="G235" s="316">
        <f ca="1">IF(AND($B236=0,G$2&gt;1),F235,(OFFSET(G232,0,1)+OFFSET(G243,0,1)+OFFSET(G244,0,1))*$B236/Параметры!G$30)</f>
        <v>0</v>
      </c>
      <c r="H235" s="316">
        <f ca="1">IF(AND($B236=0,H$2&gt;1),G235,(OFFSET(H232,0,1)+OFFSET(H243,0,1)+OFFSET(H244,0,1))*$B236/Параметры!H$30)</f>
        <v>0</v>
      </c>
      <c r="I235" s="316">
        <f ca="1">IF(AND($B236=0,I$2&gt;1),H235,(OFFSET(I232,0,1)+OFFSET(I243,0,1)+OFFSET(I244,0,1))*$B236/Параметры!I$30)</f>
        <v>0</v>
      </c>
      <c r="J235" s="316">
        <f ca="1">IF(AND($B236=0,J$2&gt;1),I235,(OFFSET(J232,0,1)+OFFSET(J243,0,1)+OFFSET(J244,0,1))*$B236/Параметры!J$30)</f>
        <v>0</v>
      </c>
      <c r="K235" s="316">
        <f ca="1">IF(AND($B236=0,K$2&gt;1),J235,(OFFSET(K232,0,1)+OFFSET(K243,0,1)+OFFSET(K244,0,1))*$B236/Параметры!K$30)</f>
        <v>0</v>
      </c>
      <c r="L235" s="316">
        <f ca="1">IF(AND($B236=0,L$2&gt;1),K235,(OFFSET(L232,0,1)+OFFSET(L243,0,1)+OFFSET(L244,0,1))*$B236/Параметры!L$30)</f>
        <v>0</v>
      </c>
      <c r="M235" s="316">
        <f ca="1">IF(AND($B236=0,M$2&gt;1),L235,(OFFSET(M232,0,1)+OFFSET(M243,0,1)+OFFSET(M244,0,1))*$B236/Параметры!M$30)</f>
        <v>0</v>
      </c>
      <c r="N235" s="316">
        <f ca="1">IF(AND($B236=0,N$2&gt;1),M235,(OFFSET(N232,0,1)+OFFSET(N243,0,1)+OFFSET(N244,0,1))*$B236/Параметры!N$30)</f>
        <v>0</v>
      </c>
      <c r="O235" s="316">
        <f ca="1">IF(AND($B236=0,O$2&gt;1),N235,(OFFSET(O232,0,1)+OFFSET(O243,0,1)+OFFSET(O244,0,1))*$B236/Параметры!O$30)</f>
        <v>0</v>
      </c>
      <c r="P235" s="316">
        <f ca="1">IF(AND($B236=0,P$2&gt;1),O235,(OFFSET(P232,0,1)+OFFSET(P243,0,1)+OFFSET(P244,0,1))*$B236/Параметры!P$30)</f>
        <v>0</v>
      </c>
      <c r="Q235" s="316">
        <f ca="1">IF(AND($B236=0,Q$2&gt;1),P235,(OFFSET(Q232,0,1)+OFFSET(Q243,0,1)+OFFSET(Q244,0,1))*$B236/Параметры!Q$30)</f>
        <v>0</v>
      </c>
      <c r="R235" s="316">
        <f ca="1">IF(AND($B236=0,R$2&gt;1),Q235,(OFFSET(R232,0,1)+OFFSET(R243,0,1)+OFFSET(R244,0,1))*$B236/Параметры!R$30)</f>
        <v>0</v>
      </c>
      <c r="S235" s="316">
        <f ca="1">IF(AND($B236=0,S$2&gt;1),R235,(OFFSET(S232,0,1)+OFFSET(S243,0,1)+OFFSET(S244,0,1))*$B236/Параметры!S$30)</f>
        <v>0</v>
      </c>
      <c r="T235" s="316">
        <f ca="1">IF(AND($B236=0,T$2&gt;1),S235,(OFFSET(T232,0,1)+OFFSET(T243,0,1)+OFFSET(T244,0,1))*$B236/Параметры!T$30)</f>
        <v>0</v>
      </c>
      <c r="U235" s="316">
        <f ca="1">IF(AND($B236=0,U$2&gt;1),T235,(OFFSET(U232,0,1)+OFFSET(U243,0,1)+OFFSET(U244,0,1))*$B236/Параметры!U$30)</f>
        <v>0</v>
      </c>
      <c r="V235" s="316">
        <f ca="1">IF(AND($B236=0,V$2&gt;1),U235,(OFFSET(V232,0,1)+OFFSET(V243,0,1)+OFFSET(V244,0,1))*$B236/Параметры!V$30)</f>
        <v>0</v>
      </c>
      <c r="W235" s="316">
        <f ca="1">IF(AND($B236=0,W$2&gt;1),V235,(OFFSET(W232,0,1)+OFFSET(W243,0,1)+OFFSET(W244,0,1))*$B236/Параметры!W$30)</f>
        <v>0</v>
      </c>
      <c r="X235" s="316">
        <f ca="1">IF(AND($B236=0,X$2&gt;1),W235,(OFFSET(X232,0,1)+OFFSET(X243,0,1)+OFFSET(X244,0,1))*$B236/Параметры!X$30)</f>
        <v>0</v>
      </c>
      <c r="Y235" s="316">
        <f ca="1">IF(AND($B236=0,Y$2&gt;1),X235,(OFFSET(Y232,0,1)+OFFSET(Y243,0,1)+OFFSET(Y244,0,1))*$B236/Параметры!Y$30)</f>
        <v>0</v>
      </c>
      <c r="Z235" s="316">
        <f ca="1">IF(AND($B236=0,Z$2&gt;1),Y235,(OFFSET(Z232,0,1)+OFFSET(Z243,0,1)+OFFSET(Z244,0,1))*$B236/Параметры!Z$30)</f>
        <v>0</v>
      </c>
      <c r="AA235" s="316">
        <f ca="1">IF(AND($B236=0,AA$2&gt;1),Z235,(OFFSET(AA232,0,1)+OFFSET(AA243,0,1)+OFFSET(AA244,0,1))*$B236/Параметры!AA$30)</f>
        <v>0</v>
      </c>
      <c r="AB235" s="316">
        <f ca="1">IF(AND($B236=0,AB$2&gt;1),AA235,(OFFSET(AB232,0,1)+OFFSET(AB243,0,1)+OFFSET(AB244,0,1))*$B236/Параметры!AB$30)</f>
        <v>0</v>
      </c>
      <c r="AC235" s="316">
        <f ca="1">IF(AND($B236=0,AC$2&gt;1),AB235,(OFFSET(AC232,0,1)+OFFSET(AC243,0,1)+OFFSET(AC244,0,1))*$B236/Параметры!AC$30)</f>
        <v>0</v>
      </c>
      <c r="AD235" s="316">
        <f ca="1">IF(AND($B236=0,AD$2&gt;1),AC235,(OFFSET(AD232,0,1)+OFFSET(AD243,0,1)+OFFSET(AD244,0,1))*$B236/Параметры!AD$30)</f>
        <v>0</v>
      </c>
      <c r="AE235" s="316">
        <f ca="1">IF(AND($B236=0,AE$2&gt;1),AD235,(OFFSET(AE232,0,1)+OFFSET(AE243,0,1)+OFFSET(AE244,0,1))*$B236/Параметры!AE$30)</f>
        <v>0</v>
      </c>
      <c r="AF235" s="316">
        <f ca="1">IF(AND($B236=0,AF$2&gt;1),AE235,(OFFSET(AF232,0,1)+OFFSET(AF243,0,1)+OFFSET(AF244,0,1))*$B236/Параметры!AF$30)</f>
        <v>0</v>
      </c>
      <c r="AG235" s="316">
        <f ca="1">IF(AND($B236=0,AG$2&gt;1),AF235,(OFFSET(AG232,0,1)+OFFSET(AG243,0,1)+OFFSET(AG244,0,1))*$B236/Параметры!AG$30)</f>
        <v>0</v>
      </c>
      <c r="AH235" s="316">
        <f ca="1">IF(AND($B236=0,AH$2&gt;1),AG235,(OFFSET(AH232,0,1)+OFFSET(AH243,0,1)+OFFSET(AH244,0,1))*$B236/Параметры!AH$30)</f>
        <v>0</v>
      </c>
      <c r="AI235" s="316">
        <f ca="1">IF(AND($B236=0,AI$2&gt;1),AH235,(OFFSET(AI232,0,1)+OFFSET(AI243,0,1)+OFFSET(AI244,0,1))*$B236/Параметры!AI$30)</f>
        <v>0</v>
      </c>
      <c r="AJ235" s="316">
        <f ca="1">IF(AND($B236=0,AJ$2&gt;1),AI235,(OFFSET(AJ232,0,1)+OFFSET(AJ243,0,1)+OFFSET(AJ244,0,1))*$B236/Параметры!AJ$30)</f>
        <v>0</v>
      </c>
      <c r="AK235" s="316">
        <f ca="1">IF(AND($B236=0,AK$2&gt;1),AJ235,(OFFSET(AK232,0,1)+OFFSET(AK243,0,1)+OFFSET(AK244,0,1))*$B236/Параметры!AK$30)</f>
        <v>0</v>
      </c>
      <c r="AL235" s="316">
        <f ca="1">IF(AND($B236=0,AL$2&gt;1),AK235,(OFFSET(AL232,0,1)+OFFSET(AL243,0,1)+OFFSET(AL244,0,1))*$B236/Параметры!AL$30)</f>
        <v>0</v>
      </c>
      <c r="AM235" s="316">
        <f ca="1">IF(AND($B236=0,AM$2&gt;1),AL235,(OFFSET(AM232,0,1)+OFFSET(AM243,0,1)+OFFSET(AM244,0,1))*$B236/Параметры!AM$30)</f>
        <v>0</v>
      </c>
      <c r="AN235" s="316">
        <f ca="1">IF(AND($B236=0,AN$2&gt;1),AM235,(OFFSET(AN232,0,1)+OFFSET(AN243,0,1)+OFFSET(AN244,0,1))*$B236/Параметры!AN$30)</f>
        <v>0</v>
      </c>
      <c r="AO235" s="316">
        <f ca="1">IF(AND($B236=0,AO$2&gt;1),AN235,(OFFSET(AO232,0,1)+OFFSET(AO243,0,1)+OFFSET(AO244,0,1))*$B236/Параметры!AO$30)</f>
        <v>0</v>
      </c>
      <c r="AP235" s="316">
        <f ca="1">IF(AND($B236=0,AP$2&gt;1),AO235,(OFFSET(AP232,0,1)+OFFSET(AP243,0,1)+OFFSET(AP244,0,1))*$B236/Параметры!AP$30)</f>
        <v>0</v>
      </c>
      <c r="AQ235" s="316">
        <f ca="1">IF(AND($B236=0,AQ$2&gt;1),AP235,(OFFSET(AQ232,0,1)+OFFSET(AQ243,0,1)+OFFSET(AQ244,0,1))*$B236/Параметры!AQ$30)</f>
        <v>0</v>
      </c>
      <c r="AR235" s="316">
        <f ca="1">IF(AND($B236=0,AR$2&gt;1),AQ235,(OFFSET(AR232,0,1)+OFFSET(AR243,0,1)+OFFSET(AR244,0,1))*$B236/Параметры!AR$30)</f>
        <v>0</v>
      </c>
      <c r="AS235" s="316">
        <f ca="1">IF(AND($B236=0,AS$2&gt;1),AR235,(OFFSET(AS232,0,1)+OFFSET(AS243,0,1)+OFFSET(AS244,0,1))*$B236/Параметры!AS$30)</f>
        <v>0</v>
      </c>
      <c r="AT235" s="316">
        <f ca="1">IF(AND($B236=0,AT$2&gt;1),AS235,(OFFSET(AT232,0,1)+OFFSET(AT243,0,1)+OFFSET(AT244,0,1))*$B236/Параметры!AT$30)</f>
        <v>0</v>
      </c>
      <c r="AU235" s="316">
        <f ca="1">IF(AND($B236=0,AU$2&gt;1),AT235,(OFFSET(AU232,0,1)+OFFSET(AU243,0,1)+OFFSET(AU244,0,1))*$B236/Параметры!AU$30)</f>
        <v>0</v>
      </c>
      <c r="AV235" s="316">
        <f ca="1">IF(AND($B236=0,AV$2&gt;1),AU235,(OFFSET(AV232,0,1)+OFFSET(AV243,0,1)+OFFSET(AV244,0,1))*$B236/Параметры!AV$30)</f>
        <v>0</v>
      </c>
      <c r="AW235" s="168"/>
      <c r="AX235" s="182"/>
    </row>
    <row r="236" spans="1:50" hidden="1" outlineLevel="1" x14ac:dyDescent="0.2">
      <c r="A236" s="181" t="str">
        <f ca="1">Language!A$601</f>
        <v>средний период предоплаты</v>
      </c>
      <c r="B236" s="320">
        <f>$B$624</f>
        <v>0</v>
      </c>
      <c r="C236" s="152" t="str">
        <f ca="1">Language!$A$1446</f>
        <v>дней</v>
      </c>
      <c r="D236" s="100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48"/>
      <c r="AX236" s="150"/>
    </row>
    <row r="237" spans="1:50" hidden="1" outlineLevel="1" x14ac:dyDescent="0.2">
      <c r="A237" s="179" t="str">
        <f ca="1">Language!A$602</f>
        <v>поступление денежных средств, с НДС</v>
      </c>
      <c r="B237" s="52"/>
      <c r="C237" s="103" t="str">
        <f ca="1">CHOOSE(D237,CurName1,CurName2,CurName3)</f>
        <v>тыс. руб.</v>
      </c>
      <c r="D237" s="155">
        <f>D228</f>
        <v>1</v>
      </c>
      <c r="E237" s="57" t="s">
        <v>993</v>
      </c>
      <c r="F237" s="57" t="s">
        <v>753</v>
      </c>
      <c r="G237" s="180">
        <f ca="1">G232+G243+G244-IF(G$2=1,G233,G233-F233)+IF(G$2=1,G235,G235-F235)</f>
        <v>543.4</v>
      </c>
      <c r="H237" s="180">
        <f t="shared" ref="H237" ca="1" si="1242">H232+H243+H244-IF(H$2=1,H233,H233-G233)+IF(H$2=1,H235,H235-G235)</f>
        <v>2795.7819560362223</v>
      </c>
      <c r="I237" s="180">
        <f t="shared" ref="I237" ca="1" si="1243">I232+I243+I244-IF(I$2=1,I233,I233-H233)+IF(I$2=1,I235,I235-H235)</f>
        <v>6471.6546407720743</v>
      </c>
      <c r="J237" s="180">
        <f t="shared" ref="J237" ca="1" si="1244">J232+J243+J244-IF(J$2=1,J233,J233-I233)+IF(J$2=1,J235,J235-I235)</f>
        <v>10011.030199185621</v>
      </c>
      <c r="K237" s="180">
        <f t="shared" ref="K237" ca="1" si="1245">K232+K243+K244-IF(K$2=1,K233,K233-J233)+IF(K$2=1,K235,K235-J235)</f>
        <v>12748.227383775378</v>
      </c>
      <c r="L237" s="180">
        <f t="shared" ref="L237" ca="1" si="1246">L232+L243+L244-IF(L$2=1,L233,L233-K233)+IF(L$2=1,L235,L235-K235)</f>
        <v>15230.123396549319</v>
      </c>
      <c r="M237" s="180">
        <f t="shared" ref="M237" ca="1" si="1247">M232+M243+M244-IF(M$2=1,M233,M233-L233)+IF(M$2=1,M235,M235-L235)</f>
        <v>17782.112359144601</v>
      </c>
      <c r="N237" s="180">
        <f t="shared" ref="N237" ca="1" si="1248">N232+N243+N244-IF(N$2=1,N233,N233-M233)+IF(N$2=1,N235,N235-M235)</f>
        <v>20405.716931666564</v>
      </c>
      <c r="O237" s="180">
        <f t="shared" ref="O237" ca="1" si="1249">O232+O243+O244-IF(O$2=1,O233,O233-N233)+IF(O$2=1,O235,O235-N235)</f>
        <v>23102.489368243427</v>
      </c>
      <c r="P237" s="180">
        <f t="shared" ref="P237" ca="1" si="1250">P232+P243+P244-IF(P$2=1,P233,P233-O233)+IF(P$2=1,P235,P235-O235)</f>
        <v>25874.012057680728</v>
      </c>
      <c r="Q237" s="180">
        <f t="shared" ref="Q237" ca="1" si="1251">Q232+Q243+Q244-IF(Q$2=1,Q233,Q233-P233)+IF(Q$2=1,Q235,Q235-P235)</f>
        <v>27150.362175522263</v>
      </c>
      <c r="R237" s="180">
        <f t="shared" ref="R237" ca="1" si="1252">R232+R243+R244-IF(R$2=1,R233,R233-Q233)+IF(R$2=1,R235,R235-Q235)</f>
        <v>27548.762413509263</v>
      </c>
      <c r="S237" s="180">
        <f t="shared" ref="S237" ca="1" si="1253">S232+S243+S244-IF(S$2=1,S233,S233-R233)+IF(S$2=1,S235,S235-R235)</f>
        <v>27953.008715302043</v>
      </c>
      <c r="T237" s="180">
        <f t="shared" ref="T237" ca="1" si="1254">T232+T243+T244-IF(T$2=1,T233,T233-S233)+IF(T$2=1,T235,T235-S235)</f>
        <v>28363.186865141579</v>
      </c>
      <c r="U237" s="180">
        <f t="shared" ref="U237" ca="1" si="1255">U232+U243+U244-IF(U$2=1,U233,U233-T233)+IF(U$2=1,U235,U235-T235)</f>
        <v>28779.383906053605</v>
      </c>
      <c r="V237" s="180">
        <f t="shared" ref="V237" ca="1" si="1256">V232+V243+V244-IF(V$2=1,V233,V233-U233)+IF(V$2=1,V235,V235-U235)</f>
        <v>29201.688158319823</v>
      </c>
      <c r="W237" s="180">
        <f t="shared" ref="W237" ca="1" si="1257">W232+W243+W244-IF(W$2=1,W233,W233-V233)+IF(W$2=1,W235,W235-V235)</f>
        <v>29630.189238220169</v>
      </c>
      <c r="X237" s="180">
        <f t="shared" ref="X237" ca="1" si="1258">X232+X243+X244-IF(X$2=1,X233,X233-W233)+IF(X$2=1,X235,X235-W235)</f>
        <v>30064.978077050073</v>
      </c>
      <c r="Y237" s="180">
        <f t="shared" ref="Y237" ca="1" si="1259">Y232+Y243+Y244-IF(Y$2=1,Y233,Y233-X233)+IF(Y$2=1,Y235,Y235-X235)</f>
        <v>30506.146940416824</v>
      </c>
      <c r="Z237" s="180">
        <f t="shared" ref="Z237" ca="1" si="1260">Z232+Z243+Z244-IF(Z$2=1,Z233,Z233-Y233)+IF(Z$2=1,Z235,Z235-Y235)</f>
        <v>30953.789447819014</v>
      </c>
      <c r="AA237" s="180">
        <f t="shared" ref="AA237" ca="1" si="1261">AA232+AA243+AA244-IF(AA$2=1,AA233,AA233-Z233)+IF(AA$2=1,AA235,AA235-Z235)</f>
        <v>31408.000592513374</v>
      </c>
      <c r="AB237" s="180">
        <f t="shared" ref="AB237" ca="1" si="1262">AB232+AB243+AB244-IF(AB$2=1,AB233,AB233-AA233)+IF(AB$2=1,AB235,AB235-AA235)</f>
        <v>31868.87676167308</v>
      </c>
      <c r="AC237" s="180">
        <f t="shared" ref="AC237" ca="1" si="1263">AC232+AC243+AC244-IF(AC$2=1,AC233,AC233-AB233)+IF(AC$2=1,AC235,AC235-AB235)</f>
        <v>32336.515756841829</v>
      </c>
      <c r="AD237" s="180">
        <f t="shared" ref="AD237" ca="1" si="1264">AD232+AD243+AD244-IF(AD$2=1,AD233,AD233-AC233)+IF(AD$2=1,AD235,AD235-AC235)</f>
        <v>32811.016814688155</v>
      </c>
      <c r="AE237" s="180">
        <f t="shared" ref="AE237" ca="1" si="1265">AE232+AE243+AE244-IF(AE$2=1,AE233,AE233-AD233)+IF(AE$2=1,AE235,AE235-AD235)</f>
        <v>33292.480628064179</v>
      </c>
      <c r="AF237" s="180">
        <f t="shared" ref="AF237" ca="1" si="1266">AF232+AF243+AF244-IF(AF$2=1,AF233,AF233-AE233)+IF(AF$2=1,AF235,AF235-AE235)</f>
        <v>33781.009367373466</v>
      </c>
      <c r="AG237" s="180">
        <f t="shared" ref="AG237" ca="1" si="1267">AG232+AG243+AG244-IF(AG$2=1,AG233,AG233-AF233)+IF(AG$2=1,AG235,AG235-AF235)</f>
        <v>34276.706702252341</v>
      </c>
      <c r="AH237" s="180">
        <f t="shared" ref="AH237" ca="1" si="1268">AH232+AH243+AH244-IF(AH$2=1,AH233,AH233-AG233)+IF(AH$2=1,AH235,AH235-AG235)</f>
        <v>34779.677823569444</v>
      </c>
      <c r="AI237" s="180">
        <f t="shared" ref="AI237" ca="1" si="1269">AI232+AI243+AI244-IF(AI$2=1,AI233,AI233-AH233)+IF(AI$2=1,AI235,AI235-AH235)</f>
        <v>35290.029465748034</v>
      </c>
      <c r="AJ237" s="180">
        <f t="shared" ref="AJ237" ca="1" si="1270">AJ232+AJ243+AJ244-IF(AJ$2=1,AJ233,AJ233-AI233)+IF(AJ$2=1,AJ235,AJ235-AI235)</f>
        <v>35807.869929415872</v>
      </c>
      <c r="AK237" s="180">
        <f t="shared" ref="AK237" ca="1" si="1271">AK232+AK243+AK244-IF(AK$2=1,AK233,AK233-AJ233)+IF(AK$2=1,AK235,AK235-AJ235)</f>
        <v>36333.309104387481</v>
      </c>
      <c r="AL237" s="180">
        <f t="shared" ref="AL237" ca="1" si="1272">AL232+AL243+AL244-IF(AL$2=1,AL233,AL233-AK233)+IF(AL$2=1,AL235,AL235-AK235)</f>
        <v>36866.458492983613</v>
      </c>
      <c r="AM237" s="180">
        <f t="shared" ref="AM237" ca="1" si="1273">AM232+AM243+AM244-IF(AM$2=1,AM233,AM233-AL233)+IF(AM$2=1,AM235,AM235-AL235)</f>
        <v>37407.431233692922</v>
      </c>
      <c r="AN237" s="180">
        <f t="shared" ref="AN237" ca="1" si="1274">AN232+AN243+AN244-IF(AN$2=1,AN233,AN233-AM233)+IF(AN$2=1,AN235,AN235-AM235)</f>
        <v>37956.342125180825</v>
      </c>
      <c r="AO237" s="180">
        <f t="shared" ref="AO237" ca="1" si="1275">AO232+AO243+AO244-IF(AO$2=1,AO233,AO233-AN233)+IF(AO$2=1,AO235,AO235-AN235)</f>
        <v>38513.307650650742</v>
      </c>
      <c r="AP237" s="180">
        <f t="shared" ref="AP237" ca="1" si="1276">AP232+AP243+AP244-IF(AP$2=1,AP233,AP233-AO233)+IF(AP$2=1,AP235,AP235-AO235)</f>
        <v>39078.446002562632</v>
      </c>
      <c r="AQ237" s="180">
        <f t="shared" ref="AQ237" ca="1" si="1277">AQ232+AQ243+AQ244-IF(AQ$2=1,AQ233,AQ233-AP233)+IF(AQ$2=1,AQ235,AQ235-AP235)</f>
        <v>39651.877107714499</v>
      </c>
      <c r="AR237" s="180">
        <f t="shared" ref="AR237" ca="1" si="1278">AR232+AR243+AR244-IF(AR$2=1,AR233,AR233-AQ233)+IF(AR$2=1,AR235,AR235-AQ235)</f>
        <v>40233.722652691686</v>
      </c>
      <c r="AS237" s="180">
        <f t="shared" ref="AS237" ca="1" si="1279">AS232+AS243+AS244-IF(AS$2=1,AS233,AS233-AR233)+IF(AS$2=1,AS235,AS235-AR235)</f>
        <v>40824.10610968979</v>
      </c>
      <c r="AT237" s="180">
        <f t="shared" ref="AT237" ca="1" si="1280">AT232+AT243+AT244-IF(AT$2=1,AT233,AT233-AS233)+IF(AT$2=1,AT235,AT235-AS235)</f>
        <v>41423.152762716403</v>
      </c>
      <c r="AU237" s="180">
        <f t="shared" ref="AU237" ca="1" si="1281">AU232+AU243+AU244-IF(AU$2=1,AU233,AU233-AT233)+IF(AU$2=1,AU235,AU235-AT235)</f>
        <v>42030.989734177376</v>
      </c>
      <c r="AV237" s="180">
        <f t="shared" ref="AV237" ca="1" si="1282">AV232+AV243+AV244-IF(AV$2=1,AV233,AV233-AU233)+IF(AV$2=1,AV235,AV235-AU235)</f>
        <v>42647.746011853196</v>
      </c>
      <c r="AW237" s="180"/>
      <c r="AX237" s="169">
        <f ca="1">SUM(G237:AW237)</f>
        <v>1233735.1170608494</v>
      </c>
    </row>
    <row r="238" spans="1:50" hidden="1" outlineLevel="1" x14ac:dyDescent="0.2">
      <c r="A238" s="179" t="str">
        <f ca="1">Language!A$603</f>
        <v>темп изменения цен</v>
      </c>
      <c r="B238" s="84"/>
      <c r="C238" s="82" t="str">
        <f ca="1">Language!$A$471</f>
        <v>% в год</v>
      </c>
      <c r="D238" s="153"/>
      <c r="F238" s="57" t="s">
        <v>756</v>
      </c>
      <c r="G238" s="321">
        <f>CHOOSE($D228,Параметры!G$47,Параметры!G$56,Параметры!G$62)</f>
        <v>0.06</v>
      </c>
      <c r="H238" s="321">
        <f>CHOOSE($D228,Параметры!H$47,Параметры!H$56,Параметры!H$62)</f>
        <v>0.06</v>
      </c>
      <c r="I238" s="321">
        <f>CHOOSE($D228,Параметры!I$47,Параметры!I$56,Параметры!I$62)</f>
        <v>0.06</v>
      </c>
      <c r="J238" s="321">
        <f>CHOOSE($D228,Параметры!J$47,Параметры!J$56,Параметры!J$62)</f>
        <v>0.06</v>
      </c>
      <c r="K238" s="321">
        <f>CHOOSE($D228,Параметры!K$47,Параметры!K$56,Параметры!K$62)</f>
        <v>0.06</v>
      </c>
      <c r="L238" s="321">
        <f>CHOOSE($D228,Параметры!L$47,Параметры!L$56,Параметры!L$62)</f>
        <v>0.06</v>
      </c>
      <c r="M238" s="321">
        <f>CHOOSE($D228,Параметры!M$47,Параметры!M$56,Параметры!M$62)</f>
        <v>0.06</v>
      </c>
      <c r="N238" s="321">
        <f>CHOOSE($D228,Параметры!N$47,Параметры!N$56,Параметры!N$62)</f>
        <v>0.06</v>
      </c>
      <c r="O238" s="321">
        <f>CHOOSE($D228,Параметры!O$47,Параметры!O$56,Параметры!O$62)</f>
        <v>0.06</v>
      </c>
      <c r="P238" s="321">
        <f>CHOOSE($D228,Параметры!P$47,Параметры!P$56,Параметры!P$62)</f>
        <v>0.06</v>
      </c>
      <c r="Q238" s="321">
        <f>CHOOSE($D228,Параметры!Q$47,Параметры!Q$56,Параметры!Q$62)</f>
        <v>0.06</v>
      </c>
      <c r="R238" s="321">
        <f>CHOOSE($D228,Параметры!R$47,Параметры!R$56,Параметры!R$62)</f>
        <v>0.06</v>
      </c>
      <c r="S238" s="321">
        <f>CHOOSE($D228,Параметры!S$47,Параметры!S$56,Параметры!S$62)</f>
        <v>0.06</v>
      </c>
      <c r="T238" s="321">
        <f>CHOOSE($D228,Параметры!T$47,Параметры!T$56,Параметры!T$62)</f>
        <v>0.06</v>
      </c>
      <c r="U238" s="321">
        <f>CHOOSE($D228,Параметры!U$47,Параметры!U$56,Параметры!U$62)</f>
        <v>0.06</v>
      </c>
      <c r="V238" s="321">
        <f>CHOOSE($D228,Параметры!V$47,Параметры!V$56,Параметры!V$62)</f>
        <v>0.06</v>
      </c>
      <c r="W238" s="321">
        <f>CHOOSE($D228,Параметры!W$47,Параметры!W$56,Параметры!W$62)</f>
        <v>0.06</v>
      </c>
      <c r="X238" s="321">
        <f>CHOOSE($D228,Параметры!X$47,Параметры!X$56,Параметры!X$62)</f>
        <v>0.06</v>
      </c>
      <c r="Y238" s="321">
        <f>CHOOSE($D228,Параметры!Y$47,Параметры!Y$56,Параметры!Y$62)</f>
        <v>0.06</v>
      </c>
      <c r="Z238" s="321">
        <f>CHOOSE($D228,Параметры!Z$47,Параметры!Z$56,Параметры!Z$62)</f>
        <v>0.06</v>
      </c>
      <c r="AA238" s="321">
        <f>CHOOSE($D228,Параметры!AA$47,Параметры!AA$56,Параметры!AA$62)</f>
        <v>0.06</v>
      </c>
      <c r="AB238" s="321">
        <f>CHOOSE($D228,Параметры!AB$47,Параметры!AB$56,Параметры!AB$62)</f>
        <v>0.06</v>
      </c>
      <c r="AC238" s="321">
        <f>CHOOSE($D228,Параметры!AC$47,Параметры!AC$56,Параметры!AC$62)</f>
        <v>0.06</v>
      </c>
      <c r="AD238" s="321">
        <f>CHOOSE($D228,Параметры!AD$47,Параметры!AD$56,Параметры!AD$62)</f>
        <v>0.06</v>
      </c>
      <c r="AE238" s="321">
        <f>CHOOSE($D228,Параметры!AE$47,Параметры!AE$56,Параметры!AE$62)</f>
        <v>0.06</v>
      </c>
      <c r="AF238" s="321">
        <f>CHOOSE($D228,Параметры!AF$47,Параметры!AF$56,Параметры!AF$62)</f>
        <v>0.06</v>
      </c>
      <c r="AG238" s="321">
        <f>CHOOSE($D228,Параметры!AG$47,Параметры!AG$56,Параметры!AG$62)</f>
        <v>0.06</v>
      </c>
      <c r="AH238" s="321">
        <f>CHOOSE($D228,Параметры!AH$47,Параметры!AH$56,Параметры!AH$62)</f>
        <v>0.06</v>
      </c>
      <c r="AI238" s="321">
        <f>CHOOSE($D228,Параметры!AI$47,Параметры!AI$56,Параметры!AI$62)</f>
        <v>0.06</v>
      </c>
      <c r="AJ238" s="321">
        <f>CHOOSE($D228,Параметры!AJ$47,Параметры!AJ$56,Параметры!AJ$62)</f>
        <v>0.06</v>
      </c>
      <c r="AK238" s="321">
        <f>CHOOSE($D228,Параметры!AK$47,Параметры!AK$56,Параметры!AK$62)</f>
        <v>0.06</v>
      </c>
      <c r="AL238" s="321">
        <f>CHOOSE($D228,Параметры!AL$47,Параметры!AL$56,Параметры!AL$62)</f>
        <v>0.06</v>
      </c>
      <c r="AM238" s="321">
        <f>CHOOSE($D228,Параметры!AM$47,Параметры!AM$56,Параметры!AM$62)</f>
        <v>0.06</v>
      </c>
      <c r="AN238" s="321">
        <f>CHOOSE($D228,Параметры!AN$47,Параметры!AN$56,Параметры!AN$62)</f>
        <v>0.06</v>
      </c>
      <c r="AO238" s="321">
        <f>CHOOSE($D228,Параметры!AO$47,Параметры!AO$56,Параметры!AO$62)</f>
        <v>0.06</v>
      </c>
      <c r="AP238" s="321">
        <f>CHOOSE($D228,Параметры!AP$47,Параметры!AP$56,Параметры!AP$62)</f>
        <v>0.06</v>
      </c>
      <c r="AQ238" s="321">
        <f>CHOOSE($D228,Параметры!AQ$47,Параметры!AQ$56,Параметры!AQ$62)</f>
        <v>0.06</v>
      </c>
      <c r="AR238" s="321">
        <f>CHOOSE($D228,Параметры!AR$47,Параметры!AR$56,Параметры!AR$62)</f>
        <v>0.06</v>
      </c>
      <c r="AS238" s="321">
        <f>CHOOSE($D228,Параметры!AS$47,Параметры!AS$56,Параметры!AS$62)</f>
        <v>0.06</v>
      </c>
      <c r="AT238" s="321">
        <f>CHOOSE($D228,Параметры!AT$47,Параметры!AT$56,Параметры!AT$62)</f>
        <v>0.06</v>
      </c>
      <c r="AU238" s="321">
        <f>CHOOSE($D228,Параметры!AU$47,Параметры!AU$56,Параметры!AU$62)</f>
        <v>0.06</v>
      </c>
      <c r="AV238" s="321">
        <f>CHOOSE($D228,Параметры!AV$47,Параметры!AV$56,Параметры!AV$62)</f>
        <v>0.06</v>
      </c>
      <c r="AW238" s="183"/>
      <c r="AX238" s="184"/>
    </row>
    <row r="239" spans="1:50" hidden="1" outlineLevel="1" x14ac:dyDescent="0.2">
      <c r="A239" s="179" t="str">
        <f ca="1">Language!A$604</f>
        <v>ставка НДС</v>
      </c>
      <c r="B239" s="84"/>
      <c r="C239" s="82" t="s">
        <v>1</v>
      </c>
      <c r="D239" s="66"/>
      <c r="F239" s="57" t="s">
        <v>756</v>
      </c>
      <c r="G239" s="321">
        <f>Параметры!G$72*10/18</f>
        <v>9.9999999999999992E-2</v>
      </c>
      <c r="H239" s="321">
        <f>Параметры!H$72*10/18</f>
        <v>9.9999999999999992E-2</v>
      </c>
      <c r="I239" s="321">
        <f>Параметры!I$72*10/18</f>
        <v>9.9999999999999992E-2</v>
      </c>
      <c r="J239" s="321">
        <f>Параметры!J$72*10/18</f>
        <v>9.9999999999999992E-2</v>
      </c>
      <c r="K239" s="321">
        <f>Параметры!K$72*10/18</f>
        <v>9.9999999999999992E-2</v>
      </c>
      <c r="L239" s="321">
        <f>Параметры!L$72*10/18</f>
        <v>9.9999999999999992E-2</v>
      </c>
      <c r="M239" s="321">
        <f>Параметры!M$72*10/18</f>
        <v>9.9999999999999992E-2</v>
      </c>
      <c r="N239" s="321">
        <f>Параметры!N$72*10/18</f>
        <v>9.9999999999999992E-2</v>
      </c>
      <c r="O239" s="321">
        <f>Параметры!O$72*10/18</f>
        <v>9.9999999999999992E-2</v>
      </c>
      <c r="P239" s="321">
        <f>Параметры!P$72*10/18</f>
        <v>9.9999999999999992E-2</v>
      </c>
      <c r="Q239" s="321">
        <f>Параметры!Q$72*10/18</f>
        <v>9.9999999999999992E-2</v>
      </c>
      <c r="R239" s="321">
        <f>Параметры!R$72*10/18</f>
        <v>9.9999999999999992E-2</v>
      </c>
      <c r="S239" s="321">
        <f>Параметры!S$72*10/18</f>
        <v>9.9999999999999992E-2</v>
      </c>
      <c r="T239" s="321">
        <f>Параметры!T$72*10/18</f>
        <v>9.9999999999999992E-2</v>
      </c>
      <c r="U239" s="321">
        <f>Параметры!U$72*10/18</f>
        <v>9.9999999999999992E-2</v>
      </c>
      <c r="V239" s="321">
        <f>Параметры!V$72*10/18</f>
        <v>9.9999999999999992E-2</v>
      </c>
      <c r="W239" s="321">
        <f>Параметры!W$72*10/18</f>
        <v>9.9999999999999992E-2</v>
      </c>
      <c r="X239" s="321">
        <f>Параметры!X$72*10/18</f>
        <v>9.9999999999999992E-2</v>
      </c>
      <c r="Y239" s="321">
        <f>Параметры!Y$72*10/18</f>
        <v>9.9999999999999992E-2</v>
      </c>
      <c r="Z239" s="321">
        <f>Параметры!Z$72*10/18</f>
        <v>9.9999999999999992E-2</v>
      </c>
      <c r="AA239" s="321">
        <f>Параметры!AA$72*10/18</f>
        <v>9.9999999999999992E-2</v>
      </c>
      <c r="AB239" s="321">
        <f>Параметры!AB$72*10/18</f>
        <v>9.9999999999999992E-2</v>
      </c>
      <c r="AC239" s="321">
        <f>Параметры!AC$72*10/18</f>
        <v>9.9999999999999992E-2</v>
      </c>
      <c r="AD239" s="321">
        <f>Параметры!AD$72*10/18</f>
        <v>9.9999999999999992E-2</v>
      </c>
      <c r="AE239" s="321">
        <f>Параметры!AE$72*10/18</f>
        <v>9.9999999999999992E-2</v>
      </c>
      <c r="AF239" s="321">
        <f>Параметры!AF$72*10/18</f>
        <v>9.9999999999999992E-2</v>
      </c>
      <c r="AG239" s="321">
        <f>Параметры!AG$72*10/18</f>
        <v>9.9999999999999992E-2</v>
      </c>
      <c r="AH239" s="321">
        <f>Параметры!AH$72*10/18</f>
        <v>9.9999999999999992E-2</v>
      </c>
      <c r="AI239" s="321">
        <f>Параметры!AI$72*10/18</f>
        <v>9.9999999999999992E-2</v>
      </c>
      <c r="AJ239" s="321">
        <f>Параметры!AJ$72*10/18</f>
        <v>9.9999999999999992E-2</v>
      </c>
      <c r="AK239" s="321">
        <f>Параметры!AK$72*10/18</f>
        <v>9.9999999999999992E-2</v>
      </c>
      <c r="AL239" s="321">
        <f>Параметры!AL$72*10/18</f>
        <v>9.9999999999999992E-2</v>
      </c>
      <c r="AM239" s="321">
        <f>Параметры!AM$72*10/18</f>
        <v>9.9999999999999992E-2</v>
      </c>
      <c r="AN239" s="321">
        <f>Параметры!AN$72*10/18</f>
        <v>9.9999999999999992E-2</v>
      </c>
      <c r="AO239" s="321">
        <f>Параметры!AO$72*10/18</f>
        <v>9.9999999999999992E-2</v>
      </c>
      <c r="AP239" s="321">
        <f>Параметры!AP$72*10/18</f>
        <v>9.9999999999999992E-2</v>
      </c>
      <c r="AQ239" s="321">
        <f>Параметры!AQ$72*10/18</f>
        <v>9.9999999999999992E-2</v>
      </c>
      <c r="AR239" s="321">
        <f>Параметры!AR$72*10/18</f>
        <v>9.9999999999999992E-2</v>
      </c>
      <c r="AS239" s="321">
        <f>Параметры!AS$72*10/18</f>
        <v>9.9999999999999992E-2</v>
      </c>
      <c r="AT239" s="321">
        <f>Параметры!AT$72*10/18</f>
        <v>9.9999999999999992E-2</v>
      </c>
      <c r="AU239" s="321">
        <f>Параметры!AU$72*10/18</f>
        <v>9.9999999999999992E-2</v>
      </c>
      <c r="AV239" s="321">
        <f>Параметры!AV$72*10/18</f>
        <v>9.9999999999999992E-2</v>
      </c>
      <c r="AW239" s="183"/>
      <c r="AX239" s="87"/>
    </row>
    <row r="240" spans="1:50" hidden="1" outlineLevel="1" x14ac:dyDescent="0.2">
      <c r="A240" s="179" t="str">
        <f ca="1">Language!A$605</f>
        <v>акцизы, на единицу</v>
      </c>
      <c r="B240" s="66"/>
      <c r="C240" s="82" t="str">
        <f ca="1">CHOOSE(D240,CurName1,CurName2,CurName3)&amp;"/"&amp;C230</f>
        <v>тыс. руб./тн</v>
      </c>
      <c r="D240" s="66">
        <f>D228</f>
        <v>1</v>
      </c>
      <c r="F240" s="57" t="s">
        <v>756</v>
      </c>
      <c r="G240" s="319">
        <v>0</v>
      </c>
      <c r="H240" s="319">
        <f t="shared" ref="H240:H241" si="1283">G240</f>
        <v>0</v>
      </c>
      <c r="I240" s="319">
        <f t="shared" ref="I240:I241" si="1284">H240</f>
        <v>0</v>
      </c>
      <c r="J240" s="319">
        <f t="shared" ref="J240:J241" si="1285">I240</f>
        <v>0</v>
      </c>
      <c r="K240" s="319">
        <f t="shared" ref="K240:K241" si="1286">J240</f>
        <v>0</v>
      </c>
      <c r="L240" s="319">
        <f t="shared" ref="L240:L241" si="1287">K240</f>
        <v>0</v>
      </c>
      <c r="M240" s="319">
        <f t="shared" ref="M240:M241" si="1288">L240</f>
        <v>0</v>
      </c>
      <c r="N240" s="319">
        <f t="shared" ref="N240:N241" si="1289">M240</f>
        <v>0</v>
      </c>
      <c r="O240" s="319">
        <f t="shared" ref="O240:O241" si="1290">N240</f>
        <v>0</v>
      </c>
      <c r="P240" s="319">
        <f t="shared" ref="P240:P241" si="1291">O240</f>
        <v>0</v>
      </c>
      <c r="Q240" s="319">
        <f t="shared" ref="Q240:Q241" si="1292">P240</f>
        <v>0</v>
      </c>
      <c r="R240" s="319">
        <f t="shared" ref="R240:R241" si="1293">Q240</f>
        <v>0</v>
      </c>
      <c r="S240" s="319">
        <f t="shared" ref="S240:S241" si="1294">R240</f>
        <v>0</v>
      </c>
      <c r="T240" s="319">
        <f t="shared" ref="T240:T241" si="1295">S240</f>
        <v>0</v>
      </c>
      <c r="U240" s="319">
        <f t="shared" ref="U240:U241" si="1296">T240</f>
        <v>0</v>
      </c>
      <c r="V240" s="319">
        <f t="shared" ref="V240:V241" si="1297">U240</f>
        <v>0</v>
      </c>
      <c r="W240" s="319">
        <f t="shared" ref="W240:W241" si="1298">V240</f>
        <v>0</v>
      </c>
      <c r="X240" s="319">
        <f t="shared" ref="X240:X241" si="1299">W240</f>
        <v>0</v>
      </c>
      <c r="Y240" s="319">
        <f t="shared" ref="Y240:Y241" si="1300">X240</f>
        <v>0</v>
      </c>
      <c r="Z240" s="319">
        <f t="shared" ref="Z240:Z241" si="1301">Y240</f>
        <v>0</v>
      </c>
      <c r="AA240" s="319">
        <f t="shared" ref="AA240:AA241" si="1302">Z240</f>
        <v>0</v>
      </c>
      <c r="AB240" s="319">
        <f t="shared" ref="AB240:AB241" si="1303">AA240</f>
        <v>0</v>
      </c>
      <c r="AC240" s="319">
        <f t="shared" ref="AC240:AC241" si="1304">AB240</f>
        <v>0</v>
      </c>
      <c r="AD240" s="319">
        <f t="shared" ref="AD240:AD241" si="1305">AC240</f>
        <v>0</v>
      </c>
      <c r="AE240" s="319">
        <f t="shared" ref="AE240:AE241" si="1306">AD240</f>
        <v>0</v>
      </c>
      <c r="AF240" s="319">
        <f t="shared" ref="AF240:AF241" si="1307">AE240</f>
        <v>0</v>
      </c>
      <c r="AG240" s="319">
        <f t="shared" ref="AG240:AG241" si="1308">AF240</f>
        <v>0</v>
      </c>
      <c r="AH240" s="319">
        <f t="shared" ref="AH240:AH241" si="1309">AG240</f>
        <v>0</v>
      </c>
      <c r="AI240" s="319">
        <f t="shared" ref="AI240:AI241" si="1310">AH240</f>
        <v>0</v>
      </c>
      <c r="AJ240" s="319">
        <f t="shared" ref="AJ240:AJ241" si="1311">AI240</f>
        <v>0</v>
      </c>
      <c r="AK240" s="319">
        <f t="shared" ref="AK240:AK241" si="1312">AJ240</f>
        <v>0</v>
      </c>
      <c r="AL240" s="319">
        <f t="shared" ref="AL240:AL241" si="1313">AK240</f>
        <v>0</v>
      </c>
      <c r="AM240" s="319">
        <f t="shared" ref="AM240:AM241" si="1314">AL240</f>
        <v>0</v>
      </c>
      <c r="AN240" s="319">
        <f t="shared" ref="AN240:AN241" si="1315">AM240</f>
        <v>0</v>
      </c>
      <c r="AO240" s="319">
        <f t="shared" ref="AO240:AO241" si="1316">AN240</f>
        <v>0</v>
      </c>
      <c r="AP240" s="319">
        <f t="shared" ref="AP240:AP241" si="1317">AO240</f>
        <v>0</v>
      </c>
      <c r="AQ240" s="319">
        <f t="shared" ref="AQ240:AQ241" si="1318">AP240</f>
        <v>0</v>
      </c>
      <c r="AR240" s="319">
        <f t="shared" ref="AR240:AR241" si="1319">AQ240</f>
        <v>0</v>
      </c>
      <c r="AS240" s="319">
        <f t="shared" ref="AS240:AS241" si="1320">AR240</f>
        <v>0</v>
      </c>
      <c r="AT240" s="319">
        <f t="shared" ref="AT240:AT241" si="1321">AS240</f>
        <v>0</v>
      </c>
      <c r="AU240" s="319">
        <f t="shared" ref="AU240:AU241" si="1322">AT240</f>
        <v>0</v>
      </c>
      <c r="AV240" s="319">
        <f t="shared" ref="AV240:AV241" si="1323">AU240</f>
        <v>0</v>
      </c>
      <c r="AW240" s="180"/>
      <c r="AX240" s="87"/>
    </row>
    <row r="241" spans="1:50" hidden="1" outlineLevel="1" x14ac:dyDescent="0.2">
      <c r="A241" s="179" t="str">
        <f ca="1">Language!A$606</f>
        <v>ставка акцизов, в процентах</v>
      </c>
      <c r="B241" s="84"/>
      <c r="C241" s="82" t="s">
        <v>1</v>
      </c>
      <c r="D241" s="66"/>
      <c r="F241" s="57" t="s">
        <v>756</v>
      </c>
      <c r="G241" s="321">
        <v>0</v>
      </c>
      <c r="H241" s="321">
        <f t="shared" si="1283"/>
        <v>0</v>
      </c>
      <c r="I241" s="321">
        <f t="shared" si="1284"/>
        <v>0</v>
      </c>
      <c r="J241" s="321">
        <f t="shared" si="1285"/>
        <v>0</v>
      </c>
      <c r="K241" s="321">
        <f t="shared" si="1286"/>
        <v>0</v>
      </c>
      <c r="L241" s="321">
        <f t="shared" si="1287"/>
        <v>0</v>
      </c>
      <c r="M241" s="321">
        <f t="shared" si="1288"/>
        <v>0</v>
      </c>
      <c r="N241" s="321">
        <f t="shared" si="1289"/>
        <v>0</v>
      </c>
      <c r="O241" s="321">
        <f t="shared" si="1290"/>
        <v>0</v>
      </c>
      <c r="P241" s="321">
        <f t="shared" si="1291"/>
        <v>0</v>
      </c>
      <c r="Q241" s="321">
        <f t="shared" si="1292"/>
        <v>0</v>
      </c>
      <c r="R241" s="321">
        <f t="shared" si="1293"/>
        <v>0</v>
      </c>
      <c r="S241" s="321">
        <f t="shared" si="1294"/>
        <v>0</v>
      </c>
      <c r="T241" s="321">
        <f t="shared" si="1295"/>
        <v>0</v>
      </c>
      <c r="U241" s="321">
        <f t="shared" si="1296"/>
        <v>0</v>
      </c>
      <c r="V241" s="321">
        <f t="shared" si="1297"/>
        <v>0</v>
      </c>
      <c r="W241" s="321">
        <f t="shared" si="1298"/>
        <v>0</v>
      </c>
      <c r="X241" s="321">
        <f t="shared" si="1299"/>
        <v>0</v>
      </c>
      <c r="Y241" s="321">
        <f t="shared" si="1300"/>
        <v>0</v>
      </c>
      <c r="Z241" s="321">
        <f t="shared" si="1301"/>
        <v>0</v>
      </c>
      <c r="AA241" s="321">
        <f t="shared" si="1302"/>
        <v>0</v>
      </c>
      <c r="AB241" s="321">
        <f t="shared" si="1303"/>
        <v>0</v>
      </c>
      <c r="AC241" s="321">
        <f t="shared" si="1304"/>
        <v>0</v>
      </c>
      <c r="AD241" s="321">
        <f t="shared" si="1305"/>
        <v>0</v>
      </c>
      <c r="AE241" s="321">
        <f t="shared" si="1306"/>
        <v>0</v>
      </c>
      <c r="AF241" s="321">
        <f t="shared" si="1307"/>
        <v>0</v>
      </c>
      <c r="AG241" s="321">
        <f t="shared" si="1308"/>
        <v>0</v>
      </c>
      <c r="AH241" s="321">
        <f t="shared" si="1309"/>
        <v>0</v>
      </c>
      <c r="AI241" s="321">
        <f t="shared" si="1310"/>
        <v>0</v>
      </c>
      <c r="AJ241" s="321">
        <f t="shared" si="1311"/>
        <v>0</v>
      </c>
      <c r="AK241" s="321">
        <f t="shared" si="1312"/>
        <v>0</v>
      </c>
      <c r="AL241" s="321">
        <f t="shared" si="1313"/>
        <v>0</v>
      </c>
      <c r="AM241" s="321">
        <f t="shared" si="1314"/>
        <v>0</v>
      </c>
      <c r="AN241" s="321">
        <f t="shared" si="1315"/>
        <v>0</v>
      </c>
      <c r="AO241" s="321">
        <f t="shared" si="1316"/>
        <v>0</v>
      </c>
      <c r="AP241" s="321">
        <f t="shared" si="1317"/>
        <v>0</v>
      </c>
      <c r="AQ241" s="321">
        <f t="shared" si="1318"/>
        <v>0</v>
      </c>
      <c r="AR241" s="321">
        <f t="shared" si="1319"/>
        <v>0</v>
      </c>
      <c r="AS241" s="321">
        <f t="shared" si="1320"/>
        <v>0</v>
      </c>
      <c r="AT241" s="321">
        <f t="shared" si="1321"/>
        <v>0</v>
      </c>
      <c r="AU241" s="321">
        <f t="shared" si="1322"/>
        <v>0</v>
      </c>
      <c r="AV241" s="321">
        <f t="shared" si="1323"/>
        <v>0</v>
      </c>
      <c r="AW241" s="183"/>
      <c r="AX241" s="87"/>
    </row>
    <row r="242" spans="1:50" hidden="1" outlineLevel="1" x14ac:dyDescent="0.2">
      <c r="A242" s="179" t="str">
        <f ca="1">Language!A$607</f>
        <v>коэффициент прироста цен к предыдущему периоду</v>
      </c>
      <c r="B242" s="84"/>
      <c r="C242" s="82" t="str">
        <f ca="1">Language!$A$1449</f>
        <v>раз</v>
      </c>
      <c r="D242" s="66"/>
      <c r="F242" s="57" t="s">
        <v>756</v>
      </c>
      <c r="G242" s="86">
        <f ca="1">IF(G$2=1,1,IF(Prj_Inflation=1,POWER(1+OFFSET(G238,0,-1),Параметры!G$30/360),1))</f>
        <v>1</v>
      </c>
      <c r="H242" s="86">
        <f ca="1">IF(H$2=1,1,IF(Prj_Inflation=1,POWER(1+OFFSET(H238,0,-1),Параметры!H$30/360),1))</f>
        <v>1.0146738461686593</v>
      </c>
      <c r="I242" s="86">
        <f ca="1">IF(I$2=1,1,IF(Prj_Inflation=1,POWER(1+OFFSET(I238,0,-1),Параметры!I$30/360),1))</f>
        <v>1.0146738461686593</v>
      </c>
      <c r="J242" s="86">
        <f ca="1">IF(J$2=1,1,IF(Prj_Inflation=1,POWER(1+OFFSET(J238,0,-1),Параметры!J$30/360),1))</f>
        <v>1.0146738461686593</v>
      </c>
      <c r="K242" s="86">
        <f ca="1">IF(K$2=1,1,IF(Prj_Inflation=1,POWER(1+OFFSET(K238,0,-1),Параметры!K$30/360),1))</f>
        <v>1.0146738461686593</v>
      </c>
      <c r="L242" s="86">
        <f ca="1">IF(L$2=1,1,IF(Prj_Inflation=1,POWER(1+OFFSET(L238,0,-1),Параметры!L$30/360),1))</f>
        <v>1.0146738461686593</v>
      </c>
      <c r="M242" s="86">
        <f ca="1">IF(M$2=1,1,IF(Prj_Inflation=1,POWER(1+OFFSET(M238,0,-1),Параметры!M$30/360),1))</f>
        <v>1.0146738461686593</v>
      </c>
      <c r="N242" s="86">
        <f ca="1">IF(N$2=1,1,IF(Prj_Inflation=1,POWER(1+OFFSET(N238,0,-1),Параметры!N$30/360),1))</f>
        <v>1.0146738461686593</v>
      </c>
      <c r="O242" s="86">
        <f ca="1">IF(O$2=1,1,IF(Prj_Inflation=1,POWER(1+OFFSET(O238,0,-1),Параметры!O$30/360),1))</f>
        <v>1.0146738461686593</v>
      </c>
      <c r="P242" s="86">
        <f ca="1">IF(P$2=1,1,IF(Prj_Inflation=1,POWER(1+OFFSET(P238,0,-1),Параметры!P$30/360),1))</f>
        <v>1.0146738461686593</v>
      </c>
      <c r="Q242" s="86">
        <f ca="1">IF(Q$2=1,1,IF(Prj_Inflation=1,POWER(1+OFFSET(Q238,0,-1),Параметры!Q$30/360),1))</f>
        <v>1.0146738461686593</v>
      </c>
      <c r="R242" s="86">
        <f ca="1">IF(R$2=1,1,IF(Prj_Inflation=1,POWER(1+OFFSET(R238,0,-1),Параметры!R$30/360),1))</f>
        <v>1.0146738461686593</v>
      </c>
      <c r="S242" s="86">
        <f ca="1">IF(S$2=1,1,IF(Prj_Inflation=1,POWER(1+OFFSET(S238,0,-1),Параметры!S$30/360),1))</f>
        <v>1.0146738461686593</v>
      </c>
      <c r="T242" s="86">
        <f ca="1">IF(T$2=1,1,IF(Prj_Inflation=1,POWER(1+OFFSET(T238,0,-1),Параметры!T$30/360),1))</f>
        <v>1.0146738461686593</v>
      </c>
      <c r="U242" s="86">
        <f ca="1">IF(U$2=1,1,IF(Prj_Inflation=1,POWER(1+OFFSET(U238,0,-1),Параметры!U$30/360),1))</f>
        <v>1.0146738461686593</v>
      </c>
      <c r="V242" s="86">
        <f ca="1">IF(V$2=1,1,IF(Prj_Inflation=1,POWER(1+OFFSET(V238,0,-1),Параметры!V$30/360),1))</f>
        <v>1.0146738461686593</v>
      </c>
      <c r="W242" s="86">
        <f ca="1">IF(W$2=1,1,IF(Prj_Inflation=1,POWER(1+OFFSET(W238,0,-1),Параметры!W$30/360),1))</f>
        <v>1.0146738461686593</v>
      </c>
      <c r="X242" s="86">
        <f ca="1">IF(X$2=1,1,IF(Prj_Inflation=1,POWER(1+OFFSET(X238,0,-1),Параметры!X$30/360),1))</f>
        <v>1.0146738461686593</v>
      </c>
      <c r="Y242" s="86">
        <f ca="1">IF(Y$2=1,1,IF(Prj_Inflation=1,POWER(1+OFFSET(Y238,0,-1),Параметры!Y$30/360),1))</f>
        <v>1.0146738461686593</v>
      </c>
      <c r="Z242" s="86">
        <f ca="1">IF(Z$2=1,1,IF(Prj_Inflation=1,POWER(1+OFFSET(Z238,0,-1),Параметры!Z$30/360),1))</f>
        <v>1.0146738461686593</v>
      </c>
      <c r="AA242" s="86">
        <f ca="1">IF(AA$2=1,1,IF(Prj_Inflation=1,POWER(1+OFFSET(AA238,0,-1),Параметры!AA$30/360),1))</f>
        <v>1.0146738461686593</v>
      </c>
      <c r="AB242" s="86">
        <f ca="1">IF(AB$2=1,1,IF(Prj_Inflation=1,POWER(1+OFFSET(AB238,0,-1),Параметры!AB$30/360),1))</f>
        <v>1.0146738461686593</v>
      </c>
      <c r="AC242" s="86">
        <f ca="1">IF(AC$2=1,1,IF(Prj_Inflation=1,POWER(1+OFFSET(AC238,0,-1),Параметры!AC$30/360),1))</f>
        <v>1.0146738461686593</v>
      </c>
      <c r="AD242" s="86">
        <f ca="1">IF(AD$2=1,1,IF(Prj_Inflation=1,POWER(1+OFFSET(AD238,0,-1),Параметры!AD$30/360),1))</f>
        <v>1.0146738461686593</v>
      </c>
      <c r="AE242" s="86">
        <f ca="1">IF(AE$2=1,1,IF(Prj_Inflation=1,POWER(1+OFFSET(AE238,0,-1),Параметры!AE$30/360),1))</f>
        <v>1.0146738461686593</v>
      </c>
      <c r="AF242" s="86">
        <f ca="1">IF(AF$2=1,1,IF(Prj_Inflation=1,POWER(1+OFFSET(AF238,0,-1),Параметры!AF$30/360),1))</f>
        <v>1.0146738461686593</v>
      </c>
      <c r="AG242" s="86">
        <f ca="1">IF(AG$2=1,1,IF(Prj_Inflation=1,POWER(1+OFFSET(AG238,0,-1),Параметры!AG$30/360),1))</f>
        <v>1.0146738461686593</v>
      </c>
      <c r="AH242" s="86">
        <f ca="1">IF(AH$2=1,1,IF(Prj_Inflation=1,POWER(1+OFFSET(AH238,0,-1),Параметры!AH$30/360),1))</f>
        <v>1.0146738461686593</v>
      </c>
      <c r="AI242" s="86">
        <f ca="1">IF(AI$2=1,1,IF(Prj_Inflation=1,POWER(1+OFFSET(AI238,0,-1),Параметры!AI$30/360),1))</f>
        <v>1.0146738461686593</v>
      </c>
      <c r="AJ242" s="86">
        <f ca="1">IF(AJ$2=1,1,IF(Prj_Inflation=1,POWER(1+OFFSET(AJ238,0,-1),Параметры!AJ$30/360),1))</f>
        <v>1.0146738461686593</v>
      </c>
      <c r="AK242" s="86">
        <f ca="1">IF(AK$2=1,1,IF(Prj_Inflation=1,POWER(1+OFFSET(AK238,0,-1),Параметры!AK$30/360),1))</f>
        <v>1.0146738461686593</v>
      </c>
      <c r="AL242" s="86">
        <f ca="1">IF(AL$2=1,1,IF(Prj_Inflation=1,POWER(1+OFFSET(AL238,0,-1),Параметры!AL$30/360),1))</f>
        <v>1.0146738461686593</v>
      </c>
      <c r="AM242" s="86">
        <f ca="1">IF(AM$2=1,1,IF(Prj_Inflation=1,POWER(1+OFFSET(AM238,0,-1),Параметры!AM$30/360),1))</f>
        <v>1.0146738461686593</v>
      </c>
      <c r="AN242" s="86">
        <f ca="1">IF(AN$2=1,1,IF(Prj_Inflation=1,POWER(1+OFFSET(AN238,0,-1),Параметры!AN$30/360),1))</f>
        <v>1.0146738461686593</v>
      </c>
      <c r="AO242" s="86">
        <f ca="1">IF(AO$2=1,1,IF(Prj_Inflation=1,POWER(1+OFFSET(AO238,0,-1),Параметры!AO$30/360),1))</f>
        <v>1.0146738461686593</v>
      </c>
      <c r="AP242" s="86">
        <f ca="1">IF(AP$2=1,1,IF(Prj_Inflation=1,POWER(1+OFFSET(AP238,0,-1),Параметры!AP$30/360),1))</f>
        <v>1.0146738461686593</v>
      </c>
      <c r="AQ242" s="86">
        <f ca="1">IF(AQ$2=1,1,IF(Prj_Inflation=1,POWER(1+OFFSET(AQ238,0,-1),Параметры!AQ$30/360),1))</f>
        <v>1.0146738461686593</v>
      </c>
      <c r="AR242" s="86">
        <f ca="1">IF(AR$2=1,1,IF(Prj_Inflation=1,POWER(1+OFFSET(AR238,0,-1),Параметры!AR$30/360),1))</f>
        <v>1.0146738461686593</v>
      </c>
      <c r="AS242" s="86">
        <f ca="1">IF(AS$2=1,1,IF(Prj_Inflation=1,POWER(1+OFFSET(AS238,0,-1),Параметры!AS$30/360),1))</f>
        <v>1.0146738461686593</v>
      </c>
      <c r="AT242" s="86">
        <f ca="1">IF(AT$2=1,1,IF(Prj_Inflation=1,POWER(1+OFFSET(AT238,0,-1),Параметры!AT$30/360),1))</f>
        <v>1.0146738461686593</v>
      </c>
      <c r="AU242" s="86">
        <f ca="1">IF(AU$2=1,1,IF(Prj_Inflation=1,POWER(1+OFFSET(AU238,0,-1),Параметры!AU$30/360),1))</f>
        <v>1.0146738461686593</v>
      </c>
      <c r="AV242" s="86">
        <f ca="1">IF(AV$2=1,1,IF(Prj_Inflation=1,POWER(1+OFFSET(AV238,0,-1),Параметры!AV$30/360),1))</f>
        <v>1.0146738461686593</v>
      </c>
      <c r="AW242" s="86"/>
      <c r="AX242" s="87"/>
    </row>
    <row r="243" spans="1:50" hidden="1" outlineLevel="1" x14ac:dyDescent="0.2">
      <c r="A243" s="179" t="str">
        <f ca="1">Language!A$608</f>
        <v>акцизы начисленные</v>
      </c>
      <c r="B243" s="66"/>
      <c r="C243" s="82" t="str">
        <f ca="1">CHOOSE(D243,CurName1,CurName2,CurName3)</f>
        <v>тыс. руб.</v>
      </c>
      <c r="D243" s="155">
        <f>D228</f>
        <v>1</v>
      </c>
      <c r="E243" s="57" t="s">
        <v>996</v>
      </c>
      <c r="F243" s="57" t="s">
        <v>753</v>
      </c>
      <c r="G243" s="185">
        <f t="shared" ref="G243:AV243" ca="1" si="1324">G232*G241+G230*G240</f>
        <v>0</v>
      </c>
      <c r="H243" s="185">
        <f t="shared" ca="1" si="1324"/>
        <v>0</v>
      </c>
      <c r="I243" s="185">
        <f t="shared" ca="1" si="1324"/>
        <v>0</v>
      </c>
      <c r="J243" s="185">
        <f t="shared" ca="1" si="1324"/>
        <v>0</v>
      </c>
      <c r="K243" s="185">
        <f t="shared" ca="1" si="1324"/>
        <v>0</v>
      </c>
      <c r="L243" s="185">
        <f t="shared" ca="1" si="1324"/>
        <v>0</v>
      </c>
      <c r="M243" s="185">
        <f t="shared" ca="1" si="1324"/>
        <v>0</v>
      </c>
      <c r="N243" s="185">
        <f t="shared" ca="1" si="1324"/>
        <v>0</v>
      </c>
      <c r="O243" s="185">
        <f t="shared" ca="1" si="1324"/>
        <v>0</v>
      </c>
      <c r="P243" s="185">
        <f t="shared" ca="1" si="1324"/>
        <v>0</v>
      </c>
      <c r="Q243" s="185">
        <f t="shared" ca="1" si="1324"/>
        <v>0</v>
      </c>
      <c r="R243" s="185">
        <f t="shared" ca="1" si="1324"/>
        <v>0</v>
      </c>
      <c r="S243" s="185">
        <f t="shared" ca="1" si="1324"/>
        <v>0</v>
      </c>
      <c r="T243" s="185">
        <f t="shared" ca="1" si="1324"/>
        <v>0</v>
      </c>
      <c r="U243" s="185">
        <f t="shared" ca="1" si="1324"/>
        <v>0</v>
      </c>
      <c r="V243" s="185">
        <f t="shared" ca="1" si="1324"/>
        <v>0</v>
      </c>
      <c r="W243" s="185">
        <f t="shared" ca="1" si="1324"/>
        <v>0</v>
      </c>
      <c r="X243" s="185">
        <f t="shared" ca="1" si="1324"/>
        <v>0</v>
      </c>
      <c r="Y243" s="185">
        <f t="shared" ca="1" si="1324"/>
        <v>0</v>
      </c>
      <c r="Z243" s="185">
        <f t="shared" ca="1" si="1324"/>
        <v>0</v>
      </c>
      <c r="AA243" s="185">
        <f t="shared" ca="1" si="1324"/>
        <v>0</v>
      </c>
      <c r="AB243" s="185">
        <f t="shared" ca="1" si="1324"/>
        <v>0</v>
      </c>
      <c r="AC243" s="185">
        <f t="shared" ca="1" si="1324"/>
        <v>0</v>
      </c>
      <c r="AD243" s="185">
        <f t="shared" ca="1" si="1324"/>
        <v>0</v>
      </c>
      <c r="AE243" s="185">
        <f t="shared" ca="1" si="1324"/>
        <v>0</v>
      </c>
      <c r="AF243" s="185">
        <f t="shared" ca="1" si="1324"/>
        <v>0</v>
      </c>
      <c r="AG243" s="185">
        <f t="shared" ca="1" si="1324"/>
        <v>0</v>
      </c>
      <c r="AH243" s="185">
        <f t="shared" ca="1" si="1324"/>
        <v>0</v>
      </c>
      <c r="AI243" s="185">
        <f t="shared" ca="1" si="1324"/>
        <v>0</v>
      </c>
      <c r="AJ243" s="185">
        <f t="shared" ca="1" si="1324"/>
        <v>0</v>
      </c>
      <c r="AK243" s="185">
        <f t="shared" ca="1" si="1324"/>
        <v>0</v>
      </c>
      <c r="AL243" s="185">
        <f t="shared" ca="1" si="1324"/>
        <v>0</v>
      </c>
      <c r="AM243" s="185">
        <f t="shared" ca="1" si="1324"/>
        <v>0</v>
      </c>
      <c r="AN243" s="185">
        <f t="shared" ca="1" si="1324"/>
        <v>0</v>
      </c>
      <c r="AO243" s="185">
        <f t="shared" ca="1" si="1324"/>
        <v>0</v>
      </c>
      <c r="AP243" s="185">
        <f t="shared" ca="1" si="1324"/>
        <v>0</v>
      </c>
      <c r="AQ243" s="185">
        <f t="shared" ca="1" si="1324"/>
        <v>0</v>
      </c>
      <c r="AR243" s="185">
        <f t="shared" ca="1" si="1324"/>
        <v>0</v>
      </c>
      <c r="AS243" s="185">
        <f t="shared" ca="1" si="1324"/>
        <v>0</v>
      </c>
      <c r="AT243" s="185">
        <f t="shared" ca="1" si="1324"/>
        <v>0</v>
      </c>
      <c r="AU243" s="185">
        <f t="shared" ca="1" si="1324"/>
        <v>0</v>
      </c>
      <c r="AV243" s="185">
        <f t="shared" ca="1" si="1324"/>
        <v>0</v>
      </c>
      <c r="AW243" s="180"/>
      <c r="AX243" s="169">
        <f ca="1">SUM(G243:AW243)</f>
        <v>0</v>
      </c>
    </row>
    <row r="244" spans="1:50" hidden="1" outlineLevel="1" x14ac:dyDescent="0.2">
      <c r="A244" s="179" t="str">
        <f ca="1">Language!A$609</f>
        <v>НДС начисленный</v>
      </c>
      <c r="B244" s="66"/>
      <c r="C244" s="82" t="str">
        <f ca="1">CHOOSE(D244,CurName1,CurName2,CurName3)</f>
        <v>тыс. руб.</v>
      </c>
      <c r="D244" s="155">
        <f>D228</f>
        <v>1</v>
      </c>
      <c r="E244" s="57" t="s">
        <v>789</v>
      </c>
      <c r="F244" s="57" t="s">
        <v>753</v>
      </c>
      <c r="G244" s="185">
        <f t="shared" ref="G244:AV244" ca="1" si="1325">(G232+G243)*G239</f>
        <v>78</v>
      </c>
      <c r="H244" s="185">
        <f t="shared" ca="1" si="1325"/>
        <v>356.15052000519938</v>
      </c>
      <c r="I244" s="185">
        <f t="shared" ca="1" si="1325"/>
        <v>722.75323589728748</v>
      </c>
      <c r="J244" s="185">
        <f t="shared" ca="1" si="1325"/>
        <v>1018.5538968038124</v>
      </c>
      <c r="K244" s="185">
        <f t="shared" ca="1" si="1325"/>
        <v>1240.2</v>
      </c>
      <c r="L244" s="185">
        <f t="shared" ca="1" si="1325"/>
        <v>1468.1315880214331</v>
      </c>
      <c r="M244" s="185">
        <f t="shared" ca="1" si="1325"/>
        <v>1702.4854001136107</v>
      </c>
      <c r="N244" s="185">
        <f t="shared" ca="1" si="1325"/>
        <v>1943.4008351016744</v>
      </c>
      <c r="O244" s="185">
        <f t="shared" ca="1" si="1325"/>
        <v>2191.0200000000004</v>
      </c>
      <c r="P244" s="185">
        <f t="shared" ca="1" si="1325"/>
        <v>2445.4877594757018</v>
      </c>
      <c r="Q244" s="185">
        <f t="shared" ca="1" si="1325"/>
        <v>2481.3724706655876</v>
      </c>
      <c r="R244" s="185">
        <f t="shared" ca="1" si="1325"/>
        <v>2517.7837485872806</v>
      </c>
      <c r="S244" s="185">
        <f t="shared" ca="1" si="1325"/>
        <v>2554.7293200000008</v>
      </c>
      <c r="T244" s="185">
        <f t="shared" ca="1" si="1325"/>
        <v>2592.217025044245</v>
      </c>
      <c r="U244" s="185">
        <f t="shared" ca="1" si="1325"/>
        <v>2630.2548189055233</v>
      </c>
      <c r="V244" s="185">
        <f t="shared" ca="1" si="1325"/>
        <v>2668.8507735025178</v>
      </c>
      <c r="W244" s="185">
        <f t="shared" ca="1" si="1325"/>
        <v>2708.0130792000014</v>
      </c>
      <c r="X244" s="185">
        <f t="shared" ca="1" si="1325"/>
        <v>2747.7500465468997</v>
      </c>
      <c r="Y244" s="185">
        <f t="shared" ca="1" si="1325"/>
        <v>2788.0701080398553</v>
      </c>
      <c r="Z244" s="185">
        <f t="shared" ca="1" si="1325"/>
        <v>2828.9818199126689</v>
      </c>
      <c r="AA244" s="185">
        <f t="shared" ca="1" si="1325"/>
        <v>2870.4938639520014</v>
      </c>
      <c r="AB244" s="185">
        <f t="shared" ca="1" si="1325"/>
        <v>2912.6150493397136</v>
      </c>
      <c r="AC244" s="185">
        <f t="shared" ca="1" si="1325"/>
        <v>2955.3543145222466</v>
      </c>
      <c r="AD244" s="185">
        <f t="shared" ca="1" si="1325"/>
        <v>2998.7207291074296</v>
      </c>
      <c r="AE244" s="185">
        <f t="shared" ca="1" si="1325"/>
        <v>3042.7234957891214</v>
      </c>
      <c r="AF244" s="185">
        <f t="shared" ca="1" si="1325"/>
        <v>3087.3719523000964</v>
      </c>
      <c r="AG244" s="185">
        <f t="shared" ca="1" si="1325"/>
        <v>3132.6755733935811</v>
      </c>
      <c r="AH244" s="185">
        <f t="shared" ca="1" si="1325"/>
        <v>3178.6439728538749</v>
      </c>
      <c r="AI244" s="185">
        <f t="shared" ca="1" si="1325"/>
        <v>3225.286905536469</v>
      </c>
      <c r="AJ244" s="185">
        <f t="shared" ca="1" si="1325"/>
        <v>3272.6142694381024</v>
      </c>
      <c r="AK244" s="185">
        <f t="shared" ca="1" si="1325"/>
        <v>3320.6361077971965</v>
      </c>
      <c r="AL244" s="185">
        <f t="shared" ca="1" si="1325"/>
        <v>3369.3626112251081</v>
      </c>
      <c r="AM244" s="185">
        <f t="shared" ca="1" si="1325"/>
        <v>3418.8041198686578</v>
      </c>
      <c r="AN244" s="185">
        <f t="shared" ca="1" si="1325"/>
        <v>3468.9711256043888</v>
      </c>
      <c r="AO244" s="185">
        <f t="shared" ca="1" si="1325"/>
        <v>3519.8742742650288</v>
      </c>
      <c r="AP244" s="185">
        <f t="shared" ca="1" si="1325"/>
        <v>3571.5243678986149</v>
      </c>
      <c r="AQ244" s="185">
        <f t="shared" ca="1" si="1325"/>
        <v>3623.9323670607778</v>
      </c>
      <c r="AR244" s="185">
        <f t="shared" ca="1" si="1325"/>
        <v>3677.1093931406531</v>
      </c>
      <c r="AS244" s="185">
        <f t="shared" ca="1" si="1325"/>
        <v>3731.066730720931</v>
      </c>
      <c r="AT244" s="185">
        <f t="shared" ca="1" si="1325"/>
        <v>3785.8158299725324</v>
      </c>
      <c r="AU244" s="185">
        <f t="shared" ca="1" si="1325"/>
        <v>3841.3683090844247</v>
      </c>
      <c r="AV244" s="185">
        <f t="shared" ca="1" si="1325"/>
        <v>3897.7359567290923</v>
      </c>
      <c r="AW244" s="180"/>
      <c r="AX244" s="169">
        <f ca="1">SUM(G244:AW244)</f>
        <v>113586.90776542337</v>
      </c>
    </row>
    <row r="245" spans="1:50" hidden="1" outlineLevel="1" x14ac:dyDescent="0.2">
      <c r="A245" s="179" t="str">
        <f ca="1">Language!A$610</f>
        <v>НДС полученный с авансов</v>
      </c>
      <c r="B245" s="66"/>
      <c r="C245" s="82" t="str">
        <f ca="1">CHOOSE(D245,CurName1,CurName2,CurName3)</f>
        <v>тыс. руб.</v>
      </c>
      <c r="D245" s="155">
        <f>D228</f>
        <v>1</v>
      </c>
      <c r="E245" s="57" t="s">
        <v>1450</v>
      </c>
      <c r="F245" s="57" t="s">
        <v>753</v>
      </c>
      <c r="G245" s="185">
        <f ca="1">G235*G239/(1+G239)</f>
        <v>0</v>
      </c>
      <c r="H245" s="185">
        <f t="shared" ref="H245:AV245" ca="1" si="1326">H235*H239/(1+H239)</f>
        <v>0</v>
      </c>
      <c r="I245" s="185">
        <f t="shared" ca="1" si="1326"/>
        <v>0</v>
      </c>
      <c r="J245" s="185">
        <f t="shared" ca="1" si="1326"/>
        <v>0</v>
      </c>
      <c r="K245" s="185">
        <f t="shared" ca="1" si="1326"/>
        <v>0</v>
      </c>
      <c r="L245" s="185">
        <f t="shared" ca="1" si="1326"/>
        <v>0</v>
      </c>
      <c r="M245" s="185">
        <f t="shared" ca="1" si="1326"/>
        <v>0</v>
      </c>
      <c r="N245" s="185">
        <f t="shared" ca="1" si="1326"/>
        <v>0</v>
      </c>
      <c r="O245" s="185">
        <f t="shared" ca="1" si="1326"/>
        <v>0</v>
      </c>
      <c r="P245" s="185">
        <f t="shared" ca="1" si="1326"/>
        <v>0</v>
      </c>
      <c r="Q245" s="185">
        <f t="shared" ca="1" si="1326"/>
        <v>0</v>
      </c>
      <c r="R245" s="185">
        <f t="shared" ca="1" si="1326"/>
        <v>0</v>
      </c>
      <c r="S245" s="185">
        <f t="shared" ca="1" si="1326"/>
        <v>0</v>
      </c>
      <c r="T245" s="185">
        <f t="shared" ca="1" si="1326"/>
        <v>0</v>
      </c>
      <c r="U245" s="185">
        <f t="shared" ca="1" si="1326"/>
        <v>0</v>
      </c>
      <c r="V245" s="185">
        <f t="shared" ca="1" si="1326"/>
        <v>0</v>
      </c>
      <c r="W245" s="185">
        <f t="shared" ca="1" si="1326"/>
        <v>0</v>
      </c>
      <c r="X245" s="185">
        <f t="shared" ca="1" si="1326"/>
        <v>0</v>
      </c>
      <c r="Y245" s="185">
        <f t="shared" ca="1" si="1326"/>
        <v>0</v>
      </c>
      <c r="Z245" s="185">
        <f t="shared" ca="1" si="1326"/>
        <v>0</v>
      </c>
      <c r="AA245" s="185">
        <f t="shared" ca="1" si="1326"/>
        <v>0</v>
      </c>
      <c r="AB245" s="185">
        <f t="shared" ca="1" si="1326"/>
        <v>0</v>
      </c>
      <c r="AC245" s="185">
        <f t="shared" ca="1" si="1326"/>
        <v>0</v>
      </c>
      <c r="AD245" s="185">
        <f t="shared" ca="1" si="1326"/>
        <v>0</v>
      </c>
      <c r="AE245" s="185">
        <f t="shared" ca="1" si="1326"/>
        <v>0</v>
      </c>
      <c r="AF245" s="185">
        <f t="shared" ca="1" si="1326"/>
        <v>0</v>
      </c>
      <c r="AG245" s="185">
        <f t="shared" ca="1" si="1326"/>
        <v>0</v>
      </c>
      <c r="AH245" s="185">
        <f t="shared" ca="1" si="1326"/>
        <v>0</v>
      </c>
      <c r="AI245" s="185">
        <f t="shared" ca="1" si="1326"/>
        <v>0</v>
      </c>
      <c r="AJ245" s="185">
        <f t="shared" ca="1" si="1326"/>
        <v>0</v>
      </c>
      <c r="AK245" s="185">
        <f t="shared" ca="1" si="1326"/>
        <v>0</v>
      </c>
      <c r="AL245" s="185">
        <f t="shared" ca="1" si="1326"/>
        <v>0</v>
      </c>
      <c r="AM245" s="185">
        <f t="shared" ca="1" si="1326"/>
        <v>0</v>
      </c>
      <c r="AN245" s="185">
        <f t="shared" ca="1" si="1326"/>
        <v>0</v>
      </c>
      <c r="AO245" s="185">
        <f t="shared" ca="1" si="1326"/>
        <v>0</v>
      </c>
      <c r="AP245" s="185">
        <f t="shared" ca="1" si="1326"/>
        <v>0</v>
      </c>
      <c r="AQ245" s="185">
        <f t="shared" ca="1" si="1326"/>
        <v>0</v>
      </c>
      <c r="AR245" s="185">
        <f t="shared" ca="1" si="1326"/>
        <v>0</v>
      </c>
      <c r="AS245" s="185">
        <f t="shared" ca="1" si="1326"/>
        <v>0</v>
      </c>
      <c r="AT245" s="185">
        <f t="shared" ca="1" si="1326"/>
        <v>0</v>
      </c>
      <c r="AU245" s="185">
        <f t="shared" ca="1" si="1326"/>
        <v>0</v>
      </c>
      <c r="AV245" s="185">
        <f t="shared" ca="1" si="1326"/>
        <v>0</v>
      </c>
      <c r="AW245" s="180"/>
      <c r="AX245" s="169">
        <f ca="1">SUM(G245:AW245)</f>
        <v>0</v>
      </c>
    </row>
    <row r="246" spans="1:50" x14ac:dyDescent="0.2">
      <c r="A246" s="317" t="s">
        <v>2294</v>
      </c>
      <c r="B246" s="102"/>
      <c r="C246" s="166"/>
      <c r="D246" s="158">
        <v>1</v>
      </c>
      <c r="F246" s="57" t="s">
        <v>2285</v>
      </c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150"/>
    </row>
    <row r="247" spans="1:50" hidden="1" x14ac:dyDescent="0.2">
      <c r="A247" s="172" t="str">
        <f ca="1">Language!A$594</f>
        <v>коэффициент загрузки</v>
      </c>
      <c r="B247" s="173"/>
      <c r="C247" s="173"/>
      <c r="D247" s="174"/>
      <c r="F247" s="57" t="s">
        <v>756</v>
      </c>
      <c r="G247" s="318">
        <f t="shared" ref="G247:AV247" si="1327">IF(G$2&gt;Prj_Invest,1,0)</f>
        <v>1</v>
      </c>
      <c r="H247" s="318">
        <f t="shared" si="1327"/>
        <v>1</v>
      </c>
      <c r="I247" s="318">
        <f t="shared" si="1327"/>
        <v>1</v>
      </c>
      <c r="J247" s="318">
        <f t="shared" si="1327"/>
        <v>1</v>
      </c>
      <c r="K247" s="318">
        <f t="shared" si="1327"/>
        <v>1</v>
      </c>
      <c r="L247" s="318">
        <f t="shared" si="1327"/>
        <v>1</v>
      </c>
      <c r="M247" s="318">
        <f t="shared" si="1327"/>
        <v>1</v>
      </c>
      <c r="N247" s="318">
        <f t="shared" si="1327"/>
        <v>1</v>
      </c>
      <c r="O247" s="318">
        <f t="shared" si="1327"/>
        <v>1</v>
      </c>
      <c r="P247" s="318">
        <f t="shared" si="1327"/>
        <v>1</v>
      </c>
      <c r="Q247" s="318">
        <f t="shared" si="1327"/>
        <v>1</v>
      </c>
      <c r="R247" s="318">
        <f t="shared" si="1327"/>
        <v>1</v>
      </c>
      <c r="S247" s="318">
        <f t="shared" si="1327"/>
        <v>1</v>
      </c>
      <c r="T247" s="318">
        <f t="shared" si="1327"/>
        <v>1</v>
      </c>
      <c r="U247" s="318">
        <f t="shared" si="1327"/>
        <v>1</v>
      </c>
      <c r="V247" s="318">
        <f t="shared" si="1327"/>
        <v>1</v>
      </c>
      <c r="W247" s="318">
        <f t="shared" si="1327"/>
        <v>1</v>
      </c>
      <c r="X247" s="318">
        <f t="shared" si="1327"/>
        <v>1</v>
      </c>
      <c r="Y247" s="318">
        <f t="shared" si="1327"/>
        <v>1</v>
      </c>
      <c r="Z247" s="318">
        <f t="shared" si="1327"/>
        <v>1</v>
      </c>
      <c r="AA247" s="318">
        <f t="shared" si="1327"/>
        <v>1</v>
      </c>
      <c r="AB247" s="318">
        <f t="shared" si="1327"/>
        <v>1</v>
      </c>
      <c r="AC247" s="318">
        <f t="shared" si="1327"/>
        <v>1</v>
      </c>
      <c r="AD247" s="318">
        <f t="shared" si="1327"/>
        <v>1</v>
      </c>
      <c r="AE247" s="318">
        <f t="shared" si="1327"/>
        <v>1</v>
      </c>
      <c r="AF247" s="318">
        <f t="shared" si="1327"/>
        <v>1</v>
      </c>
      <c r="AG247" s="318">
        <f t="shared" si="1327"/>
        <v>1</v>
      </c>
      <c r="AH247" s="318">
        <f t="shared" si="1327"/>
        <v>1</v>
      </c>
      <c r="AI247" s="318">
        <f t="shared" si="1327"/>
        <v>1</v>
      </c>
      <c r="AJ247" s="318">
        <f t="shared" si="1327"/>
        <v>1</v>
      </c>
      <c r="AK247" s="318">
        <f t="shared" si="1327"/>
        <v>1</v>
      </c>
      <c r="AL247" s="318">
        <f t="shared" si="1327"/>
        <v>1</v>
      </c>
      <c r="AM247" s="318">
        <f t="shared" si="1327"/>
        <v>1</v>
      </c>
      <c r="AN247" s="318">
        <f t="shared" si="1327"/>
        <v>1</v>
      </c>
      <c r="AO247" s="318">
        <f t="shared" si="1327"/>
        <v>1</v>
      </c>
      <c r="AP247" s="318">
        <f t="shared" si="1327"/>
        <v>1</v>
      </c>
      <c r="AQ247" s="318">
        <f t="shared" si="1327"/>
        <v>1</v>
      </c>
      <c r="AR247" s="318">
        <f t="shared" si="1327"/>
        <v>1</v>
      </c>
      <c r="AS247" s="318">
        <f t="shared" si="1327"/>
        <v>1</v>
      </c>
      <c r="AT247" s="318">
        <f t="shared" si="1327"/>
        <v>1</v>
      </c>
      <c r="AU247" s="318">
        <f t="shared" si="1327"/>
        <v>1</v>
      </c>
      <c r="AV247" s="318">
        <f t="shared" si="1327"/>
        <v>1</v>
      </c>
      <c r="AW247" s="175"/>
      <c r="AX247" s="117"/>
    </row>
    <row r="248" spans="1:50" x14ac:dyDescent="0.2">
      <c r="A248" s="172" t="str">
        <f ca="1">Language!A$595</f>
        <v>объем продаж за период</v>
      </c>
      <c r="B248" s="337"/>
      <c r="C248" s="313" t="s">
        <v>2259</v>
      </c>
      <c r="D248" s="174"/>
      <c r="E248" s="57" t="s">
        <v>950</v>
      </c>
      <c r="F248" s="57" t="s">
        <v>753</v>
      </c>
      <c r="G248" s="311">
        <f t="shared" ref="G248:AV248" si="1328">G51</f>
        <v>10</v>
      </c>
      <c r="H248" s="311">
        <f t="shared" si="1328"/>
        <v>45</v>
      </c>
      <c r="I248" s="311">
        <f t="shared" si="1328"/>
        <v>90</v>
      </c>
      <c r="J248" s="311">
        <f t="shared" si="1328"/>
        <v>125</v>
      </c>
      <c r="K248" s="311">
        <f t="shared" si="1328"/>
        <v>150</v>
      </c>
      <c r="L248" s="311">
        <f t="shared" si="1328"/>
        <v>175</v>
      </c>
      <c r="M248" s="311">
        <f t="shared" si="1328"/>
        <v>200</v>
      </c>
      <c r="N248" s="311">
        <f t="shared" si="1328"/>
        <v>225</v>
      </c>
      <c r="O248" s="311">
        <f t="shared" si="1328"/>
        <v>250</v>
      </c>
      <c r="P248" s="311">
        <f t="shared" si="1328"/>
        <v>275</v>
      </c>
      <c r="Q248" s="311">
        <f t="shared" si="1328"/>
        <v>275</v>
      </c>
      <c r="R248" s="311">
        <f t="shared" si="1328"/>
        <v>275</v>
      </c>
      <c r="S248" s="311">
        <f t="shared" si="1328"/>
        <v>275</v>
      </c>
      <c r="T248" s="311">
        <f t="shared" si="1328"/>
        <v>275</v>
      </c>
      <c r="U248" s="311">
        <f t="shared" si="1328"/>
        <v>275</v>
      </c>
      <c r="V248" s="311">
        <f t="shared" si="1328"/>
        <v>275</v>
      </c>
      <c r="W248" s="311">
        <f t="shared" si="1328"/>
        <v>275</v>
      </c>
      <c r="X248" s="311">
        <f t="shared" si="1328"/>
        <v>275</v>
      </c>
      <c r="Y248" s="311">
        <f t="shared" si="1328"/>
        <v>275</v>
      </c>
      <c r="Z248" s="311">
        <f t="shared" si="1328"/>
        <v>275</v>
      </c>
      <c r="AA248" s="311">
        <f t="shared" si="1328"/>
        <v>275</v>
      </c>
      <c r="AB248" s="311">
        <f t="shared" si="1328"/>
        <v>275</v>
      </c>
      <c r="AC248" s="311">
        <f t="shared" si="1328"/>
        <v>275</v>
      </c>
      <c r="AD248" s="311">
        <f t="shared" si="1328"/>
        <v>275</v>
      </c>
      <c r="AE248" s="311">
        <f t="shared" si="1328"/>
        <v>275</v>
      </c>
      <c r="AF248" s="311">
        <f t="shared" si="1328"/>
        <v>275</v>
      </c>
      <c r="AG248" s="311">
        <f t="shared" si="1328"/>
        <v>275</v>
      </c>
      <c r="AH248" s="311">
        <f t="shared" si="1328"/>
        <v>275</v>
      </c>
      <c r="AI248" s="311">
        <f t="shared" si="1328"/>
        <v>275</v>
      </c>
      <c r="AJ248" s="311">
        <f t="shared" si="1328"/>
        <v>275</v>
      </c>
      <c r="AK248" s="311">
        <f t="shared" si="1328"/>
        <v>275</v>
      </c>
      <c r="AL248" s="311">
        <f t="shared" si="1328"/>
        <v>275</v>
      </c>
      <c r="AM248" s="311">
        <f t="shared" si="1328"/>
        <v>275</v>
      </c>
      <c r="AN248" s="311">
        <f t="shared" si="1328"/>
        <v>275</v>
      </c>
      <c r="AO248" s="311">
        <f t="shared" si="1328"/>
        <v>275</v>
      </c>
      <c r="AP248" s="311">
        <f t="shared" si="1328"/>
        <v>275</v>
      </c>
      <c r="AQ248" s="311">
        <f t="shared" si="1328"/>
        <v>275</v>
      </c>
      <c r="AR248" s="311">
        <f t="shared" si="1328"/>
        <v>275</v>
      </c>
      <c r="AS248" s="311">
        <f t="shared" si="1328"/>
        <v>275</v>
      </c>
      <c r="AT248" s="311">
        <f t="shared" si="1328"/>
        <v>275</v>
      </c>
      <c r="AU248" s="311">
        <f t="shared" si="1328"/>
        <v>275</v>
      </c>
      <c r="AV248" s="311">
        <f t="shared" si="1328"/>
        <v>275</v>
      </c>
      <c r="AW248" s="148"/>
      <c r="AX248" s="171">
        <f>SUM(G248:AW248)</f>
        <v>10345</v>
      </c>
    </row>
    <row r="249" spans="1:50" x14ac:dyDescent="0.2">
      <c r="A249" s="83" t="str">
        <f ca="1">Language!A$596 &amp; C248 &amp; Language!A$1457</f>
        <v>цена за единицу (тн), без НДС</v>
      </c>
      <c r="B249" s="322">
        <v>120</v>
      </c>
      <c r="C249" s="146" t="str">
        <f ca="1">CHOOSE(D246,CurName1,CurName2,CurName3)</f>
        <v>тыс. руб.</v>
      </c>
      <c r="E249" s="57" t="s">
        <v>848</v>
      </c>
      <c r="F249" s="57" t="s">
        <v>756</v>
      </c>
      <c r="G249" s="323">
        <f t="shared" ref="G249" ca="1" si="1329">IF(G$2=1,$B249,F249)*G260</f>
        <v>120</v>
      </c>
      <c r="H249" s="323">
        <f t="shared" ref="H249" ca="1" si="1330">IF(H$2=1,$B249,G249)*H260</f>
        <v>121.76086154023912</v>
      </c>
      <c r="I249" s="323">
        <f t="shared" ref="I249" ca="1" si="1331">IF(I$2=1,$B249,H249)*I260</f>
        <v>123.54756169184401</v>
      </c>
      <c r="J249" s="323">
        <f t="shared" ref="J249" ca="1" si="1332">IF(J$2=1,$B249,I249)*J260</f>
        <v>125.36047960662307</v>
      </c>
      <c r="K249" s="323">
        <f t="shared" ref="K249" ca="1" si="1333">IF(K$2=1,$B249,J249)*K260</f>
        <v>127.20000000000002</v>
      </c>
      <c r="L249" s="323">
        <f t="shared" ref="L249" ca="1" si="1334">IF(L$2=1,$B249,K249)*L260</f>
        <v>129.06651323265348</v>
      </c>
      <c r="M249" s="323">
        <f t="shared" ref="M249" ca="1" si="1335">IF(M$2=1,$B249,L249)*M260</f>
        <v>130.96041539335465</v>
      </c>
      <c r="N249" s="323">
        <f t="shared" ref="N249" ca="1" si="1336">IF(N$2=1,$B249,M249)*N260</f>
        <v>132.88210838302047</v>
      </c>
      <c r="O249" s="323">
        <f t="shared" ref="O249" ca="1" si="1337">IF(O$2=1,$B249,N249)*O260</f>
        <v>134.83200000000002</v>
      </c>
      <c r="P249" s="323">
        <f t="shared" ref="P249" ca="1" si="1338">IF(P$2=1,$B249,O249)*P260</f>
        <v>136.8105040266127</v>
      </c>
      <c r="Q249" s="323">
        <f t="shared" ref="Q249" ca="1" si="1339">IF(Q$2=1,$B249,P249)*Q260</f>
        <v>138.81804031695597</v>
      </c>
      <c r="R249" s="323">
        <f t="shared" ref="R249" ca="1" si="1340">IF(R$2=1,$B249,Q249)*R260</f>
        <v>140.85503488600173</v>
      </c>
      <c r="S249" s="323">
        <f t="shared" ref="S249" ca="1" si="1341">IF(S$2=1,$B249,R249)*S260</f>
        <v>142.92192000000006</v>
      </c>
      <c r="T249" s="323">
        <f t="shared" ref="T249" ca="1" si="1342">IF(T$2=1,$B249,S249)*T260</f>
        <v>145.01913426820948</v>
      </c>
      <c r="U249" s="323">
        <f t="shared" ref="U249" ca="1" si="1343">IF(U$2=1,$B249,T249)*U260</f>
        <v>147.14712273597334</v>
      </c>
      <c r="V249" s="323">
        <f t="shared" ref="V249" ca="1" si="1344">IF(V$2=1,$B249,U249)*V260</f>
        <v>149.30633697916184</v>
      </c>
      <c r="W249" s="323">
        <f t="shared" ref="W249" ca="1" si="1345">IF(W$2=1,$B249,V249)*W260</f>
        <v>151.49723520000006</v>
      </c>
      <c r="X249" s="323">
        <f t="shared" ref="X249" ca="1" si="1346">IF(X$2=1,$B249,W249)*X260</f>
        <v>153.72028232430205</v>
      </c>
      <c r="Y249" s="323">
        <f t="shared" ref="Y249" ca="1" si="1347">IF(Y$2=1,$B249,X249)*Y260</f>
        <v>155.97595010013174</v>
      </c>
      <c r="Z249" s="323">
        <f t="shared" ref="Z249" ca="1" si="1348">IF(Z$2=1,$B249,Y249)*Z260</f>
        <v>158.26471719791155</v>
      </c>
      <c r="AA249" s="323">
        <f t="shared" ref="AA249" ca="1" si="1349">IF(AA$2=1,$B249,Z249)*AA260</f>
        <v>160.58706931200007</v>
      </c>
      <c r="AB249" s="323">
        <f t="shared" ref="AB249" ca="1" si="1350">IF(AB$2=1,$B249,AA249)*AB260</f>
        <v>162.94349926376017</v>
      </c>
      <c r="AC249" s="323">
        <f t="shared" ref="AC249" ca="1" si="1351">IF(AC$2=1,$B249,AB249)*AC260</f>
        <v>165.33450710613965</v>
      </c>
      <c r="AD249" s="323">
        <f t="shared" ref="AD249" ca="1" si="1352">IF(AD$2=1,$B249,AC249)*AD260</f>
        <v>167.76060022978626</v>
      </c>
      <c r="AE249" s="323">
        <f t="shared" ref="AE249" ca="1" si="1353">IF(AE$2=1,$B249,AD249)*AE260</f>
        <v>170.2222934707201</v>
      </c>
      <c r="AF249" s="323">
        <f t="shared" ref="AF249" ca="1" si="1354">IF(AF$2=1,$B249,AE249)*AF260</f>
        <v>172.72010921958582</v>
      </c>
      <c r="AG249" s="323">
        <f t="shared" ref="AG249" ca="1" si="1355">IF(AG$2=1,$B249,AF249)*AG260</f>
        <v>175.25457753250805</v>
      </c>
      <c r="AH249" s="323">
        <f t="shared" ref="AH249" ca="1" si="1356">IF(AH$2=1,$B249,AG249)*AH260</f>
        <v>177.82623624357345</v>
      </c>
      <c r="AI249" s="323">
        <f t="shared" ref="AI249" ca="1" si="1357">IF(AI$2=1,$B249,AH249)*AI260</f>
        <v>180.4356310789633</v>
      </c>
      <c r="AJ249" s="323">
        <f t="shared" ref="AJ249" ca="1" si="1358">IF(AJ$2=1,$B249,AI249)*AJ260</f>
        <v>183.08331577276095</v>
      </c>
      <c r="AK249" s="323">
        <f t="shared" ref="AK249" ca="1" si="1359">IF(AK$2=1,$B249,AJ249)*AK260</f>
        <v>185.76985218445853</v>
      </c>
      <c r="AL249" s="323">
        <f t="shared" ref="AL249" ca="1" si="1360">IF(AL$2=1,$B249,AK249)*AL260</f>
        <v>188.49581041818786</v>
      </c>
      <c r="AM249" s="323">
        <f t="shared" ref="AM249" ca="1" si="1361">IF(AM$2=1,$B249,AL249)*AM260</f>
        <v>191.26176894370113</v>
      </c>
      <c r="AN249" s="323">
        <f t="shared" ref="AN249" ca="1" si="1362">IF(AN$2=1,$B249,AM249)*AN260</f>
        <v>194.06831471912665</v>
      </c>
      <c r="AO249" s="323">
        <f t="shared" ref="AO249" ca="1" si="1363">IF(AO$2=1,$B249,AN249)*AO260</f>
        <v>196.91604331552608</v>
      </c>
      <c r="AP249" s="323">
        <f t="shared" ref="AP249" ca="1" si="1364">IF(AP$2=1,$B249,AO249)*AP260</f>
        <v>199.80555904327917</v>
      </c>
      <c r="AQ249" s="323">
        <f t="shared" ref="AQ249" ca="1" si="1365">IF(AQ$2=1,$B249,AP249)*AQ260</f>
        <v>202.73747508032324</v>
      </c>
      <c r="AR249" s="323">
        <f t="shared" ref="AR249" ca="1" si="1366">IF(AR$2=1,$B249,AQ249)*AR260</f>
        <v>205.7124136022743</v>
      </c>
      <c r="AS249" s="323">
        <f t="shared" ref="AS249" ca="1" si="1367">IF(AS$2=1,$B249,AR249)*AS260</f>
        <v>208.73100591445768</v>
      </c>
      <c r="AT249" s="323">
        <f t="shared" ref="AT249" ca="1" si="1368">IF(AT$2=1,$B249,AS249)*AT260</f>
        <v>211.79389258587594</v>
      </c>
      <c r="AU249" s="323">
        <f t="shared" ref="AU249" ca="1" si="1369">IF(AU$2=1,$B249,AT249)*AU260</f>
        <v>214.90172358514263</v>
      </c>
      <c r="AV249" s="323">
        <f t="shared" ref="AV249" ca="1" si="1370">IF(AV$2=1,$B249,AU249)*AV260</f>
        <v>218.05515841841077</v>
      </c>
      <c r="AW249" s="148"/>
      <c r="AX249" s="117"/>
    </row>
    <row r="250" spans="1:50" collapsed="1" x14ac:dyDescent="0.2">
      <c r="A250" s="83" t="str">
        <f ca="1">Language!A$597</f>
        <v>выручка от реализации, без НДС</v>
      </c>
      <c r="B250" s="157"/>
      <c r="C250" s="146" t="str">
        <f t="shared" ref="C250" ca="1" si="1371">CHOOSE(D250,CurName1,CurName2,CurName3)</f>
        <v>тыс. руб.</v>
      </c>
      <c r="D250" s="155">
        <f>D246</f>
        <v>1</v>
      </c>
      <c r="E250" s="57" t="s">
        <v>992</v>
      </c>
      <c r="F250" s="57" t="s">
        <v>753</v>
      </c>
      <c r="G250" s="176">
        <f t="shared" ref="G250:AV250" ca="1" si="1372">G248*G249</f>
        <v>1200</v>
      </c>
      <c r="H250" s="176">
        <f t="shared" ca="1" si="1372"/>
        <v>5479.2387693107603</v>
      </c>
      <c r="I250" s="176">
        <f t="shared" ca="1" si="1372"/>
        <v>11119.28055226596</v>
      </c>
      <c r="J250" s="176">
        <f t="shared" ca="1" si="1372"/>
        <v>15670.059950827885</v>
      </c>
      <c r="K250" s="176">
        <f t="shared" ca="1" si="1372"/>
        <v>19080.000000000004</v>
      </c>
      <c r="L250" s="176">
        <f t="shared" ca="1" si="1372"/>
        <v>22586.639815714359</v>
      </c>
      <c r="M250" s="176">
        <f t="shared" ca="1" si="1372"/>
        <v>26192.08307867093</v>
      </c>
      <c r="N250" s="176">
        <f t="shared" ca="1" si="1372"/>
        <v>29898.474386179605</v>
      </c>
      <c r="O250" s="176">
        <f t="shared" ca="1" si="1372"/>
        <v>33708.000000000007</v>
      </c>
      <c r="P250" s="176">
        <f t="shared" ca="1" si="1372"/>
        <v>37622.888607318491</v>
      </c>
      <c r="Q250" s="176">
        <f t="shared" ca="1" si="1372"/>
        <v>38174.96108716289</v>
      </c>
      <c r="R250" s="176">
        <f t="shared" ca="1" si="1372"/>
        <v>38735.134593650473</v>
      </c>
      <c r="S250" s="176">
        <f t="shared" ca="1" si="1372"/>
        <v>39303.528000000013</v>
      </c>
      <c r="T250" s="176">
        <f t="shared" ca="1" si="1372"/>
        <v>39880.261923757607</v>
      </c>
      <c r="U250" s="176">
        <f t="shared" ca="1" si="1372"/>
        <v>40465.458752392668</v>
      </c>
      <c r="V250" s="176">
        <f t="shared" ca="1" si="1372"/>
        <v>41059.242669269508</v>
      </c>
      <c r="W250" s="176">
        <f t="shared" ca="1" si="1372"/>
        <v>41661.739680000021</v>
      </c>
      <c r="X250" s="176">
        <f t="shared" ca="1" si="1372"/>
        <v>42273.077639183066</v>
      </c>
      <c r="Y250" s="176">
        <f t="shared" ca="1" si="1372"/>
        <v>42893.386277536229</v>
      </c>
      <c r="Z250" s="176">
        <f t="shared" ca="1" si="1372"/>
        <v>43522.797229425676</v>
      </c>
      <c r="AA250" s="176">
        <f t="shared" ca="1" si="1372"/>
        <v>44161.444060800022</v>
      </c>
      <c r="AB250" s="176">
        <f t="shared" ca="1" si="1372"/>
        <v>44809.462297534046</v>
      </c>
      <c r="AC250" s="176">
        <f t="shared" ca="1" si="1372"/>
        <v>45466.989454188406</v>
      </c>
      <c r="AD250" s="176">
        <f t="shared" ca="1" si="1372"/>
        <v>46134.16506319122</v>
      </c>
      <c r="AE250" s="176">
        <f t="shared" ca="1" si="1372"/>
        <v>46811.130704448027</v>
      </c>
      <c r="AF250" s="176">
        <f t="shared" ca="1" si="1372"/>
        <v>47498.030035386102</v>
      </c>
      <c r="AG250" s="176">
        <f t="shared" ca="1" si="1372"/>
        <v>48195.008821439711</v>
      </c>
      <c r="AH250" s="176">
        <f t="shared" ca="1" si="1372"/>
        <v>48902.214966982698</v>
      </c>
      <c r="AI250" s="176">
        <f t="shared" ca="1" si="1372"/>
        <v>49619.798546714905</v>
      </c>
      <c r="AJ250" s="176">
        <f t="shared" ca="1" si="1372"/>
        <v>50347.911837509266</v>
      </c>
      <c r="AK250" s="176">
        <f t="shared" ca="1" si="1372"/>
        <v>51086.709350726094</v>
      </c>
      <c r="AL250" s="176">
        <f t="shared" ca="1" si="1372"/>
        <v>51836.347865001662</v>
      </c>
      <c r="AM250" s="176">
        <f t="shared" ca="1" si="1372"/>
        <v>52596.986459517808</v>
      </c>
      <c r="AN250" s="176">
        <f t="shared" ca="1" si="1372"/>
        <v>53368.786547759824</v>
      </c>
      <c r="AO250" s="176">
        <f t="shared" ca="1" si="1372"/>
        <v>54151.911911769675</v>
      </c>
      <c r="AP250" s="176">
        <f t="shared" ca="1" si="1372"/>
        <v>54946.528736901775</v>
      </c>
      <c r="AQ250" s="176">
        <f t="shared" ca="1" si="1372"/>
        <v>55752.805647088891</v>
      </c>
      <c r="AR250" s="176">
        <f t="shared" ca="1" si="1372"/>
        <v>56570.91374062543</v>
      </c>
      <c r="AS250" s="176">
        <f t="shared" ca="1" si="1372"/>
        <v>57401.026626475861</v>
      </c>
      <c r="AT250" s="176">
        <f t="shared" ca="1" si="1372"/>
        <v>58243.32046111588</v>
      </c>
      <c r="AU250" s="176">
        <f t="shared" ca="1" si="1372"/>
        <v>59097.973985914221</v>
      </c>
      <c r="AV250" s="176">
        <f t="shared" ca="1" si="1372"/>
        <v>59965.168565062959</v>
      </c>
      <c r="AW250" s="177"/>
      <c r="AX250" s="178">
        <f ca="1">SUM(G250:AW250)</f>
        <v>1747490.8886988207</v>
      </c>
    </row>
    <row r="251" spans="1:50" hidden="1" outlineLevel="1" x14ac:dyDescent="0.2">
      <c r="A251" s="179" t="str">
        <f ca="1">Language!A$598</f>
        <v>дебиторская задолженность</v>
      </c>
      <c r="B251" s="82"/>
      <c r="C251" s="82" t="str">
        <f ca="1">CHOOSE(D251,CurName1,CurName2,CurName3)</f>
        <v>тыс. руб.</v>
      </c>
      <c r="D251" s="155">
        <f>D246</f>
        <v>1</v>
      </c>
      <c r="E251" s="57" t="s">
        <v>994</v>
      </c>
      <c r="F251" s="57" t="s">
        <v>754</v>
      </c>
      <c r="G251" s="319">
        <f ca="1">IF(AND($B252=0,G$2&gt;1),F251,(G250+G261+G262)*$B252/Параметры!G$30)</f>
        <v>484</v>
      </c>
      <c r="H251" s="319">
        <f ca="1">IF(AND($B252=0,H$2&gt;1),G251,(H250+H261+H262)*$B252/Параметры!H$30)</f>
        <v>2209.9596369553401</v>
      </c>
      <c r="I251" s="319">
        <f ca="1">IF(AND($B252=0,I$2&gt;1),H251,(I250+I261+I262)*$B252/Параметры!I$30)</f>
        <v>4484.7764894139373</v>
      </c>
      <c r="J251" s="319">
        <f ca="1">IF(AND($B252=0,J$2&gt;1),I251,(J250+J261+J262)*$B252/Параметры!J$30)</f>
        <v>6320.2575135005791</v>
      </c>
      <c r="K251" s="319">
        <f ca="1">IF(AND($B252=0,K$2&gt;1),J251,(K250+K261+K262)*$B252/Параметры!K$30)</f>
        <v>7695.6000000000013</v>
      </c>
      <c r="L251" s="319">
        <f ca="1">IF(AND($B252=0,L$2&gt;1),K251,(L250+L261+L262)*$B252/Параметры!L$30)</f>
        <v>9109.9447256714593</v>
      </c>
      <c r="M251" s="319">
        <f ca="1">IF(AND($B252=0,M$2&gt;1),L251,(M250+M261+M262)*$B252/Параметры!M$30)</f>
        <v>10564.140175063943</v>
      </c>
      <c r="N251" s="319">
        <f ca="1">IF(AND($B252=0,N$2&gt;1),M251,(N250+N261+N262)*$B252/Параметры!N$30)</f>
        <v>12059.05133575911</v>
      </c>
      <c r="O251" s="319">
        <f ca="1">IF(AND($B252=0,O$2&gt;1),N251,(O250+O261+O262)*$B252/Параметры!O$30)</f>
        <v>13595.560000000005</v>
      </c>
      <c r="P251" s="319">
        <f ca="1">IF(AND($B252=0,P$2&gt;1),O251,(P250+P261+P262)*$B252/Параметры!P$30)</f>
        <v>15174.565071618455</v>
      </c>
      <c r="Q251" s="319">
        <f ca="1">IF(AND($B252=0,Q$2&gt;1),P251,(Q250+Q261+Q262)*$B252/Параметры!Q$30)</f>
        <v>15397.234305155698</v>
      </c>
      <c r="R251" s="319">
        <f ca="1">IF(AND($B252=0,R$2&gt;1),Q251,(R250+R261+R262)*$B252/Параметры!R$30)</f>
        <v>15623.170952772356</v>
      </c>
      <c r="S251" s="319">
        <f ca="1">IF(AND($B252=0,S$2&gt;1),R251,(S250+S261+S262)*$B252/Параметры!S$30)</f>
        <v>15852.422960000004</v>
      </c>
      <c r="T251" s="319">
        <f ca="1">IF(AND($B252=0,T$2&gt;1),S251,(T250+T261+T262)*$B252/Параметры!T$30)</f>
        <v>16085.038975915566</v>
      </c>
      <c r="U251" s="319">
        <f ca="1">IF(AND($B252=0,U$2&gt;1),T251,(U250+U261+U262)*$B252/Параметры!U$30)</f>
        <v>16321.068363465043</v>
      </c>
      <c r="V251" s="319">
        <f ca="1">IF(AND($B252=0,V$2&gt;1),U251,(V250+V261+V262)*$B252/Параметры!V$30)</f>
        <v>16560.5612099387</v>
      </c>
      <c r="W251" s="319">
        <f ca="1">IF(AND($B252=0,W$2&gt;1),V251,(W250+W261+W262)*$B252/Параметры!W$30)</f>
        <v>16803.568337600009</v>
      </c>
      <c r="X251" s="319">
        <f ca="1">IF(AND($B252=0,X$2&gt;1),W251,(X250+X261+X262)*$B252/Параметры!X$30)</f>
        <v>17050.141314470504</v>
      </c>
      <c r="Y251" s="319">
        <f ca="1">IF(AND($B252=0,Y$2&gt;1),X251,(Y250+Y261+Y262)*$B252/Параметры!Y$30)</f>
        <v>17300.332465272946</v>
      </c>
      <c r="Z251" s="319">
        <f ca="1">IF(AND($B252=0,Z$2&gt;1),Y251,(Z250+Z261+Z262)*$B252/Параметры!Z$30)</f>
        <v>17554.194882535023</v>
      </c>
      <c r="AA251" s="319">
        <f ca="1">IF(AND($B252=0,AA$2&gt;1),Z251,(AA250+AA261+AA262)*$B252/Параметры!AA$30)</f>
        <v>17811.782437856011</v>
      </c>
      <c r="AB251" s="319">
        <f ca="1">IF(AND($B252=0,AB$2&gt;1),AA251,(AB250+AB261+AB262)*$B252/Параметры!AB$30)</f>
        <v>18073.149793338733</v>
      </c>
      <c r="AC251" s="319">
        <f ca="1">IF(AND($B252=0,AC$2&gt;1),AB251,(AC250+AC261+AC262)*$B252/Параметры!AC$30)</f>
        <v>18338.352413189325</v>
      </c>
      <c r="AD251" s="319">
        <f ca="1">IF(AND($B252=0,AD$2&gt;1),AC251,(AD250+AD261+AD262)*$B252/Параметры!AD$30)</f>
        <v>18607.446575487123</v>
      </c>
      <c r="AE251" s="319">
        <f ca="1">IF(AND($B252=0,AE$2&gt;1),AD251,(AE250+AE261+AE262)*$B252/Параметры!AE$30)</f>
        <v>18880.48938412737</v>
      </c>
      <c r="AF251" s="319">
        <f ca="1">IF(AND($B252=0,AF$2&gt;1),AE251,(AF250+AF261+AF262)*$B252/Параметры!AF$30)</f>
        <v>19157.538780939063</v>
      </c>
      <c r="AG251" s="319">
        <f ca="1">IF(AND($B252=0,AG$2&gt;1),AF251,(AG250+AG261+AG262)*$B252/Параметры!AG$30)</f>
        <v>19438.653557980684</v>
      </c>
      <c r="AH251" s="319">
        <f ca="1">IF(AND($B252=0,AH$2&gt;1),AG251,(AH250+AH261+AH262)*$B252/Параметры!AH$30)</f>
        <v>19723.893370016358</v>
      </c>
      <c r="AI251" s="319">
        <f ca="1">IF(AND($B252=0,AI$2&gt;1),AH251,(AI250+AI261+AI262)*$B252/Параметры!AI$30)</f>
        <v>20013.31874717501</v>
      </c>
      <c r="AJ251" s="319">
        <f ca="1">IF(AND($B252=0,AJ$2&gt;1),AI251,(AJ250+AJ261+AJ262)*$B252/Параметры!AJ$30)</f>
        <v>20306.991107795402</v>
      </c>
      <c r="AK251" s="319">
        <f ca="1">IF(AND($B252=0,AK$2&gt;1),AJ251,(AK250+AK261+AK262)*$B252/Параметры!AK$30)</f>
        <v>20604.972771459525</v>
      </c>
      <c r="AL251" s="319">
        <f ca="1">IF(AND($B252=0,AL$2&gt;1),AK251,(AL250+AL261+AL262)*$B252/Параметры!AL$30)</f>
        <v>20907.326972217339</v>
      </c>
      <c r="AM251" s="319">
        <f ca="1">IF(AND($B252=0,AM$2&gt;1),AL251,(AM250+AM261+AM262)*$B252/Параметры!AM$30)</f>
        <v>21214.117872005514</v>
      </c>
      <c r="AN251" s="319">
        <f ca="1">IF(AND($B252=0,AN$2&gt;1),AM251,(AN250+AN261+AN262)*$B252/Параметры!AN$30)</f>
        <v>21525.410574263129</v>
      </c>
      <c r="AO251" s="319">
        <f ca="1">IF(AND($B252=0,AO$2&gt;1),AN251,(AO250+AO261+AO262)*$B252/Параметры!AO$30)</f>
        <v>21841.271137747102</v>
      </c>
      <c r="AP251" s="319">
        <f ca="1">IF(AND($B252=0,AP$2&gt;1),AO251,(AP250+AP261+AP262)*$B252/Параметры!AP$30)</f>
        <v>22161.766590550382</v>
      </c>
      <c r="AQ251" s="319">
        <f ca="1">IF(AND($B252=0,AQ$2&gt;1),AP251,(AQ250+AQ261+AQ262)*$B252/Параметры!AQ$30)</f>
        <v>22486.964944325853</v>
      </c>
      <c r="AR251" s="319">
        <f ca="1">IF(AND($B252=0,AR$2&gt;1),AQ251,(AR250+AR261+AR262)*$B252/Параметры!AR$30)</f>
        <v>22816.935208718925</v>
      </c>
      <c r="AS251" s="319">
        <f ca="1">IF(AND($B252=0,AS$2&gt;1),AR251,(AS250+AS261+AS262)*$B252/Параметры!AS$30)</f>
        <v>23151.747406011931</v>
      </c>
      <c r="AT251" s="319">
        <f ca="1">IF(AND($B252=0,AT$2&gt;1),AS251,(AT250+AT261+AT262)*$B252/Параметры!AT$30)</f>
        <v>23491.472585983403</v>
      </c>
      <c r="AU251" s="319">
        <f ca="1">IF(AND($B252=0,AU$2&gt;1),AT251,(AU250+AU261+AU262)*$B252/Параметры!AU$30)</f>
        <v>23836.182840985402</v>
      </c>
      <c r="AV251" s="319">
        <f ca="1">IF(AND($B252=0,AV$2&gt;1),AU251,(AV250+AV261+AV262)*$B252/Параметры!AV$30)</f>
        <v>24185.951321242061</v>
      </c>
      <c r="AW251" s="180"/>
      <c r="AX251" s="87"/>
    </row>
    <row r="252" spans="1:50" hidden="1" outlineLevel="1" x14ac:dyDescent="0.2">
      <c r="A252" s="181" t="str">
        <f ca="1">Language!A$599</f>
        <v>средний период отсрочки платежа</v>
      </c>
      <c r="B252" s="320">
        <f>$B$618</f>
        <v>33</v>
      </c>
      <c r="C252" s="152" t="str">
        <f ca="1">Language!$A$1446</f>
        <v>дней</v>
      </c>
      <c r="D252" s="100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48"/>
      <c r="AX252" s="150"/>
    </row>
    <row r="253" spans="1:50" hidden="1" outlineLevel="1" x14ac:dyDescent="0.2">
      <c r="A253" s="179" t="str">
        <f ca="1">Language!A$600</f>
        <v xml:space="preserve">авансы полученные </v>
      </c>
      <c r="B253" s="82"/>
      <c r="C253" s="103" t="str">
        <f ca="1">CHOOSE(D253,CurName1,CurName2,CurName3)</f>
        <v>тыс. руб.</v>
      </c>
      <c r="D253" s="155">
        <f>D246</f>
        <v>1</v>
      </c>
      <c r="E253" s="57" t="s">
        <v>995</v>
      </c>
      <c r="F253" s="57" t="s">
        <v>754</v>
      </c>
      <c r="G253" s="316">
        <f ca="1">IF(AND($B254=0,G$2&gt;1),F253,(OFFSET(G250,0,1)+OFFSET(G261,0,1)+OFFSET(G262,0,1))*$B254/Параметры!G$30)</f>
        <v>0</v>
      </c>
      <c r="H253" s="316">
        <f ca="1">IF(AND($B254=0,H$2&gt;1),G253,(OFFSET(H250,0,1)+OFFSET(H261,0,1)+OFFSET(H262,0,1))*$B254/Параметры!H$30)</f>
        <v>0</v>
      </c>
      <c r="I253" s="316">
        <f ca="1">IF(AND($B254=0,I$2&gt;1),H253,(OFFSET(I250,0,1)+OFFSET(I261,0,1)+OFFSET(I262,0,1))*$B254/Параметры!I$30)</f>
        <v>0</v>
      </c>
      <c r="J253" s="316">
        <f ca="1">IF(AND($B254=0,J$2&gt;1),I253,(OFFSET(J250,0,1)+OFFSET(J261,0,1)+OFFSET(J262,0,1))*$B254/Параметры!J$30)</f>
        <v>0</v>
      </c>
      <c r="K253" s="316">
        <f ca="1">IF(AND($B254=0,K$2&gt;1),J253,(OFFSET(K250,0,1)+OFFSET(K261,0,1)+OFFSET(K262,0,1))*$B254/Параметры!K$30)</f>
        <v>0</v>
      </c>
      <c r="L253" s="316">
        <f ca="1">IF(AND($B254=0,L$2&gt;1),K253,(OFFSET(L250,0,1)+OFFSET(L261,0,1)+OFFSET(L262,0,1))*$B254/Параметры!L$30)</f>
        <v>0</v>
      </c>
      <c r="M253" s="316">
        <f ca="1">IF(AND($B254=0,M$2&gt;1),L253,(OFFSET(M250,0,1)+OFFSET(M261,0,1)+OFFSET(M262,0,1))*$B254/Параметры!M$30)</f>
        <v>0</v>
      </c>
      <c r="N253" s="316">
        <f ca="1">IF(AND($B254=0,N$2&gt;1),M253,(OFFSET(N250,0,1)+OFFSET(N261,0,1)+OFFSET(N262,0,1))*$B254/Параметры!N$30)</f>
        <v>0</v>
      </c>
      <c r="O253" s="316">
        <f ca="1">IF(AND($B254=0,O$2&gt;1),N253,(OFFSET(O250,0,1)+OFFSET(O261,0,1)+OFFSET(O262,0,1))*$B254/Параметры!O$30)</f>
        <v>0</v>
      </c>
      <c r="P253" s="316">
        <f ca="1">IF(AND($B254=0,P$2&gt;1),O253,(OFFSET(P250,0,1)+OFFSET(P261,0,1)+OFFSET(P262,0,1))*$B254/Параметры!P$30)</f>
        <v>0</v>
      </c>
      <c r="Q253" s="316">
        <f ca="1">IF(AND($B254=0,Q$2&gt;1),P253,(OFFSET(Q250,0,1)+OFFSET(Q261,0,1)+OFFSET(Q262,0,1))*$B254/Параметры!Q$30)</f>
        <v>0</v>
      </c>
      <c r="R253" s="316">
        <f ca="1">IF(AND($B254=0,R$2&gt;1),Q253,(OFFSET(R250,0,1)+OFFSET(R261,0,1)+OFFSET(R262,0,1))*$B254/Параметры!R$30)</f>
        <v>0</v>
      </c>
      <c r="S253" s="316">
        <f ca="1">IF(AND($B254=0,S$2&gt;1),R253,(OFFSET(S250,0,1)+OFFSET(S261,0,1)+OFFSET(S262,0,1))*$B254/Параметры!S$30)</f>
        <v>0</v>
      </c>
      <c r="T253" s="316">
        <f ca="1">IF(AND($B254=0,T$2&gt;1),S253,(OFFSET(T250,0,1)+OFFSET(T261,0,1)+OFFSET(T262,0,1))*$B254/Параметры!T$30)</f>
        <v>0</v>
      </c>
      <c r="U253" s="316">
        <f ca="1">IF(AND($B254=0,U$2&gt;1),T253,(OFFSET(U250,0,1)+OFFSET(U261,0,1)+OFFSET(U262,0,1))*$B254/Параметры!U$30)</f>
        <v>0</v>
      </c>
      <c r="V253" s="316">
        <f ca="1">IF(AND($B254=0,V$2&gt;1),U253,(OFFSET(V250,0,1)+OFFSET(V261,0,1)+OFFSET(V262,0,1))*$B254/Параметры!V$30)</f>
        <v>0</v>
      </c>
      <c r="W253" s="316">
        <f ca="1">IF(AND($B254=0,W$2&gt;1),V253,(OFFSET(W250,0,1)+OFFSET(W261,0,1)+OFFSET(W262,0,1))*$B254/Параметры!W$30)</f>
        <v>0</v>
      </c>
      <c r="X253" s="316">
        <f ca="1">IF(AND($B254=0,X$2&gt;1),W253,(OFFSET(X250,0,1)+OFFSET(X261,0,1)+OFFSET(X262,0,1))*$B254/Параметры!X$30)</f>
        <v>0</v>
      </c>
      <c r="Y253" s="316">
        <f ca="1">IF(AND($B254=0,Y$2&gt;1),X253,(OFFSET(Y250,0,1)+OFFSET(Y261,0,1)+OFFSET(Y262,0,1))*$B254/Параметры!Y$30)</f>
        <v>0</v>
      </c>
      <c r="Z253" s="316">
        <f ca="1">IF(AND($B254=0,Z$2&gt;1),Y253,(OFFSET(Z250,0,1)+OFFSET(Z261,0,1)+OFFSET(Z262,0,1))*$B254/Параметры!Z$30)</f>
        <v>0</v>
      </c>
      <c r="AA253" s="316">
        <f ca="1">IF(AND($B254=0,AA$2&gt;1),Z253,(OFFSET(AA250,0,1)+OFFSET(AA261,0,1)+OFFSET(AA262,0,1))*$B254/Параметры!AA$30)</f>
        <v>0</v>
      </c>
      <c r="AB253" s="316">
        <f ca="1">IF(AND($B254=0,AB$2&gt;1),AA253,(OFFSET(AB250,0,1)+OFFSET(AB261,0,1)+OFFSET(AB262,0,1))*$B254/Параметры!AB$30)</f>
        <v>0</v>
      </c>
      <c r="AC253" s="316">
        <f ca="1">IF(AND($B254=0,AC$2&gt;1),AB253,(OFFSET(AC250,0,1)+OFFSET(AC261,0,1)+OFFSET(AC262,0,1))*$B254/Параметры!AC$30)</f>
        <v>0</v>
      </c>
      <c r="AD253" s="316">
        <f ca="1">IF(AND($B254=0,AD$2&gt;1),AC253,(OFFSET(AD250,0,1)+OFFSET(AD261,0,1)+OFFSET(AD262,0,1))*$B254/Параметры!AD$30)</f>
        <v>0</v>
      </c>
      <c r="AE253" s="316">
        <f ca="1">IF(AND($B254=0,AE$2&gt;1),AD253,(OFFSET(AE250,0,1)+OFFSET(AE261,0,1)+OFFSET(AE262,0,1))*$B254/Параметры!AE$30)</f>
        <v>0</v>
      </c>
      <c r="AF253" s="316">
        <f ca="1">IF(AND($B254=0,AF$2&gt;1),AE253,(OFFSET(AF250,0,1)+OFFSET(AF261,0,1)+OFFSET(AF262,0,1))*$B254/Параметры!AF$30)</f>
        <v>0</v>
      </c>
      <c r="AG253" s="316">
        <f ca="1">IF(AND($B254=0,AG$2&gt;1),AF253,(OFFSET(AG250,0,1)+OFFSET(AG261,0,1)+OFFSET(AG262,0,1))*$B254/Параметры!AG$30)</f>
        <v>0</v>
      </c>
      <c r="AH253" s="316">
        <f ca="1">IF(AND($B254=0,AH$2&gt;1),AG253,(OFFSET(AH250,0,1)+OFFSET(AH261,0,1)+OFFSET(AH262,0,1))*$B254/Параметры!AH$30)</f>
        <v>0</v>
      </c>
      <c r="AI253" s="316">
        <f ca="1">IF(AND($B254=0,AI$2&gt;1),AH253,(OFFSET(AI250,0,1)+OFFSET(AI261,0,1)+OFFSET(AI262,0,1))*$B254/Параметры!AI$30)</f>
        <v>0</v>
      </c>
      <c r="AJ253" s="316">
        <f ca="1">IF(AND($B254=0,AJ$2&gt;1),AI253,(OFFSET(AJ250,0,1)+OFFSET(AJ261,0,1)+OFFSET(AJ262,0,1))*$B254/Параметры!AJ$30)</f>
        <v>0</v>
      </c>
      <c r="AK253" s="316">
        <f ca="1">IF(AND($B254=0,AK$2&gt;1),AJ253,(OFFSET(AK250,0,1)+OFFSET(AK261,0,1)+OFFSET(AK262,0,1))*$B254/Параметры!AK$30)</f>
        <v>0</v>
      </c>
      <c r="AL253" s="316">
        <f ca="1">IF(AND($B254=0,AL$2&gt;1),AK253,(OFFSET(AL250,0,1)+OFFSET(AL261,0,1)+OFFSET(AL262,0,1))*$B254/Параметры!AL$30)</f>
        <v>0</v>
      </c>
      <c r="AM253" s="316">
        <f ca="1">IF(AND($B254=0,AM$2&gt;1),AL253,(OFFSET(AM250,0,1)+OFFSET(AM261,0,1)+OFFSET(AM262,0,1))*$B254/Параметры!AM$30)</f>
        <v>0</v>
      </c>
      <c r="AN253" s="316">
        <f ca="1">IF(AND($B254=0,AN$2&gt;1),AM253,(OFFSET(AN250,0,1)+OFFSET(AN261,0,1)+OFFSET(AN262,0,1))*$B254/Параметры!AN$30)</f>
        <v>0</v>
      </c>
      <c r="AO253" s="316">
        <f ca="1">IF(AND($B254=0,AO$2&gt;1),AN253,(OFFSET(AO250,0,1)+OFFSET(AO261,0,1)+OFFSET(AO262,0,1))*$B254/Параметры!AO$30)</f>
        <v>0</v>
      </c>
      <c r="AP253" s="316">
        <f ca="1">IF(AND($B254=0,AP$2&gt;1),AO253,(OFFSET(AP250,0,1)+OFFSET(AP261,0,1)+OFFSET(AP262,0,1))*$B254/Параметры!AP$30)</f>
        <v>0</v>
      </c>
      <c r="AQ253" s="316">
        <f ca="1">IF(AND($B254=0,AQ$2&gt;1),AP253,(OFFSET(AQ250,0,1)+OFFSET(AQ261,0,1)+OFFSET(AQ262,0,1))*$B254/Параметры!AQ$30)</f>
        <v>0</v>
      </c>
      <c r="AR253" s="316">
        <f ca="1">IF(AND($B254=0,AR$2&gt;1),AQ253,(OFFSET(AR250,0,1)+OFFSET(AR261,0,1)+OFFSET(AR262,0,1))*$B254/Параметры!AR$30)</f>
        <v>0</v>
      </c>
      <c r="AS253" s="316">
        <f ca="1">IF(AND($B254=0,AS$2&gt;1),AR253,(OFFSET(AS250,0,1)+OFFSET(AS261,0,1)+OFFSET(AS262,0,1))*$B254/Параметры!AS$30)</f>
        <v>0</v>
      </c>
      <c r="AT253" s="316">
        <f ca="1">IF(AND($B254=0,AT$2&gt;1),AS253,(OFFSET(AT250,0,1)+OFFSET(AT261,0,1)+OFFSET(AT262,0,1))*$B254/Параметры!AT$30)</f>
        <v>0</v>
      </c>
      <c r="AU253" s="316">
        <f ca="1">IF(AND($B254=0,AU$2&gt;1),AT253,(OFFSET(AU250,0,1)+OFFSET(AU261,0,1)+OFFSET(AU262,0,1))*$B254/Параметры!AU$30)</f>
        <v>0</v>
      </c>
      <c r="AV253" s="316">
        <f ca="1">IF(AND($B254=0,AV$2&gt;1),AU253,(OFFSET(AV250,0,1)+OFFSET(AV261,0,1)+OFFSET(AV262,0,1))*$B254/Параметры!AV$30)</f>
        <v>0</v>
      </c>
      <c r="AW253" s="168"/>
      <c r="AX253" s="182"/>
    </row>
    <row r="254" spans="1:50" hidden="1" outlineLevel="1" x14ac:dyDescent="0.2">
      <c r="A254" s="181" t="str">
        <f ca="1">Language!A$601</f>
        <v>средний период предоплаты</v>
      </c>
      <c r="B254" s="320">
        <f>$B$624</f>
        <v>0</v>
      </c>
      <c r="C254" s="152" t="str">
        <f ca="1">Language!$A$1446</f>
        <v>дней</v>
      </c>
      <c r="D254" s="100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48"/>
      <c r="AX254" s="150"/>
    </row>
    <row r="255" spans="1:50" hidden="1" outlineLevel="1" x14ac:dyDescent="0.2">
      <c r="A255" s="179" t="str">
        <f ca="1">Language!A$602</f>
        <v>поступление денежных средств, с НДС</v>
      </c>
      <c r="B255" s="52"/>
      <c r="C255" s="103" t="str">
        <f ca="1">CHOOSE(D255,CurName1,CurName2,CurName3)</f>
        <v>тыс. руб.</v>
      </c>
      <c r="D255" s="155">
        <f>D246</f>
        <v>1</v>
      </c>
      <c r="E255" s="57" t="s">
        <v>993</v>
      </c>
      <c r="F255" s="57" t="s">
        <v>753</v>
      </c>
      <c r="G255" s="180">
        <f ca="1">G250+G261+G262-IF(G$2=1,G251,G251-F251)+IF(G$2=1,G253,G253-F253)</f>
        <v>836</v>
      </c>
      <c r="H255" s="180">
        <f t="shared" ref="H255" ca="1" si="1373">H250+H261+H262-IF(H$2=1,H251,H251-G251)+IF(H$2=1,H253,H253-G253)</f>
        <v>4301.2030092864961</v>
      </c>
      <c r="I255" s="180">
        <f t="shared" ref="I255" ca="1" si="1374">I250+I261+I262-IF(I$2=1,I251,I251-H251)+IF(I$2=1,I253,I253-H253)</f>
        <v>9956.3917550339575</v>
      </c>
      <c r="J255" s="180">
        <f t="shared" ref="J255" ca="1" si="1375">J250+J261+J262-IF(J$2=1,J251,J251-I251)+IF(J$2=1,J253,J253-I253)</f>
        <v>15401.584921824029</v>
      </c>
      <c r="K255" s="180">
        <f t="shared" ref="K255" ca="1" si="1376">K250+K261+K262-IF(K$2=1,K251,K251-J251)+IF(K$2=1,K253,K253-J253)</f>
        <v>19612.657513500581</v>
      </c>
      <c r="L255" s="180">
        <f t="shared" ref="L255" ca="1" si="1377">L250+L261+L262-IF(L$2=1,L251,L251-K251)+IF(L$2=1,L253,L253-K253)</f>
        <v>23430.959071614339</v>
      </c>
      <c r="M255" s="180">
        <f t="shared" ref="M255" ca="1" si="1378">M250+M261+M262-IF(M$2=1,M251,M251-L251)+IF(M$2=1,M253,M253-L253)</f>
        <v>27357.095937145539</v>
      </c>
      <c r="N255" s="180">
        <f t="shared" ref="N255" ca="1" si="1379">N250+N261+N262-IF(N$2=1,N251,N251-M251)+IF(N$2=1,N253,N253-M253)</f>
        <v>31393.410664102401</v>
      </c>
      <c r="O255" s="180">
        <f t="shared" ref="O255" ca="1" si="1380">O250+O261+O262-IF(O$2=1,O251,O251-N251)+IF(O$2=1,O253,O253-N253)</f>
        <v>35542.291335759117</v>
      </c>
      <c r="P255" s="180">
        <f t="shared" ref="P255" ca="1" si="1381">P250+P261+P262-IF(P$2=1,P251,P251-O251)+IF(P$2=1,P253,P253-O253)</f>
        <v>39806.172396431888</v>
      </c>
      <c r="Q255" s="180">
        <f t="shared" ref="Q255" ca="1" si="1382">Q250+Q261+Q262-IF(Q$2=1,Q251,Q251-P251)+IF(Q$2=1,Q253,Q253-P253)</f>
        <v>41769.787962341936</v>
      </c>
      <c r="R255" s="180">
        <f t="shared" ref="R255" ca="1" si="1383">R250+R261+R262-IF(R$2=1,R251,R251-Q251)+IF(R$2=1,R253,R253-Q253)</f>
        <v>42382.711405398863</v>
      </c>
      <c r="S255" s="180">
        <f t="shared" ref="S255" ca="1" si="1384">S250+S261+S262-IF(S$2=1,S251,S251-R251)+IF(S$2=1,S253,S253-R253)</f>
        <v>43004.628792772368</v>
      </c>
      <c r="T255" s="180">
        <f t="shared" ref="T255" ca="1" si="1385">T250+T261+T262-IF(T$2=1,T251,T251-S251)+IF(T$2=1,T253,T253-S253)</f>
        <v>43635.672100217802</v>
      </c>
      <c r="U255" s="180">
        <f t="shared" ref="U255" ca="1" si="1386">U250+U261+U262-IF(U$2=1,U251,U251-T251)+IF(U$2=1,U253,U253-T253)</f>
        <v>44275.975240082458</v>
      </c>
      <c r="V255" s="180">
        <f t="shared" ref="V255" ca="1" si="1387">V250+V261+V262-IF(V$2=1,V251,V251-U251)+IF(V$2=1,V253,V253-U253)</f>
        <v>44925.674089722801</v>
      </c>
      <c r="W255" s="180">
        <f t="shared" ref="W255" ca="1" si="1388">W250+W261+W262-IF(W$2=1,W251,W251-V251)+IF(W$2=1,W253,W253-V253)</f>
        <v>45584.906520338714</v>
      </c>
      <c r="X255" s="180">
        <f t="shared" ref="X255" ca="1" si="1389">X250+X261+X262-IF(X$2=1,X251,X251-W251)+IF(X$2=1,X253,X253-W253)</f>
        <v>46253.812426230885</v>
      </c>
      <c r="Y255" s="180">
        <f t="shared" ref="Y255" ca="1" si="1390">Y250+Y261+Y262-IF(Y$2=1,Y251,Y251-X251)+IF(Y$2=1,Y253,Y253-X253)</f>
        <v>46932.533754487413</v>
      </c>
      <c r="Z255" s="180">
        <f t="shared" ref="Z255" ca="1" si="1391">Z250+Z261+Z262-IF(Z$2=1,Z251,Z251-Y251)+IF(Z$2=1,Z253,Z253-Y253)</f>
        <v>47621.214535106163</v>
      </c>
      <c r="AA255" s="180">
        <f t="shared" ref="AA255" ca="1" si="1392">AA250+AA261+AA262-IF(AA$2=1,AA251,AA251-Z251)+IF(AA$2=1,AA253,AA253-Z253)</f>
        <v>48320.000911559036</v>
      </c>
      <c r="AB255" s="180">
        <f t="shared" ref="AB255" ca="1" si="1393">AB250+AB261+AB262-IF(AB$2=1,AB251,AB251-AA251)+IF(AB$2=1,AB253,AB253-AA253)</f>
        <v>49029.041171804725</v>
      </c>
      <c r="AC255" s="180">
        <f t="shared" ref="AC255" ca="1" si="1394">AC250+AC261+AC262-IF(AC$2=1,AC251,AC251-AB251)+IF(AC$2=1,AC253,AC253-AB253)</f>
        <v>49748.485779756651</v>
      </c>
      <c r="AD255" s="180">
        <f t="shared" ref="AD255" ca="1" si="1395">AD250+AD261+AD262-IF(AD$2=1,AD251,AD251-AC251)+IF(AD$2=1,AD253,AD253-AC253)</f>
        <v>50478.487407212539</v>
      </c>
      <c r="AE255" s="180">
        <f t="shared" ref="AE255" ca="1" si="1396">AE250+AE261+AE262-IF(AE$2=1,AE251,AE251-AD251)+IF(AE$2=1,AE253,AE253-AD253)</f>
        <v>51219.200966252582</v>
      </c>
      <c r="AF255" s="180">
        <f t="shared" ref="AF255" ca="1" si="1397">AF250+AF261+AF262-IF(AF$2=1,AF251,AF251-AE251)+IF(AF$2=1,AF253,AF253-AE253)</f>
        <v>51970.78364211302</v>
      </c>
      <c r="AG255" s="180">
        <f t="shared" ref="AG255" ca="1" si="1398">AG250+AG261+AG262-IF(AG$2=1,AG251,AG251-AF251)+IF(AG$2=1,AG253,AG253-AF253)</f>
        <v>52733.39492654206</v>
      </c>
      <c r="AH255" s="180">
        <f t="shared" ref="AH255" ca="1" si="1399">AH250+AH261+AH262-IF(AH$2=1,AH251,AH251-AG251)+IF(AH$2=1,AH253,AH253-AG253)</f>
        <v>53507.196651645296</v>
      </c>
      <c r="AI255" s="180">
        <f t="shared" ref="AI255" ca="1" si="1400">AI250+AI261+AI262-IF(AI$2=1,AI251,AI251-AH251)+IF(AI$2=1,AI253,AI253-AH253)</f>
        <v>54292.353024227741</v>
      </c>
      <c r="AJ255" s="180">
        <f t="shared" ref="AJ255" ca="1" si="1401">AJ250+AJ261+AJ262-IF(AJ$2=1,AJ251,AJ251-AI251)+IF(AJ$2=1,AJ253,AJ253-AI253)</f>
        <v>55089.030660639793</v>
      </c>
      <c r="AK255" s="180">
        <f t="shared" ref="AK255" ca="1" si="1402">AK250+AK261+AK262-IF(AK$2=1,AK251,AK251-AJ251)+IF(AK$2=1,AK253,AK253-AJ253)</f>
        <v>55897.398622134584</v>
      </c>
      <c r="AL255" s="180">
        <f t="shared" ref="AL255" ca="1" si="1403">AL250+AL261+AL262-IF(AL$2=1,AL251,AL251-AK251)+IF(AL$2=1,AL253,AL253-AK253)</f>
        <v>56717.628450744014</v>
      </c>
      <c r="AM255" s="180">
        <f t="shared" ref="AM255" ca="1" si="1404">AM250+AM261+AM262-IF(AM$2=1,AM251,AM251-AL251)+IF(AM$2=1,AM253,AM253-AL253)</f>
        <v>57549.894205681412</v>
      </c>
      <c r="AN255" s="180">
        <f t="shared" ref="AN255" ca="1" si="1405">AN250+AN261+AN262-IF(AN$2=1,AN251,AN251-AM251)+IF(AN$2=1,AN253,AN253-AM253)</f>
        <v>58394.372500278187</v>
      </c>
      <c r="AO255" s="180">
        <f t="shared" ref="AO255" ca="1" si="1406">AO250+AO261+AO262-IF(AO$2=1,AO251,AO251-AN251)+IF(AO$2=1,AO253,AO253-AN253)</f>
        <v>59251.242539462663</v>
      </c>
      <c r="AP255" s="180">
        <f t="shared" ref="AP255" ca="1" si="1407">AP250+AP261+AP262-IF(AP$2=1,AP251,AP251-AO251)+IF(AP$2=1,AP253,AP253-AO253)</f>
        <v>60120.686157788674</v>
      </c>
      <c r="AQ255" s="180">
        <f t="shared" ref="AQ255" ca="1" si="1408">AQ250+AQ261+AQ262-IF(AQ$2=1,AQ251,AQ251-AP251)+IF(AQ$2=1,AQ253,AQ253-AP253)</f>
        <v>61002.88785802231</v>
      </c>
      <c r="AR255" s="180">
        <f t="shared" ref="AR255" ca="1" si="1409">AR250+AR261+AR262-IF(AR$2=1,AR251,AR251-AQ251)+IF(AR$2=1,AR253,AR253-AQ253)</f>
        <v>61898.034850294898</v>
      </c>
      <c r="AS255" s="180">
        <f t="shared" ref="AS255" ca="1" si="1410">AS250+AS261+AS262-IF(AS$2=1,AS251,AS251-AR251)+IF(AS$2=1,AS253,AS253-AR253)</f>
        <v>62806.317091830439</v>
      </c>
      <c r="AT255" s="180">
        <f t="shared" ref="AT255" ca="1" si="1411">AT250+AT261+AT262-IF(AT$2=1,AT251,AT251-AS251)+IF(AT$2=1,AT253,AT253-AS253)</f>
        <v>63727.927327255995</v>
      </c>
      <c r="AU255" s="180">
        <f t="shared" ref="AU255" ca="1" si="1412">AU250+AU261+AU262-IF(AU$2=1,AU251,AU251-AT251)+IF(AU$2=1,AU253,AU253-AT253)</f>
        <v>64663.061129503643</v>
      </c>
      <c r="AV255" s="180">
        <f t="shared" ref="AV255" ca="1" si="1413">AV250+AV261+AV262-IF(AV$2=1,AV251,AV251-AU251)+IF(AV$2=1,AV253,AV253-AU253)</f>
        <v>65611.916941312607</v>
      </c>
      <c r="AW255" s="180"/>
      <c r="AX255" s="169">
        <f ca="1">SUM(G255:AW255)</f>
        <v>1898054.0262474609</v>
      </c>
    </row>
    <row r="256" spans="1:50" hidden="1" outlineLevel="1" x14ac:dyDescent="0.2">
      <c r="A256" s="179" t="str">
        <f ca="1">Language!A$603</f>
        <v>темп изменения цен</v>
      </c>
      <c r="B256" s="84"/>
      <c r="C256" s="82" t="str">
        <f ca="1">Language!$A$471</f>
        <v>% в год</v>
      </c>
      <c r="D256" s="153"/>
      <c r="F256" s="57" t="s">
        <v>756</v>
      </c>
      <c r="G256" s="321">
        <f>CHOOSE($D246,Параметры!G$47,Параметры!G$56,Параметры!G$62)</f>
        <v>0.06</v>
      </c>
      <c r="H256" s="321">
        <f>CHOOSE($D246,Параметры!H$47,Параметры!H$56,Параметры!H$62)</f>
        <v>0.06</v>
      </c>
      <c r="I256" s="321">
        <f>CHOOSE($D246,Параметры!I$47,Параметры!I$56,Параметры!I$62)</f>
        <v>0.06</v>
      </c>
      <c r="J256" s="321">
        <f>CHOOSE($D246,Параметры!J$47,Параметры!J$56,Параметры!J$62)</f>
        <v>0.06</v>
      </c>
      <c r="K256" s="321">
        <f>CHOOSE($D246,Параметры!K$47,Параметры!K$56,Параметры!K$62)</f>
        <v>0.06</v>
      </c>
      <c r="L256" s="321">
        <f>CHOOSE($D246,Параметры!L$47,Параметры!L$56,Параметры!L$62)</f>
        <v>0.06</v>
      </c>
      <c r="M256" s="321">
        <f>CHOOSE($D246,Параметры!M$47,Параметры!M$56,Параметры!M$62)</f>
        <v>0.06</v>
      </c>
      <c r="N256" s="321">
        <f>CHOOSE($D246,Параметры!N$47,Параметры!N$56,Параметры!N$62)</f>
        <v>0.06</v>
      </c>
      <c r="O256" s="321">
        <f>CHOOSE($D246,Параметры!O$47,Параметры!O$56,Параметры!O$62)</f>
        <v>0.06</v>
      </c>
      <c r="P256" s="321">
        <f>CHOOSE($D246,Параметры!P$47,Параметры!P$56,Параметры!P$62)</f>
        <v>0.06</v>
      </c>
      <c r="Q256" s="321">
        <f>CHOOSE($D246,Параметры!Q$47,Параметры!Q$56,Параметры!Q$62)</f>
        <v>0.06</v>
      </c>
      <c r="R256" s="321">
        <f>CHOOSE($D246,Параметры!R$47,Параметры!R$56,Параметры!R$62)</f>
        <v>0.06</v>
      </c>
      <c r="S256" s="321">
        <f>CHOOSE($D246,Параметры!S$47,Параметры!S$56,Параметры!S$62)</f>
        <v>0.06</v>
      </c>
      <c r="T256" s="321">
        <f>CHOOSE($D246,Параметры!T$47,Параметры!T$56,Параметры!T$62)</f>
        <v>0.06</v>
      </c>
      <c r="U256" s="321">
        <f>CHOOSE($D246,Параметры!U$47,Параметры!U$56,Параметры!U$62)</f>
        <v>0.06</v>
      </c>
      <c r="V256" s="321">
        <f>CHOOSE($D246,Параметры!V$47,Параметры!V$56,Параметры!V$62)</f>
        <v>0.06</v>
      </c>
      <c r="W256" s="321">
        <f>CHOOSE($D246,Параметры!W$47,Параметры!W$56,Параметры!W$62)</f>
        <v>0.06</v>
      </c>
      <c r="X256" s="321">
        <f>CHOOSE($D246,Параметры!X$47,Параметры!X$56,Параметры!X$62)</f>
        <v>0.06</v>
      </c>
      <c r="Y256" s="321">
        <f>CHOOSE($D246,Параметры!Y$47,Параметры!Y$56,Параметры!Y$62)</f>
        <v>0.06</v>
      </c>
      <c r="Z256" s="321">
        <f>CHOOSE($D246,Параметры!Z$47,Параметры!Z$56,Параметры!Z$62)</f>
        <v>0.06</v>
      </c>
      <c r="AA256" s="321">
        <f>CHOOSE($D246,Параметры!AA$47,Параметры!AA$56,Параметры!AA$62)</f>
        <v>0.06</v>
      </c>
      <c r="AB256" s="321">
        <f>CHOOSE($D246,Параметры!AB$47,Параметры!AB$56,Параметры!AB$62)</f>
        <v>0.06</v>
      </c>
      <c r="AC256" s="321">
        <f>CHOOSE($D246,Параметры!AC$47,Параметры!AC$56,Параметры!AC$62)</f>
        <v>0.06</v>
      </c>
      <c r="AD256" s="321">
        <f>CHOOSE($D246,Параметры!AD$47,Параметры!AD$56,Параметры!AD$62)</f>
        <v>0.06</v>
      </c>
      <c r="AE256" s="321">
        <f>CHOOSE($D246,Параметры!AE$47,Параметры!AE$56,Параметры!AE$62)</f>
        <v>0.06</v>
      </c>
      <c r="AF256" s="321">
        <f>CHOOSE($D246,Параметры!AF$47,Параметры!AF$56,Параметры!AF$62)</f>
        <v>0.06</v>
      </c>
      <c r="AG256" s="321">
        <f>CHOOSE($D246,Параметры!AG$47,Параметры!AG$56,Параметры!AG$62)</f>
        <v>0.06</v>
      </c>
      <c r="AH256" s="321">
        <f>CHOOSE($D246,Параметры!AH$47,Параметры!AH$56,Параметры!AH$62)</f>
        <v>0.06</v>
      </c>
      <c r="AI256" s="321">
        <f>CHOOSE($D246,Параметры!AI$47,Параметры!AI$56,Параметры!AI$62)</f>
        <v>0.06</v>
      </c>
      <c r="AJ256" s="321">
        <f>CHOOSE($D246,Параметры!AJ$47,Параметры!AJ$56,Параметры!AJ$62)</f>
        <v>0.06</v>
      </c>
      <c r="AK256" s="321">
        <f>CHOOSE($D246,Параметры!AK$47,Параметры!AK$56,Параметры!AK$62)</f>
        <v>0.06</v>
      </c>
      <c r="AL256" s="321">
        <f>CHOOSE($D246,Параметры!AL$47,Параметры!AL$56,Параметры!AL$62)</f>
        <v>0.06</v>
      </c>
      <c r="AM256" s="321">
        <f>CHOOSE($D246,Параметры!AM$47,Параметры!AM$56,Параметры!AM$62)</f>
        <v>0.06</v>
      </c>
      <c r="AN256" s="321">
        <f>CHOOSE($D246,Параметры!AN$47,Параметры!AN$56,Параметры!AN$62)</f>
        <v>0.06</v>
      </c>
      <c r="AO256" s="321">
        <f>CHOOSE($D246,Параметры!AO$47,Параметры!AO$56,Параметры!AO$62)</f>
        <v>0.06</v>
      </c>
      <c r="AP256" s="321">
        <f>CHOOSE($D246,Параметры!AP$47,Параметры!AP$56,Параметры!AP$62)</f>
        <v>0.06</v>
      </c>
      <c r="AQ256" s="321">
        <f>CHOOSE($D246,Параметры!AQ$47,Параметры!AQ$56,Параметры!AQ$62)</f>
        <v>0.06</v>
      </c>
      <c r="AR256" s="321">
        <f>CHOOSE($D246,Параметры!AR$47,Параметры!AR$56,Параметры!AR$62)</f>
        <v>0.06</v>
      </c>
      <c r="AS256" s="321">
        <f>CHOOSE($D246,Параметры!AS$47,Параметры!AS$56,Параметры!AS$62)</f>
        <v>0.06</v>
      </c>
      <c r="AT256" s="321">
        <f>CHOOSE($D246,Параметры!AT$47,Параметры!AT$56,Параметры!AT$62)</f>
        <v>0.06</v>
      </c>
      <c r="AU256" s="321">
        <f>CHOOSE($D246,Параметры!AU$47,Параметры!AU$56,Параметры!AU$62)</f>
        <v>0.06</v>
      </c>
      <c r="AV256" s="321">
        <f>CHOOSE($D246,Параметры!AV$47,Параметры!AV$56,Параметры!AV$62)</f>
        <v>0.06</v>
      </c>
      <c r="AW256" s="183"/>
      <c r="AX256" s="184"/>
    </row>
    <row r="257" spans="1:50" hidden="1" outlineLevel="1" x14ac:dyDescent="0.2">
      <c r="A257" s="179" t="str">
        <f ca="1">Language!A$604</f>
        <v>ставка НДС</v>
      </c>
      <c r="B257" s="84"/>
      <c r="C257" s="82" t="s">
        <v>1</v>
      </c>
      <c r="D257" s="66"/>
      <c r="F257" s="57" t="s">
        <v>756</v>
      </c>
      <c r="G257" s="321">
        <f>Параметры!G$72*10/18</f>
        <v>9.9999999999999992E-2</v>
      </c>
      <c r="H257" s="321">
        <f>Параметры!H$72*10/18</f>
        <v>9.9999999999999992E-2</v>
      </c>
      <c r="I257" s="321">
        <f>Параметры!I$72*10/18</f>
        <v>9.9999999999999992E-2</v>
      </c>
      <c r="J257" s="321">
        <f>Параметры!J$72*10/18</f>
        <v>9.9999999999999992E-2</v>
      </c>
      <c r="K257" s="321">
        <f>Параметры!K$72*10/18</f>
        <v>9.9999999999999992E-2</v>
      </c>
      <c r="L257" s="321">
        <f>Параметры!L$72*10/18</f>
        <v>9.9999999999999992E-2</v>
      </c>
      <c r="M257" s="321">
        <f>Параметры!M$72*10/18</f>
        <v>9.9999999999999992E-2</v>
      </c>
      <c r="N257" s="321">
        <f>Параметры!N$72*10/18</f>
        <v>9.9999999999999992E-2</v>
      </c>
      <c r="O257" s="321">
        <f>Параметры!O$72*10/18</f>
        <v>9.9999999999999992E-2</v>
      </c>
      <c r="P257" s="321">
        <f>Параметры!P$72*10/18</f>
        <v>9.9999999999999992E-2</v>
      </c>
      <c r="Q257" s="321">
        <f>Параметры!Q$72*10/18</f>
        <v>9.9999999999999992E-2</v>
      </c>
      <c r="R257" s="321">
        <f>Параметры!R$72*10/18</f>
        <v>9.9999999999999992E-2</v>
      </c>
      <c r="S257" s="321">
        <f>Параметры!S$72*10/18</f>
        <v>9.9999999999999992E-2</v>
      </c>
      <c r="T257" s="321">
        <f>Параметры!T$72*10/18</f>
        <v>9.9999999999999992E-2</v>
      </c>
      <c r="U257" s="321">
        <f>Параметры!U$72*10/18</f>
        <v>9.9999999999999992E-2</v>
      </c>
      <c r="V257" s="321">
        <f>Параметры!V$72*10/18</f>
        <v>9.9999999999999992E-2</v>
      </c>
      <c r="W257" s="321">
        <f>Параметры!W$72*10/18</f>
        <v>9.9999999999999992E-2</v>
      </c>
      <c r="X257" s="321">
        <f>Параметры!X$72*10/18</f>
        <v>9.9999999999999992E-2</v>
      </c>
      <c r="Y257" s="321">
        <f>Параметры!Y$72*10/18</f>
        <v>9.9999999999999992E-2</v>
      </c>
      <c r="Z257" s="321">
        <f>Параметры!Z$72*10/18</f>
        <v>9.9999999999999992E-2</v>
      </c>
      <c r="AA257" s="321">
        <f>Параметры!AA$72*10/18</f>
        <v>9.9999999999999992E-2</v>
      </c>
      <c r="AB257" s="321">
        <f>Параметры!AB$72*10/18</f>
        <v>9.9999999999999992E-2</v>
      </c>
      <c r="AC257" s="321">
        <f>Параметры!AC$72*10/18</f>
        <v>9.9999999999999992E-2</v>
      </c>
      <c r="AD257" s="321">
        <f>Параметры!AD$72*10/18</f>
        <v>9.9999999999999992E-2</v>
      </c>
      <c r="AE257" s="321">
        <f>Параметры!AE$72*10/18</f>
        <v>9.9999999999999992E-2</v>
      </c>
      <c r="AF257" s="321">
        <f>Параметры!AF$72*10/18</f>
        <v>9.9999999999999992E-2</v>
      </c>
      <c r="AG257" s="321">
        <f>Параметры!AG$72*10/18</f>
        <v>9.9999999999999992E-2</v>
      </c>
      <c r="AH257" s="321">
        <f>Параметры!AH$72*10/18</f>
        <v>9.9999999999999992E-2</v>
      </c>
      <c r="AI257" s="321">
        <f>Параметры!AI$72*10/18</f>
        <v>9.9999999999999992E-2</v>
      </c>
      <c r="AJ257" s="321">
        <f>Параметры!AJ$72*10/18</f>
        <v>9.9999999999999992E-2</v>
      </c>
      <c r="AK257" s="321">
        <f>Параметры!AK$72*10/18</f>
        <v>9.9999999999999992E-2</v>
      </c>
      <c r="AL257" s="321">
        <f>Параметры!AL$72*10/18</f>
        <v>9.9999999999999992E-2</v>
      </c>
      <c r="AM257" s="321">
        <f>Параметры!AM$72*10/18</f>
        <v>9.9999999999999992E-2</v>
      </c>
      <c r="AN257" s="321">
        <f>Параметры!AN$72*10/18</f>
        <v>9.9999999999999992E-2</v>
      </c>
      <c r="AO257" s="321">
        <f>Параметры!AO$72*10/18</f>
        <v>9.9999999999999992E-2</v>
      </c>
      <c r="AP257" s="321">
        <f>Параметры!AP$72*10/18</f>
        <v>9.9999999999999992E-2</v>
      </c>
      <c r="AQ257" s="321">
        <f>Параметры!AQ$72*10/18</f>
        <v>9.9999999999999992E-2</v>
      </c>
      <c r="AR257" s="321">
        <f>Параметры!AR$72*10/18</f>
        <v>9.9999999999999992E-2</v>
      </c>
      <c r="AS257" s="321">
        <f>Параметры!AS$72*10/18</f>
        <v>9.9999999999999992E-2</v>
      </c>
      <c r="AT257" s="321">
        <f>Параметры!AT$72*10/18</f>
        <v>9.9999999999999992E-2</v>
      </c>
      <c r="AU257" s="321">
        <f>Параметры!AU$72*10/18</f>
        <v>9.9999999999999992E-2</v>
      </c>
      <c r="AV257" s="321">
        <f>Параметры!AV$72*10/18</f>
        <v>9.9999999999999992E-2</v>
      </c>
      <c r="AW257" s="183"/>
      <c r="AX257" s="87"/>
    </row>
    <row r="258" spans="1:50" hidden="1" outlineLevel="1" x14ac:dyDescent="0.2">
      <c r="A258" s="179" t="str">
        <f ca="1">Language!A$605</f>
        <v>акцизы, на единицу</v>
      </c>
      <c r="B258" s="66"/>
      <c r="C258" s="82" t="str">
        <f ca="1">CHOOSE(D258,CurName1,CurName2,CurName3)&amp;"/"&amp;C248</f>
        <v>тыс. руб./тн</v>
      </c>
      <c r="D258" s="66">
        <f>D246</f>
        <v>1</v>
      </c>
      <c r="F258" s="57" t="s">
        <v>756</v>
      </c>
      <c r="G258" s="319">
        <v>0</v>
      </c>
      <c r="H258" s="319">
        <f t="shared" ref="H258:H259" si="1414">G258</f>
        <v>0</v>
      </c>
      <c r="I258" s="319">
        <f t="shared" ref="I258:I259" si="1415">H258</f>
        <v>0</v>
      </c>
      <c r="J258" s="319">
        <f t="shared" ref="J258:J259" si="1416">I258</f>
        <v>0</v>
      </c>
      <c r="K258" s="319">
        <f t="shared" ref="K258:K259" si="1417">J258</f>
        <v>0</v>
      </c>
      <c r="L258" s="319">
        <f t="shared" ref="L258:L259" si="1418">K258</f>
        <v>0</v>
      </c>
      <c r="M258" s="319">
        <f t="shared" ref="M258:M259" si="1419">L258</f>
        <v>0</v>
      </c>
      <c r="N258" s="319">
        <f t="shared" ref="N258:N259" si="1420">M258</f>
        <v>0</v>
      </c>
      <c r="O258" s="319">
        <f t="shared" ref="O258:O259" si="1421">N258</f>
        <v>0</v>
      </c>
      <c r="P258" s="319">
        <f t="shared" ref="P258:P259" si="1422">O258</f>
        <v>0</v>
      </c>
      <c r="Q258" s="319">
        <f t="shared" ref="Q258:Q259" si="1423">P258</f>
        <v>0</v>
      </c>
      <c r="R258" s="319">
        <f t="shared" ref="R258:R259" si="1424">Q258</f>
        <v>0</v>
      </c>
      <c r="S258" s="319">
        <f t="shared" ref="S258:S259" si="1425">R258</f>
        <v>0</v>
      </c>
      <c r="T258" s="319">
        <f t="shared" ref="T258:T259" si="1426">S258</f>
        <v>0</v>
      </c>
      <c r="U258" s="319">
        <f t="shared" ref="U258:U259" si="1427">T258</f>
        <v>0</v>
      </c>
      <c r="V258" s="319">
        <f t="shared" ref="V258:V259" si="1428">U258</f>
        <v>0</v>
      </c>
      <c r="W258" s="319">
        <f t="shared" ref="W258:W259" si="1429">V258</f>
        <v>0</v>
      </c>
      <c r="X258" s="319">
        <f t="shared" ref="X258:X259" si="1430">W258</f>
        <v>0</v>
      </c>
      <c r="Y258" s="319">
        <f t="shared" ref="Y258:Y259" si="1431">X258</f>
        <v>0</v>
      </c>
      <c r="Z258" s="319">
        <f t="shared" ref="Z258:Z259" si="1432">Y258</f>
        <v>0</v>
      </c>
      <c r="AA258" s="319">
        <f t="shared" ref="AA258:AA259" si="1433">Z258</f>
        <v>0</v>
      </c>
      <c r="AB258" s="319">
        <f t="shared" ref="AB258:AB259" si="1434">AA258</f>
        <v>0</v>
      </c>
      <c r="AC258" s="319">
        <f t="shared" ref="AC258:AC259" si="1435">AB258</f>
        <v>0</v>
      </c>
      <c r="AD258" s="319">
        <f t="shared" ref="AD258:AD259" si="1436">AC258</f>
        <v>0</v>
      </c>
      <c r="AE258" s="319">
        <f t="shared" ref="AE258:AE259" si="1437">AD258</f>
        <v>0</v>
      </c>
      <c r="AF258" s="319">
        <f t="shared" ref="AF258:AF259" si="1438">AE258</f>
        <v>0</v>
      </c>
      <c r="AG258" s="319">
        <f t="shared" ref="AG258:AG259" si="1439">AF258</f>
        <v>0</v>
      </c>
      <c r="AH258" s="319">
        <f t="shared" ref="AH258:AH259" si="1440">AG258</f>
        <v>0</v>
      </c>
      <c r="AI258" s="319">
        <f t="shared" ref="AI258:AI259" si="1441">AH258</f>
        <v>0</v>
      </c>
      <c r="AJ258" s="319">
        <f t="shared" ref="AJ258:AJ259" si="1442">AI258</f>
        <v>0</v>
      </c>
      <c r="AK258" s="319">
        <f t="shared" ref="AK258:AK259" si="1443">AJ258</f>
        <v>0</v>
      </c>
      <c r="AL258" s="319">
        <f t="shared" ref="AL258:AL259" si="1444">AK258</f>
        <v>0</v>
      </c>
      <c r="AM258" s="319">
        <f t="shared" ref="AM258:AM259" si="1445">AL258</f>
        <v>0</v>
      </c>
      <c r="AN258" s="319">
        <f t="shared" ref="AN258:AN259" si="1446">AM258</f>
        <v>0</v>
      </c>
      <c r="AO258" s="319">
        <f t="shared" ref="AO258:AO259" si="1447">AN258</f>
        <v>0</v>
      </c>
      <c r="AP258" s="319">
        <f t="shared" ref="AP258:AP259" si="1448">AO258</f>
        <v>0</v>
      </c>
      <c r="AQ258" s="319">
        <f t="shared" ref="AQ258:AQ259" si="1449">AP258</f>
        <v>0</v>
      </c>
      <c r="AR258" s="319">
        <f t="shared" ref="AR258:AR259" si="1450">AQ258</f>
        <v>0</v>
      </c>
      <c r="AS258" s="319">
        <f t="shared" ref="AS258:AS259" si="1451">AR258</f>
        <v>0</v>
      </c>
      <c r="AT258" s="319">
        <f t="shared" ref="AT258:AT259" si="1452">AS258</f>
        <v>0</v>
      </c>
      <c r="AU258" s="319">
        <f t="shared" ref="AU258:AU259" si="1453">AT258</f>
        <v>0</v>
      </c>
      <c r="AV258" s="319">
        <f t="shared" ref="AV258:AV259" si="1454">AU258</f>
        <v>0</v>
      </c>
      <c r="AW258" s="180"/>
      <c r="AX258" s="87"/>
    </row>
    <row r="259" spans="1:50" hidden="1" outlineLevel="1" x14ac:dyDescent="0.2">
      <c r="A259" s="179" t="str">
        <f ca="1">Language!A$606</f>
        <v>ставка акцизов, в процентах</v>
      </c>
      <c r="B259" s="84"/>
      <c r="C259" s="82" t="s">
        <v>1</v>
      </c>
      <c r="D259" s="66"/>
      <c r="F259" s="57" t="s">
        <v>756</v>
      </c>
      <c r="G259" s="321">
        <v>0</v>
      </c>
      <c r="H259" s="321">
        <f t="shared" si="1414"/>
        <v>0</v>
      </c>
      <c r="I259" s="321">
        <f t="shared" si="1415"/>
        <v>0</v>
      </c>
      <c r="J259" s="321">
        <f t="shared" si="1416"/>
        <v>0</v>
      </c>
      <c r="K259" s="321">
        <f t="shared" si="1417"/>
        <v>0</v>
      </c>
      <c r="L259" s="321">
        <f t="shared" si="1418"/>
        <v>0</v>
      </c>
      <c r="M259" s="321">
        <f t="shared" si="1419"/>
        <v>0</v>
      </c>
      <c r="N259" s="321">
        <f t="shared" si="1420"/>
        <v>0</v>
      </c>
      <c r="O259" s="321">
        <f t="shared" si="1421"/>
        <v>0</v>
      </c>
      <c r="P259" s="321">
        <f t="shared" si="1422"/>
        <v>0</v>
      </c>
      <c r="Q259" s="321">
        <f t="shared" si="1423"/>
        <v>0</v>
      </c>
      <c r="R259" s="321">
        <f t="shared" si="1424"/>
        <v>0</v>
      </c>
      <c r="S259" s="321">
        <f t="shared" si="1425"/>
        <v>0</v>
      </c>
      <c r="T259" s="321">
        <f t="shared" si="1426"/>
        <v>0</v>
      </c>
      <c r="U259" s="321">
        <f t="shared" si="1427"/>
        <v>0</v>
      </c>
      <c r="V259" s="321">
        <f t="shared" si="1428"/>
        <v>0</v>
      </c>
      <c r="W259" s="321">
        <f t="shared" si="1429"/>
        <v>0</v>
      </c>
      <c r="X259" s="321">
        <f t="shared" si="1430"/>
        <v>0</v>
      </c>
      <c r="Y259" s="321">
        <f t="shared" si="1431"/>
        <v>0</v>
      </c>
      <c r="Z259" s="321">
        <f t="shared" si="1432"/>
        <v>0</v>
      </c>
      <c r="AA259" s="321">
        <f t="shared" si="1433"/>
        <v>0</v>
      </c>
      <c r="AB259" s="321">
        <f t="shared" si="1434"/>
        <v>0</v>
      </c>
      <c r="AC259" s="321">
        <f t="shared" si="1435"/>
        <v>0</v>
      </c>
      <c r="AD259" s="321">
        <f t="shared" si="1436"/>
        <v>0</v>
      </c>
      <c r="AE259" s="321">
        <f t="shared" si="1437"/>
        <v>0</v>
      </c>
      <c r="AF259" s="321">
        <f t="shared" si="1438"/>
        <v>0</v>
      </c>
      <c r="AG259" s="321">
        <f t="shared" si="1439"/>
        <v>0</v>
      </c>
      <c r="AH259" s="321">
        <f t="shared" si="1440"/>
        <v>0</v>
      </c>
      <c r="AI259" s="321">
        <f t="shared" si="1441"/>
        <v>0</v>
      </c>
      <c r="AJ259" s="321">
        <f t="shared" si="1442"/>
        <v>0</v>
      </c>
      <c r="AK259" s="321">
        <f t="shared" si="1443"/>
        <v>0</v>
      </c>
      <c r="AL259" s="321">
        <f t="shared" si="1444"/>
        <v>0</v>
      </c>
      <c r="AM259" s="321">
        <f t="shared" si="1445"/>
        <v>0</v>
      </c>
      <c r="AN259" s="321">
        <f t="shared" si="1446"/>
        <v>0</v>
      </c>
      <c r="AO259" s="321">
        <f t="shared" si="1447"/>
        <v>0</v>
      </c>
      <c r="AP259" s="321">
        <f t="shared" si="1448"/>
        <v>0</v>
      </c>
      <c r="AQ259" s="321">
        <f t="shared" si="1449"/>
        <v>0</v>
      </c>
      <c r="AR259" s="321">
        <f t="shared" si="1450"/>
        <v>0</v>
      </c>
      <c r="AS259" s="321">
        <f t="shared" si="1451"/>
        <v>0</v>
      </c>
      <c r="AT259" s="321">
        <f t="shared" si="1452"/>
        <v>0</v>
      </c>
      <c r="AU259" s="321">
        <f t="shared" si="1453"/>
        <v>0</v>
      </c>
      <c r="AV259" s="321">
        <f t="shared" si="1454"/>
        <v>0</v>
      </c>
      <c r="AW259" s="183"/>
      <c r="AX259" s="87"/>
    </row>
    <row r="260" spans="1:50" hidden="1" outlineLevel="1" x14ac:dyDescent="0.2">
      <c r="A260" s="179" t="str">
        <f ca="1">Language!A$607</f>
        <v>коэффициент прироста цен к предыдущему периоду</v>
      </c>
      <c r="B260" s="84"/>
      <c r="C260" s="82" t="str">
        <f ca="1">Language!$A$1449</f>
        <v>раз</v>
      </c>
      <c r="D260" s="66"/>
      <c r="F260" s="57" t="s">
        <v>756</v>
      </c>
      <c r="G260" s="86">
        <f ca="1">IF(G$2=1,1,IF(Prj_Inflation=1,POWER(1+OFFSET(G256,0,-1),Параметры!G$30/360),1))</f>
        <v>1</v>
      </c>
      <c r="H260" s="86">
        <f ca="1">IF(H$2=1,1,IF(Prj_Inflation=1,POWER(1+OFFSET(H256,0,-1),Параметры!H$30/360),1))</f>
        <v>1.0146738461686593</v>
      </c>
      <c r="I260" s="86">
        <f ca="1">IF(I$2=1,1,IF(Prj_Inflation=1,POWER(1+OFFSET(I256,0,-1),Параметры!I$30/360),1))</f>
        <v>1.0146738461686593</v>
      </c>
      <c r="J260" s="86">
        <f ca="1">IF(J$2=1,1,IF(Prj_Inflation=1,POWER(1+OFFSET(J256,0,-1),Параметры!J$30/360),1))</f>
        <v>1.0146738461686593</v>
      </c>
      <c r="K260" s="86">
        <f ca="1">IF(K$2=1,1,IF(Prj_Inflation=1,POWER(1+OFFSET(K256,0,-1),Параметры!K$30/360),1))</f>
        <v>1.0146738461686593</v>
      </c>
      <c r="L260" s="86">
        <f ca="1">IF(L$2=1,1,IF(Prj_Inflation=1,POWER(1+OFFSET(L256,0,-1),Параметры!L$30/360),1))</f>
        <v>1.0146738461686593</v>
      </c>
      <c r="M260" s="86">
        <f ca="1">IF(M$2=1,1,IF(Prj_Inflation=1,POWER(1+OFFSET(M256,0,-1),Параметры!M$30/360),1))</f>
        <v>1.0146738461686593</v>
      </c>
      <c r="N260" s="86">
        <f ca="1">IF(N$2=1,1,IF(Prj_Inflation=1,POWER(1+OFFSET(N256,0,-1),Параметры!N$30/360),1))</f>
        <v>1.0146738461686593</v>
      </c>
      <c r="O260" s="86">
        <f ca="1">IF(O$2=1,1,IF(Prj_Inflation=1,POWER(1+OFFSET(O256,0,-1),Параметры!O$30/360),1))</f>
        <v>1.0146738461686593</v>
      </c>
      <c r="P260" s="86">
        <f ca="1">IF(P$2=1,1,IF(Prj_Inflation=1,POWER(1+OFFSET(P256,0,-1),Параметры!P$30/360),1))</f>
        <v>1.0146738461686593</v>
      </c>
      <c r="Q260" s="86">
        <f ca="1">IF(Q$2=1,1,IF(Prj_Inflation=1,POWER(1+OFFSET(Q256,0,-1),Параметры!Q$30/360),1))</f>
        <v>1.0146738461686593</v>
      </c>
      <c r="R260" s="86">
        <f ca="1">IF(R$2=1,1,IF(Prj_Inflation=1,POWER(1+OFFSET(R256,0,-1),Параметры!R$30/360),1))</f>
        <v>1.0146738461686593</v>
      </c>
      <c r="S260" s="86">
        <f ca="1">IF(S$2=1,1,IF(Prj_Inflation=1,POWER(1+OFFSET(S256,0,-1),Параметры!S$30/360),1))</f>
        <v>1.0146738461686593</v>
      </c>
      <c r="T260" s="86">
        <f ca="1">IF(T$2=1,1,IF(Prj_Inflation=1,POWER(1+OFFSET(T256,0,-1),Параметры!T$30/360),1))</f>
        <v>1.0146738461686593</v>
      </c>
      <c r="U260" s="86">
        <f ca="1">IF(U$2=1,1,IF(Prj_Inflation=1,POWER(1+OFFSET(U256,0,-1),Параметры!U$30/360),1))</f>
        <v>1.0146738461686593</v>
      </c>
      <c r="V260" s="86">
        <f ca="1">IF(V$2=1,1,IF(Prj_Inflation=1,POWER(1+OFFSET(V256,0,-1),Параметры!V$30/360),1))</f>
        <v>1.0146738461686593</v>
      </c>
      <c r="W260" s="86">
        <f ca="1">IF(W$2=1,1,IF(Prj_Inflation=1,POWER(1+OFFSET(W256,0,-1),Параметры!W$30/360),1))</f>
        <v>1.0146738461686593</v>
      </c>
      <c r="X260" s="86">
        <f ca="1">IF(X$2=1,1,IF(Prj_Inflation=1,POWER(1+OFFSET(X256,0,-1),Параметры!X$30/360),1))</f>
        <v>1.0146738461686593</v>
      </c>
      <c r="Y260" s="86">
        <f ca="1">IF(Y$2=1,1,IF(Prj_Inflation=1,POWER(1+OFFSET(Y256,0,-1),Параметры!Y$30/360),1))</f>
        <v>1.0146738461686593</v>
      </c>
      <c r="Z260" s="86">
        <f ca="1">IF(Z$2=1,1,IF(Prj_Inflation=1,POWER(1+OFFSET(Z256,0,-1),Параметры!Z$30/360),1))</f>
        <v>1.0146738461686593</v>
      </c>
      <c r="AA260" s="86">
        <f ca="1">IF(AA$2=1,1,IF(Prj_Inflation=1,POWER(1+OFFSET(AA256,0,-1),Параметры!AA$30/360),1))</f>
        <v>1.0146738461686593</v>
      </c>
      <c r="AB260" s="86">
        <f ca="1">IF(AB$2=1,1,IF(Prj_Inflation=1,POWER(1+OFFSET(AB256,0,-1),Параметры!AB$30/360),1))</f>
        <v>1.0146738461686593</v>
      </c>
      <c r="AC260" s="86">
        <f ca="1">IF(AC$2=1,1,IF(Prj_Inflation=1,POWER(1+OFFSET(AC256,0,-1),Параметры!AC$30/360),1))</f>
        <v>1.0146738461686593</v>
      </c>
      <c r="AD260" s="86">
        <f ca="1">IF(AD$2=1,1,IF(Prj_Inflation=1,POWER(1+OFFSET(AD256,0,-1),Параметры!AD$30/360),1))</f>
        <v>1.0146738461686593</v>
      </c>
      <c r="AE260" s="86">
        <f ca="1">IF(AE$2=1,1,IF(Prj_Inflation=1,POWER(1+OFFSET(AE256,0,-1),Параметры!AE$30/360),1))</f>
        <v>1.0146738461686593</v>
      </c>
      <c r="AF260" s="86">
        <f ca="1">IF(AF$2=1,1,IF(Prj_Inflation=1,POWER(1+OFFSET(AF256,0,-1),Параметры!AF$30/360),1))</f>
        <v>1.0146738461686593</v>
      </c>
      <c r="AG260" s="86">
        <f ca="1">IF(AG$2=1,1,IF(Prj_Inflation=1,POWER(1+OFFSET(AG256,0,-1),Параметры!AG$30/360),1))</f>
        <v>1.0146738461686593</v>
      </c>
      <c r="AH260" s="86">
        <f ca="1">IF(AH$2=1,1,IF(Prj_Inflation=1,POWER(1+OFFSET(AH256,0,-1),Параметры!AH$30/360),1))</f>
        <v>1.0146738461686593</v>
      </c>
      <c r="AI260" s="86">
        <f ca="1">IF(AI$2=1,1,IF(Prj_Inflation=1,POWER(1+OFFSET(AI256,0,-1),Параметры!AI$30/360),1))</f>
        <v>1.0146738461686593</v>
      </c>
      <c r="AJ260" s="86">
        <f ca="1">IF(AJ$2=1,1,IF(Prj_Inflation=1,POWER(1+OFFSET(AJ256,0,-1),Параметры!AJ$30/360),1))</f>
        <v>1.0146738461686593</v>
      </c>
      <c r="AK260" s="86">
        <f ca="1">IF(AK$2=1,1,IF(Prj_Inflation=1,POWER(1+OFFSET(AK256,0,-1),Параметры!AK$30/360),1))</f>
        <v>1.0146738461686593</v>
      </c>
      <c r="AL260" s="86">
        <f ca="1">IF(AL$2=1,1,IF(Prj_Inflation=1,POWER(1+OFFSET(AL256,0,-1),Параметры!AL$30/360),1))</f>
        <v>1.0146738461686593</v>
      </c>
      <c r="AM260" s="86">
        <f ca="1">IF(AM$2=1,1,IF(Prj_Inflation=1,POWER(1+OFFSET(AM256,0,-1),Параметры!AM$30/360),1))</f>
        <v>1.0146738461686593</v>
      </c>
      <c r="AN260" s="86">
        <f ca="1">IF(AN$2=1,1,IF(Prj_Inflation=1,POWER(1+OFFSET(AN256,0,-1),Параметры!AN$30/360),1))</f>
        <v>1.0146738461686593</v>
      </c>
      <c r="AO260" s="86">
        <f ca="1">IF(AO$2=1,1,IF(Prj_Inflation=1,POWER(1+OFFSET(AO256,0,-1),Параметры!AO$30/360),1))</f>
        <v>1.0146738461686593</v>
      </c>
      <c r="AP260" s="86">
        <f ca="1">IF(AP$2=1,1,IF(Prj_Inflation=1,POWER(1+OFFSET(AP256,0,-1),Параметры!AP$30/360),1))</f>
        <v>1.0146738461686593</v>
      </c>
      <c r="AQ260" s="86">
        <f ca="1">IF(AQ$2=1,1,IF(Prj_Inflation=1,POWER(1+OFFSET(AQ256,0,-1),Параметры!AQ$30/360),1))</f>
        <v>1.0146738461686593</v>
      </c>
      <c r="AR260" s="86">
        <f ca="1">IF(AR$2=1,1,IF(Prj_Inflation=1,POWER(1+OFFSET(AR256,0,-1),Параметры!AR$30/360),1))</f>
        <v>1.0146738461686593</v>
      </c>
      <c r="AS260" s="86">
        <f ca="1">IF(AS$2=1,1,IF(Prj_Inflation=1,POWER(1+OFFSET(AS256,0,-1),Параметры!AS$30/360),1))</f>
        <v>1.0146738461686593</v>
      </c>
      <c r="AT260" s="86">
        <f ca="1">IF(AT$2=1,1,IF(Prj_Inflation=1,POWER(1+OFFSET(AT256,0,-1),Параметры!AT$30/360),1))</f>
        <v>1.0146738461686593</v>
      </c>
      <c r="AU260" s="86">
        <f ca="1">IF(AU$2=1,1,IF(Prj_Inflation=1,POWER(1+OFFSET(AU256,0,-1),Параметры!AU$30/360),1))</f>
        <v>1.0146738461686593</v>
      </c>
      <c r="AV260" s="86">
        <f ca="1">IF(AV$2=1,1,IF(Prj_Inflation=1,POWER(1+OFFSET(AV256,0,-1),Параметры!AV$30/360),1))</f>
        <v>1.0146738461686593</v>
      </c>
      <c r="AW260" s="86"/>
      <c r="AX260" s="87"/>
    </row>
    <row r="261" spans="1:50" hidden="1" outlineLevel="1" x14ac:dyDescent="0.2">
      <c r="A261" s="179" t="str">
        <f ca="1">Language!A$608</f>
        <v>акцизы начисленные</v>
      </c>
      <c r="B261" s="66"/>
      <c r="C261" s="82" t="str">
        <f ca="1">CHOOSE(D261,CurName1,CurName2,CurName3)</f>
        <v>тыс. руб.</v>
      </c>
      <c r="D261" s="155">
        <f>D246</f>
        <v>1</v>
      </c>
      <c r="E261" s="57" t="s">
        <v>996</v>
      </c>
      <c r="F261" s="57" t="s">
        <v>753</v>
      </c>
      <c r="G261" s="185">
        <f t="shared" ref="G261:AV261" ca="1" si="1455">G250*G259+G248*G258</f>
        <v>0</v>
      </c>
      <c r="H261" s="185">
        <f t="shared" ca="1" si="1455"/>
        <v>0</v>
      </c>
      <c r="I261" s="185">
        <f t="shared" ca="1" si="1455"/>
        <v>0</v>
      </c>
      <c r="J261" s="185">
        <f t="shared" ca="1" si="1455"/>
        <v>0</v>
      </c>
      <c r="K261" s="185">
        <f t="shared" ca="1" si="1455"/>
        <v>0</v>
      </c>
      <c r="L261" s="185">
        <f t="shared" ca="1" si="1455"/>
        <v>0</v>
      </c>
      <c r="M261" s="185">
        <f t="shared" ca="1" si="1455"/>
        <v>0</v>
      </c>
      <c r="N261" s="185">
        <f t="shared" ca="1" si="1455"/>
        <v>0</v>
      </c>
      <c r="O261" s="185">
        <f t="shared" ca="1" si="1455"/>
        <v>0</v>
      </c>
      <c r="P261" s="185">
        <f t="shared" ca="1" si="1455"/>
        <v>0</v>
      </c>
      <c r="Q261" s="185">
        <f t="shared" ca="1" si="1455"/>
        <v>0</v>
      </c>
      <c r="R261" s="185">
        <f t="shared" ca="1" si="1455"/>
        <v>0</v>
      </c>
      <c r="S261" s="185">
        <f t="shared" ca="1" si="1455"/>
        <v>0</v>
      </c>
      <c r="T261" s="185">
        <f t="shared" ca="1" si="1455"/>
        <v>0</v>
      </c>
      <c r="U261" s="185">
        <f t="shared" ca="1" si="1455"/>
        <v>0</v>
      </c>
      <c r="V261" s="185">
        <f t="shared" ca="1" si="1455"/>
        <v>0</v>
      </c>
      <c r="W261" s="185">
        <f t="shared" ca="1" si="1455"/>
        <v>0</v>
      </c>
      <c r="X261" s="185">
        <f t="shared" ca="1" si="1455"/>
        <v>0</v>
      </c>
      <c r="Y261" s="185">
        <f t="shared" ca="1" si="1455"/>
        <v>0</v>
      </c>
      <c r="Z261" s="185">
        <f t="shared" ca="1" si="1455"/>
        <v>0</v>
      </c>
      <c r="AA261" s="185">
        <f t="shared" ca="1" si="1455"/>
        <v>0</v>
      </c>
      <c r="AB261" s="185">
        <f t="shared" ca="1" si="1455"/>
        <v>0</v>
      </c>
      <c r="AC261" s="185">
        <f t="shared" ca="1" si="1455"/>
        <v>0</v>
      </c>
      <c r="AD261" s="185">
        <f t="shared" ca="1" si="1455"/>
        <v>0</v>
      </c>
      <c r="AE261" s="185">
        <f t="shared" ca="1" si="1455"/>
        <v>0</v>
      </c>
      <c r="AF261" s="185">
        <f t="shared" ca="1" si="1455"/>
        <v>0</v>
      </c>
      <c r="AG261" s="185">
        <f t="shared" ca="1" si="1455"/>
        <v>0</v>
      </c>
      <c r="AH261" s="185">
        <f t="shared" ca="1" si="1455"/>
        <v>0</v>
      </c>
      <c r="AI261" s="185">
        <f t="shared" ca="1" si="1455"/>
        <v>0</v>
      </c>
      <c r="AJ261" s="185">
        <f t="shared" ca="1" si="1455"/>
        <v>0</v>
      </c>
      <c r="AK261" s="185">
        <f t="shared" ca="1" si="1455"/>
        <v>0</v>
      </c>
      <c r="AL261" s="185">
        <f t="shared" ca="1" si="1455"/>
        <v>0</v>
      </c>
      <c r="AM261" s="185">
        <f t="shared" ca="1" si="1455"/>
        <v>0</v>
      </c>
      <c r="AN261" s="185">
        <f t="shared" ca="1" si="1455"/>
        <v>0</v>
      </c>
      <c r="AO261" s="185">
        <f t="shared" ca="1" si="1455"/>
        <v>0</v>
      </c>
      <c r="AP261" s="185">
        <f t="shared" ca="1" si="1455"/>
        <v>0</v>
      </c>
      <c r="AQ261" s="185">
        <f t="shared" ca="1" si="1455"/>
        <v>0</v>
      </c>
      <c r="AR261" s="185">
        <f t="shared" ca="1" si="1455"/>
        <v>0</v>
      </c>
      <c r="AS261" s="185">
        <f t="shared" ca="1" si="1455"/>
        <v>0</v>
      </c>
      <c r="AT261" s="185">
        <f t="shared" ca="1" si="1455"/>
        <v>0</v>
      </c>
      <c r="AU261" s="185">
        <f t="shared" ca="1" si="1455"/>
        <v>0</v>
      </c>
      <c r="AV261" s="185">
        <f t="shared" ca="1" si="1455"/>
        <v>0</v>
      </c>
      <c r="AW261" s="180"/>
      <c r="AX261" s="169">
        <f ca="1">SUM(G261:AW261)</f>
        <v>0</v>
      </c>
    </row>
    <row r="262" spans="1:50" hidden="1" outlineLevel="1" x14ac:dyDescent="0.2">
      <c r="A262" s="179" t="str">
        <f ca="1">Language!A$609</f>
        <v>НДС начисленный</v>
      </c>
      <c r="B262" s="66"/>
      <c r="C262" s="82" t="str">
        <f ca="1">CHOOSE(D262,CurName1,CurName2,CurName3)</f>
        <v>тыс. руб.</v>
      </c>
      <c r="D262" s="155">
        <f>D246</f>
        <v>1</v>
      </c>
      <c r="E262" s="57" t="s">
        <v>789</v>
      </c>
      <c r="F262" s="57" t="s">
        <v>753</v>
      </c>
      <c r="G262" s="185">
        <f t="shared" ref="G262:AV262" ca="1" si="1456">(G250+G261)*G257</f>
        <v>119.99999999999999</v>
      </c>
      <c r="H262" s="185">
        <f t="shared" ca="1" si="1456"/>
        <v>547.92387693107594</v>
      </c>
      <c r="I262" s="185">
        <f t="shared" ca="1" si="1456"/>
        <v>1111.9280552265959</v>
      </c>
      <c r="J262" s="185">
        <f t="shared" ca="1" si="1456"/>
        <v>1567.0059950827883</v>
      </c>
      <c r="K262" s="185">
        <f t="shared" ca="1" si="1456"/>
        <v>1908.0000000000002</v>
      </c>
      <c r="L262" s="185">
        <f t="shared" ca="1" si="1456"/>
        <v>2258.6639815714357</v>
      </c>
      <c r="M262" s="185">
        <f t="shared" ca="1" si="1456"/>
        <v>2619.208307867093</v>
      </c>
      <c r="N262" s="185">
        <f t="shared" ca="1" si="1456"/>
        <v>2989.8474386179601</v>
      </c>
      <c r="O262" s="185">
        <f t="shared" ca="1" si="1456"/>
        <v>3370.8000000000006</v>
      </c>
      <c r="P262" s="185">
        <f t="shared" ca="1" si="1456"/>
        <v>3762.2888607318487</v>
      </c>
      <c r="Q262" s="185">
        <f t="shared" ca="1" si="1456"/>
        <v>3817.4961087162887</v>
      </c>
      <c r="R262" s="185">
        <f t="shared" ca="1" si="1456"/>
        <v>3873.5134593650469</v>
      </c>
      <c r="S262" s="185">
        <f t="shared" ca="1" si="1456"/>
        <v>3930.352800000001</v>
      </c>
      <c r="T262" s="185">
        <f t="shared" ca="1" si="1456"/>
        <v>3988.0261923757603</v>
      </c>
      <c r="U262" s="185">
        <f t="shared" ca="1" si="1456"/>
        <v>4046.5458752392665</v>
      </c>
      <c r="V262" s="185">
        <f t="shared" ca="1" si="1456"/>
        <v>4105.9242669269506</v>
      </c>
      <c r="W262" s="185">
        <f t="shared" ca="1" si="1456"/>
        <v>4166.1739680000019</v>
      </c>
      <c r="X262" s="185">
        <f t="shared" ca="1" si="1456"/>
        <v>4227.3077639183066</v>
      </c>
      <c r="Y262" s="185">
        <f t="shared" ca="1" si="1456"/>
        <v>4289.3386277536229</v>
      </c>
      <c r="Z262" s="185">
        <f t="shared" ca="1" si="1456"/>
        <v>4352.2797229425669</v>
      </c>
      <c r="AA262" s="185">
        <f t="shared" ca="1" si="1456"/>
        <v>4416.1444060800022</v>
      </c>
      <c r="AB262" s="185">
        <f t="shared" ca="1" si="1456"/>
        <v>4480.9462297534046</v>
      </c>
      <c r="AC262" s="185">
        <f t="shared" ca="1" si="1456"/>
        <v>4546.6989454188406</v>
      </c>
      <c r="AD262" s="185">
        <f t="shared" ca="1" si="1456"/>
        <v>4613.4165063191213</v>
      </c>
      <c r="AE262" s="185">
        <f t="shared" ca="1" si="1456"/>
        <v>4681.1130704448024</v>
      </c>
      <c r="AF262" s="185">
        <f t="shared" ca="1" si="1456"/>
        <v>4749.80300353861</v>
      </c>
      <c r="AG262" s="185">
        <f t="shared" ca="1" si="1456"/>
        <v>4819.5008821439706</v>
      </c>
      <c r="AH262" s="185">
        <f t="shared" ca="1" si="1456"/>
        <v>4890.2214966982692</v>
      </c>
      <c r="AI262" s="185">
        <f t="shared" ca="1" si="1456"/>
        <v>4961.9798546714901</v>
      </c>
      <c r="AJ262" s="185">
        <f t="shared" ca="1" si="1456"/>
        <v>5034.7911837509264</v>
      </c>
      <c r="AK262" s="185">
        <f t="shared" ca="1" si="1456"/>
        <v>5108.6709350726087</v>
      </c>
      <c r="AL262" s="185">
        <f t="shared" ca="1" si="1456"/>
        <v>5183.6347865001662</v>
      </c>
      <c r="AM262" s="185">
        <f t="shared" ca="1" si="1456"/>
        <v>5259.6986459517802</v>
      </c>
      <c r="AN262" s="185">
        <f t="shared" ca="1" si="1456"/>
        <v>5336.8786547759819</v>
      </c>
      <c r="AO262" s="185">
        <f t="shared" ca="1" si="1456"/>
        <v>5415.1911911769675</v>
      </c>
      <c r="AP262" s="185">
        <f t="shared" ca="1" si="1456"/>
        <v>5494.6528736901773</v>
      </c>
      <c r="AQ262" s="185">
        <f t="shared" ca="1" si="1456"/>
        <v>5575.280564708889</v>
      </c>
      <c r="AR262" s="185">
        <f t="shared" ca="1" si="1456"/>
        <v>5657.0913740625429</v>
      </c>
      <c r="AS262" s="185">
        <f t="shared" ca="1" si="1456"/>
        <v>5740.1026626475859</v>
      </c>
      <c r="AT262" s="185">
        <f t="shared" ca="1" si="1456"/>
        <v>5824.3320461115873</v>
      </c>
      <c r="AU262" s="185">
        <f t="shared" ca="1" si="1456"/>
        <v>5909.7973985914214</v>
      </c>
      <c r="AV262" s="185">
        <f t="shared" ca="1" si="1456"/>
        <v>5996.516856506295</v>
      </c>
      <c r="AW262" s="180"/>
      <c r="AX262" s="169">
        <f ca="1">SUM(G262:AW262)</f>
        <v>174749.08886988202</v>
      </c>
    </row>
    <row r="263" spans="1:50" hidden="1" outlineLevel="1" x14ac:dyDescent="0.2">
      <c r="A263" s="179" t="str">
        <f ca="1">Language!A$610</f>
        <v>НДС полученный с авансов</v>
      </c>
      <c r="B263" s="66"/>
      <c r="C263" s="82" t="str">
        <f ca="1">CHOOSE(D263,CurName1,CurName2,CurName3)</f>
        <v>тыс. руб.</v>
      </c>
      <c r="D263" s="155">
        <f>D246</f>
        <v>1</v>
      </c>
      <c r="E263" s="57" t="s">
        <v>1450</v>
      </c>
      <c r="F263" s="57" t="s">
        <v>753</v>
      </c>
      <c r="G263" s="185">
        <f ca="1">G253*G257/(1+G257)</f>
        <v>0</v>
      </c>
      <c r="H263" s="185">
        <f t="shared" ref="H263:AV263" ca="1" si="1457">H253*H257/(1+H257)</f>
        <v>0</v>
      </c>
      <c r="I263" s="185">
        <f t="shared" ca="1" si="1457"/>
        <v>0</v>
      </c>
      <c r="J263" s="185">
        <f t="shared" ca="1" si="1457"/>
        <v>0</v>
      </c>
      <c r="K263" s="185">
        <f t="shared" ca="1" si="1457"/>
        <v>0</v>
      </c>
      <c r="L263" s="185">
        <f t="shared" ca="1" si="1457"/>
        <v>0</v>
      </c>
      <c r="M263" s="185">
        <f t="shared" ca="1" si="1457"/>
        <v>0</v>
      </c>
      <c r="N263" s="185">
        <f t="shared" ca="1" si="1457"/>
        <v>0</v>
      </c>
      <c r="O263" s="185">
        <f t="shared" ca="1" si="1457"/>
        <v>0</v>
      </c>
      <c r="P263" s="185">
        <f t="shared" ca="1" si="1457"/>
        <v>0</v>
      </c>
      <c r="Q263" s="185">
        <f t="shared" ca="1" si="1457"/>
        <v>0</v>
      </c>
      <c r="R263" s="185">
        <f t="shared" ca="1" si="1457"/>
        <v>0</v>
      </c>
      <c r="S263" s="185">
        <f t="shared" ca="1" si="1457"/>
        <v>0</v>
      </c>
      <c r="T263" s="185">
        <f t="shared" ca="1" si="1457"/>
        <v>0</v>
      </c>
      <c r="U263" s="185">
        <f t="shared" ca="1" si="1457"/>
        <v>0</v>
      </c>
      <c r="V263" s="185">
        <f t="shared" ca="1" si="1457"/>
        <v>0</v>
      </c>
      <c r="W263" s="185">
        <f t="shared" ca="1" si="1457"/>
        <v>0</v>
      </c>
      <c r="X263" s="185">
        <f t="shared" ca="1" si="1457"/>
        <v>0</v>
      </c>
      <c r="Y263" s="185">
        <f t="shared" ca="1" si="1457"/>
        <v>0</v>
      </c>
      <c r="Z263" s="185">
        <f t="shared" ca="1" si="1457"/>
        <v>0</v>
      </c>
      <c r="AA263" s="185">
        <f t="shared" ca="1" si="1457"/>
        <v>0</v>
      </c>
      <c r="AB263" s="185">
        <f t="shared" ca="1" si="1457"/>
        <v>0</v>
      </c>
      <c r="AC263" s="185">
        <f t="shared" ca="1" si="1457"/>
        <v>0</v>
      </c>
      <c r="AD263" s="185">
        <f t="shared" ca="1" si="1457"/>
        <v>0</v>
      </c>
      <c r="AE263" s="185">
        <f t="shared" ca="1" si="1457"/>
        <v>0</v>
      </c>
      <c r="AF263" s="185">
        <f t="shared" ca="1" si="1457"/>
        <v>0</v>
      </c>
      <c r="AG263" s="185">
        <f t="shared" ca="1" si="1457"/>
        <v>0</v>
      </c>
      <c r="AH263" s="185">
        <f t="shared" ca="1" si="1457"/>
        <v>0</v>
      </c>
      <c r="AI263" s="185">
        <f t="shared" ca="1" si="1457"/>
        <v>0</v>
      </c>
      <c r="AJ263" s="185">
        <f t="shared" ca="1" si="1457"/>
        <v>0</v>
      </c>
      <c r="AK263" s="185">
        <f t="shared" ca="1" si="1457"/>
        <v>0</v>
      </c>
      <c r="AL263" s="185">
        <f t="shared" ca="1" si="1457"/>
        <v>0</v>
      </c>
      <c r="AM263" s="185">
        <f t="shared" ca="1" si="1457"/>
        <v>0</v>
      </c>
      <c r="AN263" s="185">
        <f t="shared" ca="1" si="1457"/>
        <v>0</v>
      </c>
      <c r="AO263" s="185">
        <f t="shared" ca="1" si="1457"/>
        <v>0</v>
      </c>
      <c r="AP263" s="185">
        <f t="shared" ca="1" si="1457"/>
        <v>0</v>
      </c>
      <c r="AQ263" s="185">
        <f t="shared" ca="1" si="1457"/>
        <v>0</v>
      </c>
      <c r="AR263" s="185">
        <f t="shared" ca="1" si="1457"/>
        <v>0</v>
      </c>
      <c r="AS263" s="185">
        <f t="shared" ca="1" si="1457"/>
        <v>0</v>
      </c>
      <c r="AT263" s="185">
        <f t="shared" ca="1" si="1457"/>
        <v>0</v>
      </c>
      <c r="AU263" s="185">
        <f t="shared" ca="1" si="1457"/>
        <v>0</v>
      </c>
      <c r="AV263" s="185">
        <f t="shared" ca="1" si="1457"/>
        <v>0</v>
      </c>
      <c r="AW263" s="180"/>
      <c r="AX263" s="169">
        <f ca="1">SUM(G263:AW263)</f>
        <v>0</v>
      </c>
    </row>
    <row r="264" spans="1:50" x14ac:dyDescent="0.2">
      <c r="A264" s="179"/>
      <c r="B264" s="66"/>
      <c r="C264" s="82"/>
      <c r="D264" s="155"/>
      <c r="F264" s="57" t="s">
        <v>2279</v>
      </c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185"/>
      <c r="AK264" s="185"/>
      <c r="AL264" s="185"/>
      <c r="AM264" s="185"/>
      <c r="AN264" s="185"/>
      <c r="AO264" s="185"/>
      <c r="AP264" s="185"/>
      <c r="AQ264" s="185"/>
      <c r="AR264" s="185"/>
      <c r="AS264" s="185"/>
      <c r="AT264" s="185"/>
      <c r="AU264" s="185"/>
      <c r="AV264" s="185"/>
      <c r="AW264" s="180"/>
      <c r="AX264" s="169"/>
    </row>
    <row r="265" spans="1:50" x14ac:dyDescent="0.2">
      <c r="A265" s="317" t="s">
        <v>2286</v>
      </c>
      <c r="B265" s="102"/>
      <c r="C265" s="166"/>
      <c r="D265" s="158">
        <v>1</v>
      </c>
      <c r="F265" s="57" t="s">
        <v>2287</v>
      </c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150"/>
    </row>
    <row r="266" spans="1:50" hidden="1" x14ac:dyDescent="0.2">
      <c r="A266" s="172" t="str">
        <f ca="1">Language!A$594</f>
        <v>коэффициент загрузки</v>
      </c>
      <c r="B266" s="173"/>
      <c r="C266" s="173"/>
      <c r="D266" s="174"/>
      <c r="F266" s="57" t="s">
        <v>756</v>
      </c>
      <c r="G266" s="318">
        <f t="shared" ref="G266:AV266" si="1458">IF(G$2&gt;Prj_Invest,1,0)</f>
        <v>1</v>
      </c>
      <c r="H266" s="318">
        <f t="shared" si="1458"/>
        <v>1</v>
      </c>
      <c r="I266" s="318">
        <f t="shared" si="1458"/>
        <v>1</v>
      </c>
      <c r="J266" s="318">
        <f t="shared" si="1458"/>
        <v>1</v>
      </c>
      <c r="K266" s="318">
        <f t="shared" si="1458"/>
        <v>1</v>
      </c>
      <c r="L266" s="318">
        <f t="shared" si="1458"/>
        <v>1</v>
      </c>
      <c r="M266" s="318">
        <f t="shared" si="1458"/>
        <v>1</v>
      </c>
      <c r="N266" s="318">
        <f t="shared" si="1458"/>
        <v>1</v>
      </c>
      <c r="O266" s="318">
        <f t="shared" si="1458"/>
        <v>1</v>
      </c>
      <c r="P266" s="318">
        <f t="shared" si="1458"/>
        <v>1</v>
      </c>
      <c r="Q266" s="318">
        <f t="shared" si="1458"/>
        <v>1</v>
      </c>
      <c r="R266" s="318">
        <f t="shared" si="1458"/>
        <v>1</v>
      </c>
      <c r="S266" s="318">
        <f t="shared" si="1458"/>
        <v>1</v>
      </c>
      <c r="T266" s="318">
        <f t="shared" si="1458"/>
        <v>1</v>
      </c>
      <c r="U266" s="318">
        <f t="shared" si="1458"/>
        <v>1</v>
      </c>
      <c r="V266" s="318">
        <f t="shared" si="1458"/>
        <v>1</v>
      </c>
      <c r="W266" s="318">
        <f t="shared" si="1458"/>
        <v>1</v>
      </c>
      <c r="X266" s="318">
        <f t="shared" si="1458"/>
        <v>1</v>
      </c>
      <c r="Y266" s="318">
        <f t="shared" si="1458"/>
        <v>1</v>
      </c>
      <c r="Z266" s="318">
        <f t="shared" si="1458"/>
        <v>1</v>
      </c>
      <c r="AA266" s="318">
        <f t="shared" si="1458"/>
        <v>1</v>
      </c>
      <c r="AB266" s="318">
        <f t="shared" si="1458"/>
        <v>1</v>
      </c>
      <c r="AC266" s="318">
        <f t="shared" si="1458"/>
        <v>1</v>
      </c>
      <c r="AD266" s="318">
        <f t="shared" si="1458"/>
        <v>1</v>
      </c>
      <c r="AE266" s="318">
        <f t="shared" si="1458"/>
        <v>1</v>
      </c>
      <c r="AF266" s="318">
        <f t="shared" si="1458"/>
        <v>1</v>
      </c>
      <c r="AG266" s="318">
        <f t="shared" si="1458"/>
        <v>1</v>
      </c>
      <c r="AH266" s="318">
        <f t="shared" si="1458"/>
        <v>1</v>
      </c>
      <c r="AI266" s="318">
        <f t="shared" si="1458"/>
        <v>1</v>
      </c>
      <c r="AJ266" s="318">
        <f t="shared" si="1458"/>
        <v>1</v>
      </c>
      <c r="AK266" s="318">
        <f t="shared" si="1458"/>
        <v>1</v>
      </c>
      <c r="AL266" s="318">
        <f t="shared" si="1458"/>
        <v>1</v>
      </c>
      <c r="AM266" s="318">
        <f t="shared" si="1458"/>
        <v>1</v>
      </c>
      <c r="AN266" s="318">
        <f t="shared" si="1458"/>
        <v>1</v>
      </c>
      <c r="AO266" s="318">
        <f t="shared" si="1458"/>
        <v>1</v>
      </c>
      <c r="AP266" s="318">
        <f t="shared" si="1458"/>
        <v>1</v>
      </c>
      <c r="AQ266" s="318">
        <f t="shared" si="1458"/>
        <v>1</v>
      </c>
      <c r="AR266" s="318">
        <f t="shared" si="1458"/>
        <v>1</v>
      </c>
      <c r="AS266" s="318">
        <f t="shared" si="1458"/>
        <v>1</v>
      </c>
      <c r="AT266" s="318">
        <f t="shared" si="1458"/>
        <v>1</v>
      </c>
      <c r="AU266" s="318">
        <f t="shared" si="1458"/>
        <v>1</v>
      </c>
      <c r="AV266" s="318">
        <f t="shared" si="1458"/>
        <v>1</v>
      </c>
      <c r="AW266" s="175"/>
      <c r="AX266" s="117"/>
    </row>
    <row r="267" spans="1:50" x14ac:dyDescent="0.2">
      <c r="A267" s="172" t="str">
        <f ca="1">Language!A$595</f>
        <v>объем продаж за период</v>
      </c>
      <c r="B267" s="337"/>
      <c r="C267" s="313" t="s">
        <v>2275</v>
      </c>
      <c r="D267" s="174"/>
      <c r="E267" s="57" t="s">
        <v>950</v>
      </c>
      <c r="F267" s="57" t="s">
        <v>753</v>
      </c>
      <c r="G267" s="311">
        <f t="shared" ref="G267:AV267" si="1459">G62</f>
        <v>102095</v>
      </c>
      <c r="H267" s="311">
        <f t="shared" si="1459"/>
        <v>0</v>
      </c>
      <c r="I267" s="311">
        <f t="shared" si="1459"/>
        <v>0</v>
      </c>
      <c r="J267" s="311">
        <f t="shared" si="1459"/>
        <v>0</v>
      </c>
      <c r="K267" s="311">
        <f t="shared" si="1459"/>
        <v>89205.2</v>
      </c>
      <c r="L267" s="311">
        <f t="shared" si="1459"/>
        <v>0</v>
      </c>
      <c r="M267" s="311">
        <f t="shared" si="1459"/>
        <v>0</v>
      </c>
      <c r="N267" s="311">
        <f t="shared" si="1459"/>
        <v>0</v>
      </c>
      <c r="O267" s="311">
        <f t="shared" si="1459"/>
        <v>101140.2</v>
      </c>
      <c r="P267" s="311">
        <f t="shared" si="1459"/>
        <v>0</v>
      </c>
      <c r="Q267" s="311">
        <f t="shared" si="1459"/>
        <v>0</v>
      </c>
      <c r="R267" s="311">
        <f t="shared" si="1459"/>
        <v>0</v>
      </c>
      <c r="S267" s="311">
        <f t="shared" si="1459"/>
        <v>101140.2</v>
      </c>
      <c r="T267" s="311">
        <f t="shared" si="1459"/>
        <v>0</v>
      </c>
      <c r="U267" s="311">
        <f t="shared" si="1459"/>
        <v>0</v>
      </c>
      <c r="V267" s="311">
        <f t="shared" si="1459"/>
        <v>0</v>
      </c>
      <c r="W267" s="311">
        <f t="shared" si="1459"/>
        <v>101140.2</v>
      </c>
      <c r="X267" s="311">
        <f t="shared" si="1459"/>
        <v>0</v>
      </c>
      <c r="Y267" s="311">
        <f t="shared" si="1459"/>
        <v>0</v>
      </c>
      <c r="Z267" s="311">
        <f t="shared" si="1459"/>
        <v>0</v>
      </c>
      <c r="AA267" s="311">
        <f t="shared" si="1459"/>
        <v>101140.2</v>
      </c>
      <c r="AB267" s="311">
        <f t="shared" si="1459"/>
        <v>0</v>
      </c>
      <c r="AC267" s="311">
        <f t="shared" si="1459"/>
        <v>0</v>
      </c>
      <c r="AD267" s="311">
        <f t="shared" si="1459"/>
        <v>0</v>
      </c>
      <c r="AE267" s="311">
        <f t="shared" si="1459"/>
        <v>101140.2</v>
      </c>
      <c r="AF267" s="311">
        <f t="shared" si="1459"/>
        <v>0</v>
      </c>
      <c r="AG267" s="311">
        <f t="shared" si="1459"/>
        <v>0</v>
      </c>
      <c r="AH267" s="311">
        <f t="shared" si="1459"/>
        <v>0</v>
      </c>
      <c r="AI267" s="311">
        <f t="shared" si="1459"/>
        <v>101140.2</v>
      </c>
      <c r="AJ267" s="311">
        <f t="shared" si="1459"/>
        <v>0</v>
      </c>
      <c r="AK267" s="311">
        <f t="shared" si="1459"/>
        <v>0</v>
      </c>
      <c r="AL267" s="311">
        <f t="shared" si="1459"/>
        <v>0</v>
      </c>
      <c r="AM267" s="311">
        <f t="shared" si="1459"/>
        <v>101140.2</v>
      </c>
      <c r="AN267" s="311">
        <f t="shared" si="1459"/>
        <v>0</v>
      </c>
      <c r="AO267" s="311">
        <f t="shared" si="1459"/>
        <v>0</v>
      </c>
      <c r="AP267" s="311">
        <f t="shared" si="1459"/>
        <v>0</v>
      </c>
      <c r="AQ267" s="311">
        <f t="shared" si="1459"/>
        <v>101140.2</v>
      </c>
      <c r="AR267" s="311">
        <f t="shared" si="1459"/>
        <v>0</v>
      </c>
      <c r="AS267" s="311">
        <f t="shared" si="1459"/>
        <v>0</v>
      </c>
      <c r="AT267" s="311">
        <f t="shared" si="1459"/>
        <v>0</v>
      </c>
      <c r="AU267" s="311">
        <f t="shared" si="1459"/>
        <v>101140.2</v>
      </c>
      <c r="AV267" s="311">
        <f t="shared" si="1459"/>
        <v>0</v>
      </c>
      <c r="AW267" s="148"/>
      <c r="AX267" s="171">
        <f>SUM(G267:AW267)</f>
        <v>1101561.9999999998</v>
      </c>
    </row>
    <row r="268" spans="1:50" x14ac:dyDescent="0.2">
      <c r="A268" s="83" t="str">
        <f ca="1">Language!A$596 &amp; C267 &amp; Language!A$1457</f>
        <v>цена за единицу (ц), без НДС</v>
      </c>
      <c r="B268" s="322">
        <v>0.9</v>
      </c>
      <c r="C268" s="146" t="str">
        <f ca="1">CHOOSE(D265,CurName1,CurName2,CurName3)</f>
        <v>тыс. руб.</v>
      </c>
      <c r="E268" s="57" t="s">
        <v>848</v>
      </c>
      <c r="F268" s="57" t="s">
        <v>756</v>
      </c>
      <c r="G268" s="323">
        <f t="shared" ref="G268" ca="1" si="1460">IF(G$2=1,$B268,F268)*G279</f>
        <v>0.9</v>
      </c>
      <c r="H268" s="323">
        <f t="shared" ref="H268" ca="1" si="1461">IF(H$2=1,$B268,G268)*H279</f>
        <v>0.91320646155179341</v>
      </c>
      <c r="I268" s="323">
        <f t="shared" ref="I268" ca="1" si="1462">IF(I$2=1,$B268,H268)*I279</f>
        <v>0.9266067126888301</v>
      </c>
      <c r="J268" s="323">
        <f t="shared" ref="J268" ca="1" si="1463">IF(J$2=1,$B268,I268)*J279</f>
        <v>0.94020359704967305</v>
      </c>
      <c r="K268" s="323">
        <f t="shared" ref="K268" ca="1" si="1464">IF(K$2=1,$B268,J268)*K279</f>
        <v>0.95400000000000007</v>
      </c>
      <c r="L268" s="323">
        <f t="shared" ref="L268" ca="1" si="1465">IF(L$2=1,$B268,K268)*L279</f>
        <v>0.96799884924490109</v>
      </c>
      <c r="M268" s="323">
        <f t="shared" ref="M268" ca="1" si="1466">IF(M$2=1,$B268,L268)*M279</f>
        <v>0.98220311545016004</v>
      </c>
      <c r="N268" s="323">
        <f t="shared" ref="N268" ca="1" si="1467">IF(N$2=1,$B268,M268)*N279</f>
        <v>0.99661581287265355</v>
      </c>
      <c r="O268" s="323">
        <f t="shared" ref="O268" ca="1" si="1468">IF(O$2=1,$B268,N268)*O279</f>
        <v>1.0112400000000001</v>
      </c>
      <c r="P268" s="323">
        <f t="shared" ref="P268" ca="1" si="1469">IF(P$2=1,$B268,O268)*P279</f>
        <v>1.0260787801995952</v>
      </c>
      <c r="Q268" s="323">
        <f t="shared" ref="Q268" ca="1" si="1470">IF(Q$2=1,$B268,P268)*Q279</f>
        <v>1.0411353023771697</v>
      </c>
      <c r="R268" s="323">
        <f t="shared" ref="R268" ca="1" si="1471">IF(R$2=1,$B268,Q268)*R279</f>
        <v>1.0564127616450127</v>
      </c>
      <c r="S268" s="323">
        <f t="shared" ref="S268" ca="1" si="1472">IF(S$2=1,$B268,R268)*S279</f>
        <v>1.0719144000000003</v>
      </c>
      <c r="T268" s="323">
        <f t="shared" ref="T268" ca="1" si="1473">IF(T$2=1,$B268,S268)*T279</f>
        <v>1.0876435070115711</v>
      </c>
      <c r="U268" s="323">
        <f t="shared" ref="U268" ca="1" si="1474">IF(U$2=1,$B268,T268)*U279</f>
        <v>1.1036034205198</v>
      </c>
      <c r="V268" s="323">
        <f t="shared" ref="V268" ca="1" si="1475">IF(V$2=1,$B268,U268)*V279</f>
        <v>1.1197975273437137</v>
      </c>
      <c r="W268" s="323">
        <f t="shared" ref="W268" ca="1" si="1476">IF(W$2=1,$B268,V268)*W279</f>
        <v>1.1362292640000005</v>
      </c>
      <c r="X268" s="323">
        <f t="shared" ref="X268" ca="1" si="1477">IF(X$2=1,$B268,W268)*X279</f>
        <v>1.1529021174322653</v>
      </c>
      <c r="Y268" s="323">
        <f t="shared" ref="Y268" ca="1" si="1478">IF(Y$2=1,$B268,X268)*Y279</f>
        <v>1.1698196257509881</v>
      </c>
      <c r="Z268" s="323">
        <f t="shared" ref="Z268" ca="1" si="1479">IF(Z$2=1,$B268,Y268)*Z279</f>
        <v>1.1869853789843368</v>
      </c>
      <c r="AA268" s="323">
        <f t="shared" ref="AA268" ca="1" si="1480">IF(AA$2=1,$B268,Z268)*AA279</f>
        <v>1.2044030198400006</v>
      </c>
      <c r="AB268" s="323">
        <f t="shared" ref="AB268" ca="1" si="1481">IF(AB$2=1,$B268,AA268)*AB279</f>
        <v>1.2220762444782016</v>
      </c>
      <c r="AC268" s="323">
        <f t="shared" ref="AC268" ca="1" si="1482">IF(AC$2=1,$B268,AB268)*AC279</f>
        <v>1.2400088032960477</v>
      </c>
      <c r="AD268" s="323">
        <f t="shared" ref="AD268" ca="1" si="1483">IF(AD$2=1,$B268,AC268)*AD279</f>
        <v>1.2582045017233972</v>
      </c>
      <c r="AE268" s="323">
        <f t="shared" ref="AE268" ca="1" si="1484">IF(AE$2=1,$B268,AD268)*AE279</f>
        <v>1.276667201030401</v>
      </c>
      <c r="AF268" s="323">
        <f t="shared" ref="AF268" ca="1" si="1485">IF(AF$2=1,$B268,AE268)*AF279</f>
        <v>1.295400819146894</v>
      </c>
      <c r="AG268" s="323">
        <f t="shared" ref="AG268" ca="1" si="1486">IF(AG$2=1,$B268,AF268)*AG279</f>
        <v>1.3144093314938108</v>
      </c>
      <c r="AH268" s="323">
        <f t="shared" ref="AH268" ca="1" si="1487">IF(AH$2=1,$B268,AG268)*AH279</f>
        <v>1.3336967718268014</v>
      </c>
      <c r="AI268" s="323">
        <f t="shared" ref="AI268" ca="1" si="1488">IF(AI$2=1,$B268,AH268)*AI279</f>
        <v>1.3532672330922253</v>
      </c>
      <c r="AJ268" s="323">
        <f t="shared" ref="AJ268" ca="1" si="1489">IF(AJ$2=1,$B268,AI268)*AJ279</f>
        <v>1.3731248682957078</v>
      </c>
      <c r="AK268" s="323">
        <f t="shared" ref="AK268" ca="1" si="1490">IF(AK$2=1,$B268,AJ268)*AK279</f>
        <v>1.3932738913834395</v>
      </c>
      <c r="AL268" s="323">
        <f t="shared" ref="AL268" ca="1" si="1491">IF(AL$2=1,$B268,AK268)*AL279</f>
        <v>1.4137185781364094</v>
      </c>
      <c r="AM268" s="323">
        <f t="shared" ref="AM268" ca="1" si="1492">IF(AM$2=1,$B268,AL268)*AM279</f>
        <v>1.4344632670777588</v>
      </c>
      <c r="AN268" s="323">
        <f t="shared" ref="AN268" ca="1" si="1493">IF(AN$2=1,$B268,AM268)*AN279</f>
        <v>1.4555123603934503</v>
      </c>
      <c r="AO268" s="323">
        <f t="shared" ref="AO268" ca="1" si="1494">IF(AO$2=1,$B268,AN268)*AO279</f>
        <v>1.4768703248664461</v>
      </c>
      <c r="AP268" s="323">
        <f t="shared" ref="AP268" ca="1" si="1495">IF(AP$2=1,$B268,AO268)*AP279</f>
        <v>1.4985416928245943</v>
      </c>
      <c r="AQ268" s="323">
        <f t="shared" ref="AQ268" ca="1" si="1496">IF(AQ$2=1,$B268,AP268)*AQ279</f>
        <v>1.5205310631024247</v>
      </c>
      <c r="AR268" s="323">
        <f t="shared" ref="AR268" ca="1" si="1497">IF(AR$2=1,$B268,AQ268)*AR279</f>
        <v>1.5428431020170577</v>
      </c>
      <c r="AS268" s="323">
        <f t="shared" ref="AS268" ca="1" si="1498">IF(AS$2=1,$B268,AR268)*AS279</f>
        <v>1.565482544358433</v>
      </c>
      <c r="AT268" s="323">
        <f t="shared" ref="AT268" ca="1" si="1499">IF(AT$2=1,$B268,AS268)*AT279</f>
        <v>1.58845419439407</v>
      </c>
      <c r="AU268" s="323">
        <f t="shared" ref="AU268" ca="1" si="1500">IF(AU$2=1,$B268,AT268)*AU279</f>
        <v>1.6117629268885703</v>
      </c>
      <c r="AV268" s="323">
        <f t="shared" ref="AV268" ca="1" si="1501">IF(AV$2=1,$B268,AU268)*AV279</f>
        <v>1.6354136881380812</v>
      </c>
      <c r="AW268" s="148"/>
      <c r="AX268" s="117"/>
    </row>
    <row r="269" spans="1:50" collapsed="1" x14ac:dyDescent="0.2">
      <c r="A269" s="83" t="str">
        <f ca="1">Language!A$597</f>
        <v>выручка от реализации, без НДС</v>
      </c>
      <c r="B269" s="157"/>
      <c r="C269" s="146" t="str">
        <f t="shared" ref="C269" ca="1" si="1502">CHOOSE(D269,CurName1,CurName2,CurName3)</f>
        <v>тыс. руб.</v>
      </c>
      <c r="D269" s="155">
        <f>D265</f>
        <v>1</v>
      </c>
      <c r="E269" s="57" t="s">
        <v>992</v>
      </c>
      <c r="F269" s="57" t="s">
        <v>753</v>
      </c>
      <c r="G269" s="176">
        <f t="shared" ref="G269:AV269" ca="1" si="1503">G267*G268</f>
        <v>91885.5</v>
      </c>
      <c r="H269" s="176">
        <f t="shared" ca="1" si="1503"/>
        <v>0</v>
      </c>
      <c r="I269" s="176">
        <f t="shared" ca="1" si="1503"/>
        <v>0</v>
      </c>
      <c r="J269" s="176">
        <f t="shared" ca="1" si="1503"/>
        <v>0</v>
      </c>
      <c r="K269" s="176">
        <f t="shared" ca="1" si="1503"/>
        <v>85101.760800000004</v>
      </c>
      <c r="L269" s="176">
        <f t="shared" ca="1" si="1503"/>
        <v>0</v>
      </c>
      <c r="M269" s="176">
        <f t="shared" ca="1" si="1503"/>
        <v>0</v>
      </c>
      <c r="N269" s="176">
        <f t="shared" ca="1" si="1503"/>
        <v>0</v>
      </c>
      <c r="O269" s="176">
        <f t="shared" ca="1" si="1503"/>
        <v>102277.01584800001</v>
      </c>
      <c r="P269" s="176">
        <f t="shared" ca="1" si="1503"/>
        <v>0</v>
      </c>
      <c r="Q269" s="176">
        <f t="shared" ca="1" si="1503"/>
        <v>0</v>
      </c>
      <c r="R269" s="176">
        <f t="shared" ca="1" si="1503"/>
        <v>0</v>
      </c>
      <c r="S269" s="176">
        <f t="shared" ca="1" si="1503"/>
        <v>108413.63679888002</v>
      </c>
      <c r="T269" s="176">
        <f t="shared" ca="1" si="1503"/>
        <v>0</v>
      </c>
      <c r="U269" s="176">
        <f t="shared" ca="1" si="1503"/>
        <v>0</v>
      </c>
      <c r="V269" s="176">
        <f t="shared" ca="1" si="1503"/>
        <v>0</v>
      </c>
      <c r="W269" s="176">
        <f t="shared" ca="1" si="1503"/>
        <v>114918.45500681284</v>
      </c>
      <c r="X269" s="176">
        <f t="shared" ca="1" si="1503"/>
        <v>0</v>
      </c>
      <c r="Y269" s="176">
        <f t="shared" ca="1" si="1503"/>
        <v>0</v>
      </c>
      <c r="Z269" s="176">
        <f t="shared" ca="1" si="1503"/>
        <v>0</v>
      </c>
      <c r="AA269" s="176">
        <f t="shared" ca="1" si="1503"/>
        <v>121813.56230722163</v>
      </c>
      <c r="AB269" s="176">
        <f t="shared" ca="1" si="1503"/>
        <v>0</v>
      </c>
      <c r="AC269" s="176">
        <f t="shared" ca="1" si="1503"/>
        <v>0</v>
      </c>
      <c r="AD269" s="176">
        <f t="shared" ca="1" si="1503"/>
        <v>0</v>
      </c>
      <c r="AE269" s="176">
        <f t="shared" ca="1" si="1503"/>
        <v>129122.37604565496</v>
      </c>
      <c r="AF269" s="176">
        <f t="shared" ca="1" si="1503"/>
        <v>0</v>
      </c>
      <c r="AG269" s="176">
        <f t="shared" ca="1" si="1503"/>
        <v>0</v>
      </c>
      <c r="AH269" s="176">
        <f t="shared" ca="1" si="1503"/>
        <v>0</v>
      </c>
      <c r="AI269" s="176">
        <f t="shared" ca="1" si="1503"/>
        <v>136869.71860839429</v>
      </c>
      <c r="AJ269" s="176">
        <f t="shared" ca="1" si="1503"/>
        <v>0</v>
      </c>
      <c r="AK269" s="176">
        <f t="shared" ca="1" si="1503"/>
        <v>0</v>
      </c>
      <c r="AL269" s="176">
        <f t="shared" ca="1" si="1503"/>
        <v>0</v>
      </c>
      <c r="AM269" s="176">
        <f t="shared" ca="1" si="1503"/>
        <v>145081.90172489794</v>
      </c>
      <c r="AN269" s="176">
        <f t="shared" ca="1" si="1503"/>
        <v>0</v>
      </c>
      <c r="AO269" s="176">
        <f t="shared" ca="1" si="1503"/>
        <v>0</v>
      </c>
      <c r="AP269" s="176">
        <f t="shared" ca="1" si="1503"/>
        <v>0</v>
      </c>
      <c r="AQ269" s="176">
        <f t="shared" ca="1" si="1503"/>
        <v>153786.81582839185</v>
      </c>
      <c r="AR269" s="176">
        <f t="shared" ca="1" si="1503"/>
        <v>0</v>
      </c>
      <c r="AS269" s="176">
        <f t="shared" ca="1" si="1503"/>
        <v>0</v>
      </c>
      <c r="AT269" s="176">
        <f t="shared" ca="1" si="1503"/>
        <v>0</v>
      </c>
      <c r="AU269" s="176">
        <f t="shared" ca="1" si="1503"/>
        <v>163014.02477809537</v>
      </c>
      <c r="AV269" s="176">
        <f t="shared" ca="1" si="1503"/>
        <v>0</v>
      </c>
      <c r="AW269" s="177"/>
      <c r="AX269" s="178">
        <f ca="1">SUM(G269:AW269)</f>
        <v>1352284.7677463489</v>
      </c>
    </row>
    <row r="270" spans="1:50" hidden="1" outlineLevel="1" x14ac:dyDescent="0.2">
      <c r="A270" s="179" t="str">
        <f ca="1">Language!A$598</f>
        <v>дебиторская задолженность</v>
      </c>
      <c r="B270" s="82"/>
      <c r="C270" s="82" t="str">
        <f ca="1">CHOOSE(D270,CurName1,CurName2,CurName3)</f>
        <v>тыс. руб.</v>
      </c>
      <c r="D270" s="155">
        <f>D265</f>
        <v>1</v>
      </c>
      <c r="E270" s="57" t="s">
        <v>994</v>
      </c>
      <c r="F270" s="57" t="s">
        <v>754</v>
      </c>
      <c r="G270" s="319">
        <f ca="1">IF(AND($B271=0,G$2&gt;1),F270,(G269+G280+G281)*$B271/Параметры!G$30)</f>
        <v>37060.485000000001</v>
      </c>
      <c r="H270" s="319">
        <f ca="1">IF(AND($B271=0,H$2&gt;1),G270,(H269+H280+H281)*$B271/Параметры!H$30)</f>
        <v>0</v>
      </c>
      <c r="I270" s="319">
        <f ca="1">IF(AND($B271=0,I$2&gt;1),H270,(I269+I280+I281)*$B271/Параметры!I$30)</f>
        <v>0</v>
      </c>
      <c r="J270" s="319">
        <f ca="1">IF(AND($B271=0,J$2&gt;1),I270,(J269+J280+J281)*$B271/Параметры!J$30)</f>
        <v>0</v>
      </c>
      <c r="K270" s="319">
        <f ca="1">IF(AND($B271=0,K$2&gt;1),J270,(K269+K280+K281)*$B271/Параметры!K$30)</f>
        <v>34324.376856000003</v>
      </c>
      <c r="L270" s="319">
        <f ca="1">IF(AND($B271=0,L$2&gt;1),K270,(L269+L280+L281)*$B271/Параметры!L$30)</f>
        <v>0</v>
      </c>
      <c r="M270" s="319">
        <f ca="1">IF(AND($B271=0,M$2&gt;1),L270,(M269+M280+M281)*$B271/Параметры!M$30)</f>
        <v>0</v>
      </c>
      <c r="N270" s="319">
        <f ca="1">IF(AND($B271=0,N$2&gt;1),M270,(N269+N280+N281)*$B271/Параметры!N$30)</f>
        <v>0</v>
      </c>
      <c r="O270" s="319">
        <f ca="1">IF(AND($B271=0,O$2&gt;1),N270,(O269+O280+O281)*$B271/Параметры!O$30)</f>
        <v>41251.729725360005</v>
      </c>
      <c r="P270" s="319">
        <f ca="1">IF(AND($B271=0,P$2&gt;1),O270,(P269+P280+P281)*$B271/Параметры!P$30)</f>
        <v>0</v>
      </c>
      <c r="Q270" s="319">
        <f ca="1">IF(AND($B271=0,Q$2&gt;1),P270,(Q269+Q280+Q281)*$B271/Параметры!Q$30)</f>
        <v>0</v>
      </c>
      <c r="R270" s="319">
        <f ca="1">IF(AND($B271=0,R$2&gt;1),Q270,(R269+R280+R281)*$B271/Параметры!R$30)</f>
        <v>0</v>
      </c>
      <c r="S270" s="319">
        <f ca="1">IF(AND($B271=0,S$2&gt;1),R270,(S269+S280+S281)*$B271/Параметры!S$30)</f>
        <v>43726.833508881609</v>
      </c>
      <c r="T270" s="319">
        <f ca="1">IF(AND($B271=0,T$2&gt;1),S270,(T269+T280+T281)*$B271/Параметры!T$30)</f>
        <v>0</v>
      </c>
      <c r="U270" s="319">
        <f ca="1">IF(AND($B271=0,U$2&gt;1),T270,(U269+U280+U281)*$B271/Параметры!U$30)</f>
        <v>0</v>
      </c>
      <c r="V270" s="319">
        <f ca="1">IF(AND($B271=0,V$2&gt;1),U270,(V269+V280+V281)*$B271/Параметры!V$30)</f>
        <v>0</v>
      </c>
      <c r="W270" s="319">
        <f ca="1">IF(AND($B271=0,W$2&gt;1),V270,(W269+W280+W281)*$B271/Параметры!W$30)</f>
        <v>46350.443519414519</v>
      </c>
      <c r="X270" s="319">
        <f ca="1">IF(AND($B271=0,X$2&gt;1),W270,(X269+X280+X281)*$B271/Параметры!X$30)</f>
        <v>0</v>
      </c>
      <c r="Y270" s="319">
        <f ca="1">IF(AND($B271=0,Y$2&gt;1),X270,(Y269+Y280+Y281)*$B271/Параметры!Y$30)</f>
        <v>0</v>
      </c>
      <c r="Z270" s="319">
        <f ca="1">IF(AND($B271=0,Z$2&gt;1),Y270,(Z269+Z280+Z281)*$B271/Параметры!Z$30)</f>
        <v>0</v>
      </c>
      <c r="AA270" s="319">
        <f ca="1">IF(AND($B271=0,AA$2&gt;1),Z270,(AA269+AA280+AA281)*$B271/Параметры!AA$30)</f>
        <v>49131.470130579393</v>
      </c>
      <c r="AB270" s="319">
        <f ca="1">IF(AND($B271=0,AB$2&gt;1),AA270,(AB269+AB280+AB281)*$B271/Параметры!AB$30)</f>
        <v>0</v>
      </c>
      <c r="AC270" s="319">
        <f ca="1">IF(AND($B271=0,AC$2&gt;1),AB270,(AC269+AC280+AC281)*$B271/Параметры!AC$30)</f>
        <v>0</v>
      </c>
      <c r="AD270" s="319">
        <f ca="1">IF(AND($B271=0,AD$2&gt;1),AC270,(AD269+AD280+AD281)*$B271/Параметры!AD$30)</f>
        <v>0</v>
      </c>
      <c r="AE270" s="319">
        <f ca="1">IF(AND($B271=0,AE$2&gt;1),AD270,(AE269+AE280+AE281)*$B271/Параметры!AE$30)</f>
        <v>52079.35833841416</v>
      </c>
      <c r="AF270" s="319">
        <f ca="1">IF(AND($B271=0,AF$2&gt;1),AE270,(AF269+AF280+AF281)*$B271/Параметры!AF$30)</f>
        <v>0</v>
      </c>
      <c r="AG270" s="319">
        <f ca="1">IF(AND($B271=0,AG$2&gt;1),AF270,(AG269+AG280+AG281)*$B271/Параметры!AG$30)</f>
        <v>0</v>
      </c>
      <c r="AH270" s="319">
        <f ca="1">IF(AND($B271=0,AH$2&gt;1),AG270,(AH269+AH280+AH281)*$B271/Параметры!AH$30)</f>
        <v>0</v>
      </c>
      <c r="AI270" s="319">
        <f ca="1">IF(AND($B271=0,AI$2&gt;1),AH270,(AI269+AI280+AI281)*$B271/Параметры!AI$30)</f>
        <v>55204.119838719031</v>
      </c>
      <c r="AJ270" s="319">
        <f ca="1">IF(AND($B271=0,AJ$2&gt;1),AI270,(AJ269+AJ280+AJ281)*$B271/Параметры!AJ$30)</f>
        <v>0</v>
      </c>
      <c r="AK270" s="319">
        <f ca="1">IF(AND($B271=0,AK$2&gt;1),AJ270,(AK269+AK280+AK281)*$B271/Параметры!AK$30)</f>
        <v>0</v>
      </c>
      <c r="AL270" s="319">
        <f ca="1">IF(AND($B271=0,AL$2&gt;1),AK270,(AL269+AL280+AL281)*$B271/Параметры!AL$30)</f>
        <v>0</v>
      </c>
      <c r="AM270" s="319">
        <f ca="1">IF(AND($B271=0,AM$2&gt;1),AL270,(AM269+AM280+AM281)*$B271/Параметры!AM$30)</f>
        <v>58516.367029042172</v>
      </c>
      <c r="AN270" s="319">
        <f ca="1">IF(AND($B271=0,AN$2&gt;1),AM270,(AN269+AN280+AN281)*$B271/Параметры!AN$30)</f>
        <v>0</v>
      </c>
      <c r="AO270" s="319">
        <f ca="1">IF(AND($B271=0,AO$2&gt;1),AN270,(AO269+AO280+AO281)*$B271/Параметры!AO$30)</f>
        <v>0</v>
      </c>
      <c r="AP270" s="319">
        <f ca="1">IF(AND($B271=0,AP$2&gt;1),AO270,(AP269+AP280+AP281)*$B271/Параметры!AP$30)</f>
        <v>0</v>
      </c>
      <c r="AQ270" s="319">
        <f ca="1">IF(AND($B271=0,AQ$2&gt;1),AP270,(AQ269+AQ280+AQ281)*$B271/Параметры!AQ$30)</f>
        <v>62027.349050784702</v>
      </c>
      <c r="AR270" s="319">
        <f ca="1">IF(AND($B271=0,AR$2&gt;1),AQ270,(AR269+AR280+AR281)*$B271/Параметры!AR$30)</f>
        <v>0</v>
      </c>
      <c r="AS270" s="319">
        <f ca="1">IF(AND($B271=0,AS$2&gt;1),AR270,(AS269+AS280+AS281)*$B271/Параметры!AS$30)</f>
        <v>0</v>
      </c>
      <c r="AT270" s="319">
        <f ca="1">IF(AND($B271=0,AT$2&gt;1),AS270,(AT269+AT280+AT281)*$B271/Параметры!AT$30)</f>
        <v>0</v>
      </c>
      <c r="AU270" s="319">
        <f ca="1">IF(AND($B271=0,AU$2&gt;1),AT270,(AU269+AU280+AU281)*$B271/Параметры!AU$30)</f>
        <v>65748.989993831812</v>
      </c>
      <c r="AV270" s="319">
        <f ca="1">IF(AND($B271=0,AV$2&gt;1),AU270,(AV269+AV280+AV281)*$B271/Параметры!AV$30)</f>
        <v>0</v>
      </c>
      <c r="AW270" s="180"/>
      <c r="AX270" s="87"/>
    </row>
    <row r="271" spans="1:50" hidden="1" outlineLevel="1" x14ac:dyDescent="0.2">
      <c r="A271" s="181" t="str">
        <f ca="1">Language!A$599</f>
        <v>средний период отсрочки платежа</v>
      </c>
      <c r="B271" s="320">
        <f>$B$618</f>
        <v>33</v>
      </c>
      <c r="C271" s="152" t="str">
        <f ca="1">Language!$A$1446</f>
        <v>дней</v>
      </c>
      <c r="D271" s="100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48"/>
      <c r="AX271" s="150"/>
    </row>
    <row r="272" spans="1:50" hidden="1" outlineLevel="1" x14ac:dyDescent="0.2">
      <c r="A272" s="179" t="str">
        <f ca="1">Language!A$600</f>
        <v xml:space="preserve">авансы полученные </v>
      </c>
      <c r="B272" s="82"/>
      <c r="C272" s="103" t="str">
        <f ca="1">CHOOSE(D272,CurName1,CurName2,CurName3)</f>
        <v>тыс. руб.</v>
      </c>
      <c r="D272" s="155">
        <f>D265</f>
        <v>1</v>
      </c>
      <c r="E272" s="57" t="s">
        <v>995</v>
      </c>
      <c r="F272" s="57" t="s">
        <v>754</v>
      </c>
      <c r="G272" s="316">
        <f ca="1">IF(AND($B273=0,G$2&gt;1),F272,(OFFSET(G269,0,1)+OFFSET(G280,0,1)+OFFSET(G281,0,1))*$B273/Параметры!G$30)</f>
        <v>0</v>
      </c>
      <c r="H272" s="316">
        <f ca="1">IF(AND($B273=0,H$2&gt;1),G272,(OFFSET(H269,0,1)+OFFSET(H280,0,1)+OFFSET(H281,0,1))*$B273/Параметры!H$30)</f>
        <v>0</v>
      </c>
      <c r="I272" s="316">
        <f ca="1">IF(AND($B273=0,I$2&gt;1),H272,(OFFSET(I269,0,1)+OFFSET(I280,0,1)+OFFSET(I281,0,1))*$B273/Параметры!I$30)</f>
        <v>0</v>
      </c>
      <c r="J272" s="316">
        <f ca="1">IF(AND($B273=0,J$2&gt;1),I272,(OFFSET(J269,0,1)+OFFSET(J280,0,1)+OFFSET(J281,0,1))*$B273/Параметры!J$30)</f>
        <v>0</v>
      </c>
      <c r="K272" s="316">
        <f ca="1">IF(AND($B273=0,K$2&gt;1),J272,(OFFSET(K269,0,1)+OFFSET(K280,0,1)+OFFSET(K281,0,1))*$B273/Параметры!K$30)</f>
        <v>0</v>
      </c>
      <c r="L272" s="316">
        <f ca="1">IF(AND($B273=0,L$2&gt;1),K272,(OFFSET(L269,0,1)+OFFSET(L280,0,1)+OFFSET(L281,0,1))*$B273/Параметры!L$30)</f>
        <v>0</v>
      </c>
      <c r="M272" s="316">
        <f ca="1">IF(AND($B273=0,M$2&gt;1),L272,(OFFSET(M269,0,1)+OFFSET(M280,0,1)+OFFSET(M281,0,1))*$B273/Параметры!M$30)</f>
        <v>0</v>
      </c>
      <c r="N272" s="316">
        <f ca="1">IF(AND($B273=0,N$2&gt;1),M272,(OFFSET(N269,0,1)+OFFSET(N280,0,1)+OFFSET(N281,0,1))*$B273/Параметры!N$30)</f>
        <v>0</v>
      </c>
      <c r="O272" s="316">
        <f ca="1">IF(AND($B273=0,O$2&gt;1),N272,(OFFSET(O269,0,1)+OFFSET(O280,0,1)+OFFSET(O281,0,1))*$B273/Параметры!O$30)</f>
        <v>0</v>
      </c>
      <c r="P272" s="316">
        <f ca="1">IF(AND($B273=0,P$2&gt;1),O272,(OFFSET(P269,0,1)+OFFSET(P280,0,1)+OFFSET(P281,0,1))*$B273/Параметры!P$30)</f>
        <v>0</v>
      </c>
      <c r="Q272" s="316">
        <f ca="1">IF(AND($B273=0,Q$2&gt;1),P272,(OFFSET(Q269,0,1)+OFFSET(Q280,0,1)+OFFSET(Q281,0,1))*$B273/Параметры!Q$30)</f>
        <v>0</v>
      </c>
      <c r="R272" s="316">
        <f ca="1">IF(AND($B273=0,R$2&gt;1),Q272,(OFFSET(R269,0,1)+OFFSET(R280,0,1)+OFFSET(R281,0,1))*$B273/Параметры!R$30)</f>
        <v>0</v>
      </c>
      <c r="S272" s="316">
        <f ca="1">IF(AND($B273=0,S$2&gt;1),R272,(OFFSET(S269,0,1)+OFFSET(S280,0,1)+OFFSET(S281,0,1))*$B273/Параметры!S$30)</f>
        <v>0</v>
      </c>
      <c r="T272" s="316">
        <f ca="1">IF(AND($B273=0,T$2&gt;1),S272,(OFFSET(T269,0,1)+OFFSET(T280,0,1)+OFFSET(T281,0,1))*$B273/Параметры!T$30)</f>
        <v>0</v>
      </c>
      <c r="U272" s="316">
        <f ca="1">IF(AND($B273=0,U$2&gt;1),T272,(OFFSET(U269,0,1)+OFFSET(U280,0,1)+OFFSET(U281,0,1))*$B273/Параметры!U$30)</f>
        <v>0</v>
      </c>
      <c r="V272" s="316">
        <f ca="1">IF(AND($B273=0,V$2&gt;1),U272,(OFFSET(V269,0,1)+OFFSET(V280,0,1)+OFFSET(V281,0,1))*$B273/Параметры!V$30)</f>
        <v>0</v>
      </c>
      <c r="W272" s="316">
        <f ca="1">IF(AND($B273=0,W$2&gt;1),V272,(OFFSET(W269,0,1)+OFFSET(W280,0,1)+OFFSET(W281,0,1))*$B273/Параметры!W$30)</f>
        <v>0</v>
      </c>
      <c r="X272" s="316">
        <f ca="1">IF(AND($B273=0,X$2&gt;1),W272,(OFFSET(X269,0,1)+OFFSET(X280,0,1)+OFFSET(X281,0,1))*$B273/Параметры!X$30)</f>
        <v>0</v>
      </c>
      <c r="Y272" s="316">
        <f ca="1">IF(AND($B273=0,Y$2&gt;1),X272,(OFFSET(Y269,0,1)+OFFSET(Y280,0,1)+OFFSET(Y281,0,1))*$B273/Параметры!Y$30)</f>
        <v>0</v>
      </c>
      <c r="Z272" s="316">
        <f ca="1">IF(AND($B273=0,Z$2&gt;1),Y272,(OFFSET(Z269,0,1)+OFFSET(Z280,0,1)+OFFSET(Z281,0,1))*$B273/Параметры!Z$30)</f>
        <v>0</v>
      </c>
      <c r="AA272" s="316">
        <f ca="1">IF(AND($B273=0,AA$2&gt;1),Z272,(OFFSET(AA269,0,1)+OFFSET(AA280,0,1)+OFFSET(AA281,0,1))*$B273/Параметры!AA$30)</f>
        <v>0</v>
      </c>
      <c r="AB272" s="316">
        <f ca="1">IF(AND($B273=0,AB$2&gt;1),AA272,(OFFSET(AB269,0,1)+OFFSET(AB280,0,1)+OFFSET(AB281,0,1))*$B273/Параметры!AB$30)</f>
        <v>0</v>
      </c>
      <c r="AC272" s="316">
        <f ca="1">IF(AND($B273=0,AC$2&gt;1),AB272,(OFFSET(AC269,0,1)+OFFSET(AC280,0,1)+OFFSET(AC281,0,1))*$B273/Параметры!AC$30)</f>
        <v>0</v>
      </c>
      <c r="AD272" s="316">
        <f ca="1">IF(AND($B273=0,AD$2&gt;1),AC272,(OFFSET(AD269,0,1)+OFFSET(AD280,0,1)+OFFSET(AD281,0,1))*$B273/Параметры!AD$30)</f>
        <v>0</v>
      </c>
      <c r="AE272" s="316">
        <f ca="1">IF(AND($B273=0,AE$2&gt;1),AD272,(OFFSET(AE269,0,1)+OFFSET(AE280,0,1)+OFFSET(AE281,0,1))*$B273/Параметры!AE$30)</f>
        <v>0</v>
      </c>
      <c r="AF272" s="316">
        <f ca="1">IF(AND($B273=0,AF$2&gt;1),AE272,(OFFSET(AF269,0,1)+OFFSET(AF280,0,1)+OFFSET(AF281,0,1))*$B273/Параметры!AF$30)</f>
        <v>0</v>
      </c>
      <c r="AG272" s="316">
        <f ca="1">IF(AND($B273=0,AG$2&gt;1),AF272,(OFFSET(AG269,0,1)+OFFSET(AG280,0,1)+OFFSET(AG281,0,1))*$B273/Параметры!AG$30)</f>
        <v>0</v>
      </c>
      <c r="AH272" s="316">
        <f ca="1">IF(AND($B273=0,AH$2&gt;1),AG272,(OFFSET(AH269,0,1)+OFFSET(AH280,0,1)+OFFSET(AH281,0,1))*$B273/Параметры!AH$30)</f>
        <v>0</v>
      </c>
      <c r="AI272" s="316">
        <f ca="1">IF(AND($B273=0,AI$2&gt;1),AH272,(OFFSET(AI269,0,1)+OFFSET(AI280,0,1)+OFFSET(AI281,0,1))*$B273/Параметры!AI$30)</f>
        <v>0</v>
      </c>
      <c r="AJ272" s="316">
        <f ca="1">IF(AND($B273=0,AJ$2&gt;1),AI272,(OFFSET(AJ269,0,1)+OFFSET(AJ280,0,1)+OFFSET(AJ281,0,1))*$B273/Параметры!AJ$30)</f>
        <v>0</v>
      </c>
      <c r="AK272" s="316">
        <f ca="1">IF(AND($B273=0,AK$2&gt;1),AJ272,(OFFSET(AK269,0,1)+OFFSET(AK280,0,1)+OFFSET(AK281,0,1))*$B273/Параметры!AK$30)</f>
        <v>0</v>
      </c>
      <c r="AL272" s="316">
        <f ca="1">IF(AND($B273=0,AL$2&gt;1),AK272,(OFFSET(AL269,0,1)+OFFSET(AL280,0,1)+OFFSET(AL281,0,1))*$B273/Параметры!AL$30)</f>
        <v>0</v>
      </c>
      <c r="AM272" s="316">
        <f ca="1">IF(AND($B273=0,AM$2&gt;1),AL272,(OFFSET(AM269,0,1)+OFFSET(AM280,0,1)+OFFSET(AM281,0,1))*$B273/Параметры!AM$30)</f>
        <v>0</v>
      </c>
      <c r="AN272" s="316">
        <f ca="1">IF(AND($B273=0,AN$2&gt;1),AM272,(OFFSET(AN269,0,1)+OFFSET(AN280,0,1)+OFFSET(AN281,0,1))*$B273/Параметры!AN$30)</f>
        <v>0</v>
      </c>
      <c r="AO272" s="316">
        <f ca="1">IF(AND($B273=0,AO$2&gt;1),AN272,(OFFSET(AO269,0,1)+OFFSET(AO280,0,1)+OFFSET(AO281,0,1))*$B273/Параметры!AO$30)</f>
        <v>0</v>
      </c>
      <c r="AP272" s="316">
        <f ca="1">IF(AND($B273=0,AP$2&gt;1),AO272,(OFFSET(AP269,0,1)+OFFSET(AP280,0,1)+OFFSET(AP281,0,1))*$B273/Параметры!AP$30)</f>
        <v>0</v>
      </c>
      <c r="AQ272" s="316">
        <f ca="1">IF(AND($B273=0,AQ$2&gt;1),AP272,(OFFSET(AQ269,0,1)+OFFSET(AQ280,0,1)+OFFSET(AQ281,0,1))*$B273/Параметры!AQ$30)</f>
        <v>0</v>
      </c>
      <c r="AR272" s="316">
        <f ca="1">IF(AND($B273=0,AR$2&gt;1),AQ272,(OFFSET(AR269,0,1)+OFFSET(AR280,0,1)+OFFSET(AR281,0,1))*$B273/Параметры!AR$30)</f>
        <v>0</v>
      </c>
      <c r="AS272" s="316">
        <f ca="1">IF(AND($B273=0,AS$2&gt;1),AR272,(OFFSET(AS269,0,1)+OFFSET(AS280,0,1)+OFFSET(AS281,0,1))*$B273/Параметры!AS$30)</f>
        <v>0</v>
      </c>
      <c r="AT272" s="316">
        <f ca="1">IF(AND($B273=0,AT$2&gt;1),AS272,(OFFSET(AT269,0,1)+OFFSET(AT280,0,1)+OFFSET(AT281,0,1))*$B273/Параметры!AT$30)</f>
        <v>0</v>
      </c>
      <c r="AU272" s="316">
        <f ca="1">IF(AND($B273=0,AU$2&gt;1),AT272,(OFFSET(AU269,0,1)+OFFSET(AU280,0,1)+OFFSET(AU281,0,1))*$B273/Параметры!AU$30)</f>
        <v>0</v>
      </c>
      <c r="AV272" s="316">
        <f ca="1">IF(AND($B273=0,AV$2&gt;1),AU272,(OFFSET(AV269,0,1)+OFFSET(AV280,0,1)+OFFSET(AV281,0,1))*$B273/Параметры!AV$30)</f>
        <v>0</v>
      </c>
      <c r="AW272" s="168"/>
      <c r="AX272" s="182"/>
    </row>
    <row r="273" spans="1:50" hidden="1" outlineLevel="1" x14ac:dyDescent="0.2">
      <c r="A273" s="181" t="str">
        <f ca="1">Language!A$601</f>
        <v>средний период предоплаты</v>
      </c>
      <c r="B273" s="320">
        <f>$B$624</f>
        <v>0</v>
      </c>
      <c r="C273" s="152" t="str">
        <f ca="1">Language!$A$1446</f>
        <v>дней</v>
      </c>
      <c r="D273" s="100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48"/>
      <c r="AX273" s="150"/>
    </row>
    <row r="274" spans="1:50" hidden="1" outlineLevel="1" x14ac:dyDescent="0.2">
      <c r="A274" s="179" t="str">
        <f ca="1">Language!A$602</f>
        <v>поступление денежных средств, с НДС</v>
      </c>
      <c r="B274" s="52"/>
      <c r="C274" s="103" t="str">
        <f ca="1">CHOOSE(D274,CurName1,CurName2,CurName3)</f>
        <v>тыс. руб.</v>
      </c>
      <c r="D274" s="155">
        <f>D265</f>
        <v>1</v>
      </c>
      <c r="E274" s="57" t="s">
        <v>993</v>
      </c>
      <c r="F274" s="57" t="s">
        <v>753</v>
      </c>
      <c r="G274" s="180">
        <f ca="1">G269+G280+G281-IF(G$2=1,G270,G270-F270)+IF(G$2=1,G272,G272-F272)</f>
        <v>64013.565000000002</v>
      </c>
      <c r="H274" s="180">
        <f t="shared" ref="H274" ca="1" si="1504">H269+H280+H281-IF(H$2=1,H270,H270-G270)+IF(H$2=1,H272,H272-G272)</f>
        <v>37060.485000000001</v>
      </c>
      <c r="I274" s="180">
        <f t="shared" ref="I274" ca="1" si="1505">I269+I280+I281-IF(I$2=1,I270,I270-H270)+IF(I$2=1,I272,I272-H272)</f>
        <v>0</v>
      </c>
      <c r="J274" s="180">
        <f t="shared" ref="J274" ca="1" si="1506">J269+J280+J281-IF(J$2=1,J270,J270-I270)+IF(J$2=1,J272,J272-I272)</f>
        <v>0</v>
      </c>
      <c r="K274" s="180">
        <f t="shared" ref="K274" ca="1" si="1507">K269+K280+K281-IF(K$2=1,K270,K270-J270)+IF(K$2=1,K272,K272-J272)</f>
        <v>59287.560024000006</v>
      </c>
      <c r="L274" s="180">
        <f t="shared" ref="L274" ca="1" si="1508">L269+L280+L281-IF(L$2=1,L270,L270-K270)+IF(L$2=1,L272,L272-K272)</f>
        <v>34324.376856000003</v>
      </c>
      <c r="M274" s="180">
        <f t="shared" ref="M274" ca="1" si="1509">M269+M280+M281-IF(M$2=1,M270,M270-L270)+IF(M$2=1,M272,M272-L272)</f>
        <v>0</v>
      </c>
      <c r="N274" s="180">
        <f t="shared" ref="N274" ca="1" si="1510">N269+N280+N281-IF(N$2=1,N270,N270-M270)+IF(N$2=1,N272,N272-M272)</f>
        <v>0</v>
      </c>
      <c r="O274" s="180">
        <f t="shared" ref="O274" ca="1" si="1511">O269+O280+O281-IF(O$2=1,O270,O270-N270)+IF(O$2=1,O272,O272-N272)</f>
        <v>71252.987707440014</v>
      </c>
      <c r="P274" s="180">
        <f t="shared" ref="P274" ca="1" si="1512">P269+P280+P281-IF(P$2=1,P270,P270-O270)+IF(P$2=1,P272,P272-O272)</f>
        <v>41251.729725360005</v>
      </c>
      <c r="Q274" s="180">
        <f t="shared" ref="Q274" ca="1" si="1513">Q269+Q280+Q281-IF(Q$2=1,Q270,Q270-P270)+IF(Q$2=1,Q272,Q272-P272)</f>
        <v>0</v>
      </c>
      <c r="R274" s="180">
        <f t="shared" ref="R274" ca="1" si="1514">R269+R280+R281-IF(R$2=1,R270,R270-Q270)+IF(R$2=1,R272,R272-Q272)</f>
        <v>0</v>
      </c>
      <c r="S274" s="180">
        <f t="shared" ref="S274" ca="1" si="1515">S269+S280+S281-IF(S$2=1,S270,S270-R270)+IF(S$2=1,S272,S272-R272)</f>
        <v>75528.166969886413</v>
      </c>
      <c r="T274" s="180">
        <f t="shared" ref="T274" ca="1" si="1516">T269+T280+T281-IF(T$2=1,T270,T270-S270)+IF(T$2=1,T272,T272-S272)</f>
        <v>43726.833508881609</v>
      </c>
      <c r="U274" s="180">
        <f t="shared" ref="U274" ca="1" si="1517">U269+U280+U281-IF(U$2=1,U270,U270-T270)+IF(U$2=1,U272,U272-T272)</f>
        <v>0</v>
      </c>
      <c r="V274" s="180">
        <f t="shared" ref="V274" ca="1" si="1518">V269+V280+V281-IF(V$2=1,V270,V270-U270)+IF(V$2=1,V272,V272-U272)</f>
        <v>0</v>
      </c>
      <c r="W274" s="180">
        <f t="shared" ref="W274" ca="1" si="1519">W269+W280+W281-IF(W$2=1,W270,W270-V270)+IF(W$2=1,W272,W272-V272)</f>
        <v>80059.856988079613</v>
      </c>
      <c r="X274" s="180">
        <f t="shared" ref="X274" ca="1" si="1520">X269+X280+X281-IF(X$2=1,X270,X270-W270)+IF(X$2=1,X272,X272-W272)</f>
        <v>46350.443519414519</v>
      </c>
      <c r="Y274" s="180">
        <f t="shared" ref="Y274" ca="1" si="1521">Y269+Y280+Y281-IF(Y$2=1,Y270,Y270-X270)+IF(Y$2=1,Y272,Y272-X272)</f>
        <v>0</v>
      </c>
      <c r="Z274" s="180">
        <f t="shared" ref="Z274" ca="1" si="1522">Z269+Z280+Z281-IF(Z$2=1,Z270,Z270-Y270)+IF(Z$2=1,Z272,Z272-Y272)</f>
        <v>0</v>
      </c>
      <c r="AA274" s="180">
        <f t="shared" ref="AA274" ca="1" si="1523">AA269+AA280+AA281-IF(AA$2=1,AA270,AA270-Z270)+IF(AA$2=1,AA272,AA272-Z272)</f>
        <v>84863.448407364398</v>
      </c>
      <c r="AB274" s="180">
        <f t="shared" ref="AB274" ca="1" si="1524">AB269+AB280+AB281-IF(AB$2=1,AB270,AB270-AA270)+IF(AB$2=1,AB272,AB272-AA272)</f>
        <v>49131.470130579393</v>
      </c>
      <c r="AC274" s="180">
        <f t="shared" ref="AC274" ca="1" si="1525">AC269+AC280+AC281-IF(AC$2=1,AC270,AC270-AB270)+IF(AC$2=1,AC272,AC272-AB272)</f>
        <v>0</v>
      </c>
      <c r="AD274" s="180">
        <f t="shared" ref="AD274" ca="1" si="1526">AD269+AD280+AD281-IF(AD$2=1,AD270,AD270-AC270)+IF(AD$2=1,AD272,AD272-AC272)</f>
        <v>0</v>
      </c>
      <c r="AE274" s="180">
        <f t="shared" ref="AE274" ca="1" si="1527">AE269+AE280+AE281-IF(AE$2=1,AE270,AE270-AD270)+IF(AE$2=1,AE272,AE272-AD272)</f>
        <v>89955.255311806279</v>
      </c>
      <c r="AF274" s="180">
        <f t="shared" ref="AF274" ca="1" si="1528">AF269+AF280+AF281-IF(AF$2=1,AF270,AF270-AE270)+IF(AF$2=1,AF272,AF272-AE272)</f>
        <v>52079.35833841416</v>
      </c>
      <c r="AG274" s="180">
        <f t="shared" ref="AG274" ca="1" si="1529">AG269+AG280+AG281-IF(AG$2=1,AG270,AG270-AF270)+IF(AG$2=1,AG272,AG272-AF272)</f>
        <v>0</v>
      </c>
      <c r="AH274" s="180">
        <f t="shared" ref="AH274" ca="1" si="1530">AH269+AH280+AH281-IF(AH$2=1,AH270,AH270-AG270)+IF(AH$2=1,AH272,AH272-AG272)</f>
        <v>0</v>
      </c>
      <c r="AI274" s="180">
        <f t="shared" ref="AI274" ca="1" si="1531">AI269+AI280+AI281-IF(AI$2=1,AI270,AI270-AH270)+IF(AI$2=1,AI272,AI272-AH272)</f>
        <v>95352.570630514703</v>
      </c>
      <c r="AJ274" s="180">
        <f t="shared" ref="AJ274" ca="1" si="1532">AJ269+AJ280+AJ281-IF(AJ$2=1,AJ270,AJ270-AI270)+IF(AJ$2=1,AJ272,AJ272-AI272)</f>
        <v>55204.119838719031</v>
      </c>
      <c r="AK274" s="180">
        <f t="shared" ref="AK274" ca="1" si="1533">AK269+AK280+AK281-IF(AK$2=1,AK270,AK270-AJ270)+IF(AK$2=1,AK272,AK272-AJ272)</f>
        <v>0</v>
      </c>
      <c r="AL274" s="180">
        <f t="shared" ref="AL274" ca="1" si="1534">AL269+AL280+AL281-IF(AL$2=1,AL270,AL270-AK270)+IF(AL$2=1,AL272,AL272-AK272)</f>
        <v>0</v>
      </c>
      <c r="AM274" s="180">
        <f t="shared" ref="AM274" ca="1" si="1535">AM269+AM280+AM281-IF(AM$2=1,AM270,AM270-AL270)+IF(AM$2=1,AM272,AM272-AL272)</f>
        <v>101073.72486834555</v>
      </c>
      <c r="AN274" s="180">
        <f t="shared" ref="AN274" ca="1" si="1536">AN269+AN280+AN281-IF(AN$2=1,AN270,AN270-AM270)+IF(AN$2=1,AN272,AN272-AM272)</f>
        <v>58516.367029042172</v>
      </c>
      <c r="AO274" s="180">
        <f t="shared" ref="AO274" ca="1" si="1537">AO269+AO280+AO281-IF(AO$2=1,AO270,AO270-AN270)+IF(AO$2=1,AO272,AO272-AN272)</f>
        <v>0</v>
      </c>
      <c r="AP274" s="180">
        <f t="shared" ref="AP274" ca="1" si="1538">AP269+AP280+AP281-IF(AP$2=1,AP270,AP270-AO270)+IF(AP$2=1,AP272,AP272-AO272)</f>
        <v>0</v>
      </c>
      <c r="AQ274" s="180">
        <f t="shared" ref="AQ274" ca="1" si="1539">AQ269+AQ280+AQ281-IF(AQ$2=1,AQ270,AQ270-AP270)+IF(AQ$2=1,AQ272,AQ272-AP272)</f>
        <v>107138.14836044631</v>
      </c>
      <c r="AR274" s="180">
        <f t="shared" ref="AR274" ca="1" si="1540">AR269+AR280+AR281-IF(AR$2=1,AR270,AR270-AQ270)+IF(AR$2=1,AR272,AR272-AQ272)</f>
        <v>62027.349050784702</v>
      </c>
      <c r="AS274" s="180">
        <f t="shared" ref="AS274" ca="1" si="1541">AS269+AS280+AS281-IF(AS$2=1,AS270,AS270-AR270)+IF(AS$2=1,AS272,AS272-AR272)</f>
        <v>0</v>
      </c>
      <c r="AT274" s="180">
        <f t="shared" ref="AT274" ca="1" si="1542">AT269+AT280+AT281-IF(AT$2=1,AT270,AT270-AS270)+IF(AT$2=1,AT272,AT272-AS272)</f>
        <v>0</v>
      </c>
      <c r="AU274" s="180">
        <f t="shared" ref="AU274" ca="1" si="1543">AU269+AU280+AU281-IF(AU$2=1,AU270,AU270-AT270)+IF(AU$2=1,AU272,AU272-AT272)</f>
        <v>113566.4372620731</v>
      </c>
      <c r="AV274" s="180">
        <f t="shared" ref="AV274" ca="1" si="1544">AV269+AV280+AV281-IF(AV$2=1,AV270,AV270-AU270)+IF(AV$2=1,AV272,AV272-AU272)</f>
        <v>65748.989993831812</v>
      </c>
      <c r="AW274" s="180"/>
      <c r="AX274" s="169">
        <f ca="1">SUM(G274:AW274)</f>
        <v>1487513.2445209839</v>
      </c>
    </row>
    <row r="275" spans="1:50" hidden="1" outlineLevel="1" x14ac:dyDescent="0.2">
      <c r="A275" s="179" t="str">
        <f ca="1">Language!A$603</f>
        <v>темп изменения цен</v>
      </c>
      <c r="B275" s="84"/>
      <c r="C275" s="82" t="str">
        <f ca="1">Language!$A$471</f>
        <v>% в год</v>
      </c>
      <c r="D275" s="153"/>
      <c r="F275" s="57" t="s">
        <v>756</v>
      </c>
      <c r="G275" s="321">
        <f>CHOOSE($D265,Параметры!G$47,Параметры!G$56,Параметры!G$62)</f>
        <v>0.06</v>
      </c>
      <c r="H275" s="321">
        <f>CHOOSE($D265,Параметры!H$47,Параметры!H$56,Параметры!H$62)</f>
        <v>0.06</v>
      </c>
      <c r="I275" s="321">
        <f>CHOOSE($D265,Параметры!I$47,Параметры!I$56,Параметры!I$62)</f>
        <v>0.06</v>
      </c>
      <c r="J275" s="321">
        <f>CHOOSE($D265,Параметры!J$47,Параметры!J$56,Параметры!J$62)</f>
        <v>0.06</v>
      </c>
      <c r="K275" s="321">
        <f>CHOOSE($D265,Параметры!K$47,Параметры!K$56,Параметры!K$62)</f>
        <v>0.06</v>
      </c>
      <c r="L275" s="321">
        <f>CHOOSE($D265,Параметры!L$47,Параметры!L$56,Параметры!L$62)</f>
        <v>0.06</v>
      </c>
      <c r="M275" s="321">
        <f>CHOOSE($D265,Параметры!M$47,Параметры!M$56,Параметры!M$62)</f>
        <v>0.06</v>
      </c>
      <c r="N275" s="321">
        <f>CHOOSE($D265,Параметры!N$47,Параметры!N$56,Параметры!N$62)</f>
        <v>0.06</v>
      </c>
      <c r="O275" s="321">
        <f>CHOOSE($D265,Параметры!O$47,Параметры!O$56,Параметры!O$62)</f>
        <v>0.06</v>
      </c>
      <c r="P275" s="321">
        <f>CHOOSE($D265,Параметры!P$47,Параметры!P$56,Параметры!P$62)</f>
        <v>0.06</v>
      </c>
      <c r="Q275" s="321">
        <f>CHOOSE($D265,Параметры!Q$47,Параметры!Q$56,Параметры!Q$62)</f>
        <v>0.06</v>
      </c>
      <c r="R275" s="321">
        <f>CHOOSE($D265,Параметры!R$47,Параметры!R$56,Параметры!R$62)</f>
        <v>0.06</v>
      </c>
      <c r="S275" s="321">
        <f>CHOOSE($D265,Параметры!S$47,Параметры!S$56,Параметры!S$62)</f>
        <v>0.06</v>
      </c>
      <c r="T275" s="321">
        <f>CHOOSE($D265,Параметры!T$47,Параметры!T$56,Параметры!T$62)</f>
        <v>0.06</v>
      </c>
      <c r="U275" s="321">
        <f>CHOOSE($D265,Параметры!U$47,Параметры!U$56,Параметры!U$62)</f>
        <v>0.06</v>
      </c>
      <c r="V275" s="321">
        <f>CHOOSE($D265,Параметры!V$47,Параметры!V$56,Параметры!V$62)</f>
        <v>0.06</v>
      </c>
      <c r="W275" s="321">
        <f>CHOOSE($D265,Параметры!W$47,Параметры!W$56,Параметры!W$62)</f>
        <v>0.06</v>
      </c>
      <c r="X275" s="321">
        <f>CHOOSE($D265,Параметры!X$47,Параметры!X$56,Параметры!X$62)</f>
        <v>0.06</v>
      </c>
      <c r="Y275" s="321">
        <f>CHOOSE($D265,Параметры!Y$47,Параметры!Y$56,Параметры!Y$62)</f>
        <v>0.06</v>
      </c>
      <c r="Z275" s="321">
        <f>CHOOSE($D265,Параметры!Z$47,Параметры!Z$56,Параметры!Z$62)</f>
        <v>0.06</v>
      </c>
      <c r="AA275" s="321">
        <f>CHOOSE($D265,Параметры!AA$47,Параметры!AA$56,Параметры!AA$62)</f>
        <v>0.06</v>
      </c>
      <c r="AB275" s="321">
        <f>CHOOSE($D265,Параметры!AB$47,Параметры!AB$56,Параметры!AB$62)</f>
        <v>0.06</v>
      </c>
      <c r="AC275" s="321">
        <f>CHOOSE($D265,Параметры!AC$47,Параметры!AC$56,Параметры!AC$62)</f>
        <v>0.06</v>
      </c>
      <c r="AD275" s="321">
        <f>CHOOSE($D265,Параметры!AD$47,Параметры!AD$56,Параметры!AD$62)</f>
        <v>0.06</v>
      </c>
      <c r="AE275" s="321">
        <f>CHOOSE($D265,Параметры!AE$47,Параметры!AE$56,Параметры!AE$62)</f>
        <v>0.06</v>
      </c>
      <c r="AF275" s="321">
        <f>CHOOSE($D265,Параметры!AF$47,Параметры!AF$56,Параметры!AF$62)</f>
        <v>0.06</v>
      </c>
      <c r="AG275" s="321">
        <f>CHOOSE($D265,Параметры!AG$47,Параметры!AG$56,Параметры!AG$62)</f>
        <v>0.06</v>
      </c>
      <c r="AH275" s="321">
        <f>CHOOSE($D265,Параметры!AH$47,Параметры!AH$56,Параметры!AH$62)</f>
        <v>0.06</v>
      </c>
      <c r="AI275" s="321">
        <f>CHOOSE($D265,Параметры!AI$47,Параметры!AI$56,Параметры!AI$62)</f>
        <v>0.06</v>
      </c>
      <c r="AJ275" s="321">
        <f>CHOOSE($D265,Параметры!AJ$47,Параметры!AJ$56,Параметры!AJ$62)</f>
        <v>0.06</v>
      </c>
      <c r="AK275" s="321">
        <f>CHOOSE($D265,Параметры!AK$47,Параметры!AK$56,Параметры!AK$62)</f>
        <v>0.06</v>
      </c>
      <c r="AL275" s="321">
        <f>CHOOSE($D265,Параметры!AL$47,Параметры!AL$56,Параметры!AL$62)</f>
        <v>0.06</v>
      </c>
      <c r="AM275" s="321">
        <f>CHOOSE($D265,Параметры!AM$47,Параметры!AM$56,Параметры!AM$62)</f>
        <v>0.06</v>
      </c>
      <c r="AN275" s="321">
        <f>CHOOSE($D265,Параметры!AN$47,Параметры!AN$56,Параметры!AN$62)</f>
        <v>0.06</v>
      </c>
      <c r="AO275" s="321">
        <f>CHOOSE($D265,Параметры!AO$47,Параметры!AO$56,Параметры!AO$62)</f>
        <v>0.06</v>
      </c>
      <c r="AP275" s="321">
        <f>CHOOSE($D265,Параметры!AP$47,Параметры!AP$56,Параметры!AP$62)</f>
        <v>0.06</v>
      </c>
      <c r="AQ275" s="321">
        <f>CHOOSE($D265,Параметры!AQ$47,Параметры!AQ$56,Параметры!AQ$62)</f>
        <v>0.06</v>
      </c>
      <c r="AR275" s="321">
        <f>CHOOSE($D265,Параметры!AR$47,Параметры!AR$56,Параметры!AR$62)</f>
        <v>0.06</v>
      </c>
      <c r="AS275" s="321">
        <f>CHOOSE($D265,Параметры!AS$47,Параметры!AS$56,Параметры!AS$62)</f>
        <v>0.06</v>
      </c>
      <c r="AT275" s="321">
        <f>CHOOSE($D265,Параметры!AT$47,Параметры!AT$56,Параметры!AT$62)</f>
        <v>0.06</v>
      </c>
      <c r="AU275" s="321">
        <f>CHOOSE($D265,Параметры!AU$47,Параметры!AU$56,Параметры!AU$62)</f>
        <v>0.06</v>
      </c>
      <c r="AV275" s="321">
        <f>CHOOSE($D265,Параметры!AV$47,Параметры!AV$56,Параметры!AV$62)</f>
        <v>0.06</v>
      </c>
      <c r="AW275" s="183"/>
      <c r="AX275" s="184"/>
    </row>
    <row r="276" spans="1:50" hidden="1" outlineLevel="1" x14ac:dyDescent="0.2">
      <c r="A276" s="179" t="str">
        <f ca="1">Language!A$604</f>
        <v>ставка НДС</v>
      </c>
      <c r="B276" s="84"/>
      <c r="C276" s="82" t="s">
        <v>1</v>
      </c>
      <c r="D276" s="66"/>
      <c r="F276" s="57" t="s">
        <v>756</v>
      </c>
      <c r="G276" s="321">
        <f>Параметры!G$72*10/18</f>
        <v>9.9999999999999992E-2</v>
      </c>
      <c r="H276" s="321">
        <f>Параметры!H$72*10/18</f>
        <v>9.9999999999999992E-2</v>
      </c>
      <c r="I276" s="321">
        <f>Параметры!I$72*10/18</f>
        <v>9.9999999999999992E-2</v>
      </c>
      <c r="J276" s="321">
        <f>Параметры!J$72*10/18</f>
        <v>9.9999999999999992E-2</v>
      </c>
      <c r="K276" s="321">
        <f>Параметры!K$72*10/18</f>
        <v>9.9999999999999992E-2</v>
      </c>
      <c r="L276" s="321">
        <f>Параметры!L$72*10/18</f>
        <v>9.9999999999999992E-2</v>
      </c>
      <c r="M276" s="321">
        <f>Параметры!M$72*10/18</f>
        <v>9.9999999999999992E-2</v>
      </c>
      <c r="N276" s="321">
        <f>Параметры!N$72*10/18</f>
        <v>9.9999999999999992E-2</v>
      </c>
      <c r="O276" s="321">
        <f>Параметры!O$72*10/18</f>
        <v>9.9999999999999992E-2</v>
      </c>
      <c r="P276" s="321">
        <f>Параметры!P$72*10/18</f>
        <v>9.9999999999999992E-2</v>
      </c>
      <c r="Q276" s="321">
        <f>Параметры!Q$72*10/18</f>
        <v>9.9999999999999992E-2</v>
      </c>
      <c r="R276" s="321">
        <f>Параметры!R$72*10/18</f>
        <v>9.9999999999999992E-2</v>
      </c>
      <c r="S276" s="321">
        <f>Параметры!S$72*10/18</f>
        <v>9.9999999999999992E-2</v>
      </c>
      <c r="T276" s="321">
        <f>Параметры!T$72*10/18</f>
        <v>9.9999999999999992E-2</v>
      </c>
      <c r="U276" s="321">
        <f>Параметры!U$72*10/18</f>
        <v>9.9999999999999992E-2</v>
      </c>
      <c r="V276" s="321">
        <f>Параметры!V$72*10/18</f>
        <v>9.9999999999999992E-2</v>
      </c>
      <c r="W276" s="321">
        <f>Параметры!W$72*10/18</f>
        <v>9.9999999999999992E-2</v>
      </c>
      <c r="X276" s="321">
        <f>Параметры!X$72*10/18</f>
        <v>9.9999999999999992E-2</v>
      </c>
      <c r="Y276" s="321">
        <f>Параметры!Y$72*10/18</f>
        <v>9.9999999999999992E-2</v>
      </c>
      <c r="Z276" s="321">
        <f>Параметры!Z$72*10/18</f>
        <v>9.9999999999999992E-2</v>
      </c>
      <c r="AA276" s="321">
        <f>Параметры!AA$72*10/18</f>
        <v>9.9999999999999992E-2</v>
      </c>
      <c r="AB276" s="321">
        <f>Параметры!AB$72*10/18</f>
        <v>9.9999999999999992E-2</v>
      </c>
      <c r="AC276" s="321">
        <f>Параметры!AC$72*10/18</f>
        <v>9.9999999999999992E-2</v>
      </c>
      <c r="AD276" s="321">
        <f>Параметры!AD$72*10/18</f>
        <v>9.9999999999999992E-2</v>
      </c>
      <c r="AE276" s="321">
        <f>Параметры!AE$72*10/18</f>
        <v>9.9999999999999992E-2</v>
      </c>
      <c r="AF276" s="321">
        <f>Параметры!AF$72*10/18</f>
        <v>9.9999999999999992E-2</v>
      </c>
      <c r="AG276" s="321">
        <f>Параметры!AG$72*10/18</f>
        <v>9.9999999999999992E-2</v>
      </c>
      <c r="AH276" s="321">
        <f>Параметры!AH$72*10/18</f>
        <v>9.9999999999999992E-2</v>
      </c>
      <c r="AI276" s="321">
        <f>Параметры!AI$72*10/18</f>
        <v>9.9999999999999992E-2</v>
      </c>
      <c r="AJ276" s="321">
        <f>Параметры!AJ$72*10/18</f>
        <v>9.9999999999999992E-2</v>
      </c>
      <c r="AK276" s="321">
        <f>Параметры!AK$72*10/18</f>
        <v>9.9999999999999992E-2</v>
      </c>
      <c r="AL276" s="321">
        <f>Параметры!AL$72*10/18</f>
        <v>9.9999999999999992E-2</v>
      </c>
      <c r="AM276" s="321">
        <f>Параметры!AM$72*10/18</f>
        <v>9.9999999999999992E-2</v>
      </c>
      <c r="AN276" s="321">
        <f>Параметры!AN$72*10/18</f>
        <v>9.9999999999999992E-2</v>
      </c>
      <c r="AO276" s="321">
        <f>Параметры!AO$72*10/18</f>
        <v>9.9999999999999992E-2</v>
      </c>
      <c r="AP276" s="321">
        <f>Параметры!AP$72*10/18</f>
        <v>9.9999999999999992E-2</v>
      </c>
      <c r="AQ276" s="321">
        <f>Параметры!AQ$72*10/18</f>
        <v>9.9999999999999992E-2</v>
      </c>
      <c r="AR276" s="321">
        <f>Параметры!AR$72*10/18</f>
        <v>9.9999999999999992E-2</v>
      </c>
      <c r="AS276" s="321">
        <f>Параметры!AS$72*10/18</f>
        <v>9.9999999999999992E-2</v>
      </c>
      <c r="AT276" s="321">
        <f>Параметры!AT$72*10/18</f>
        <v>9.9999999999999992E-2</v>
      </c>
      <c r="AU276" s="321">
        <f>Параметры!AU$72*10/18</f>
        <v>9.9999999999999992E-2</v>
      </c>
      <c r="AV276" s="321">
        <f>Параметры!AV$72*10/18</f>
        <v>9.9999999999999992E-2</v>
      </c>
      <c r="AW276" s="183"/>
      <c r="AX276" s="87"/>
    </row>
    <row r="277" spans="1:50" hidden="1" outlineLevel="1" x14ac:dyDescent="0.2">
      <c r="A277" s="179" t="str">
        <f ca="1">Language!A$605</f>
        <v>акцизы, на единицу</v>
      </c>
      <c r="B277" s="66"/>
      <c r="C277" s="82" t="str">
        <f ca="1">CHOOSE(D277,CurName1,CurName2,CurName3)&amp;"/"&amp;C267</f>
        <v>тыс. руб./ц</v>
      </c>
      <c r="D277" s="66">
        <f>D265</f>
        <v>1</v>
      </c>
      <c r="F277" s="57" t="s">
        <v>756</v>
      </c>
      <c r="G277" s="319">
        <v>0</v>
      </c>
      <c r="H277" s="319">
        <f t="shared" ref="H277:H278" si="1545">G277</f>
        <v>0</v>
      </c>
      <c r="I277" s="319">
        <f t="shared" ref="I277:I278" si="1546">H277</f>
        <v>0</v>
      </c>
      <c r="J277" s="319">
        <f t="shared" ref="J277:J278" si="1547">I277</f>
        <v>0</v>
      </c>
      <c r="K277" s="319">
        <f t="shared" ref="K277:K278" si="1548">J277</f>
        <v>0</v>
      </c>
      <c r="L277" s="319">
        <f t="shared" ref="L277:L278" si="1549">K277</f>
        <v>0</v>
      </c>
      <c r="M277" s="319">
        <f t="shared" ref="M277:M278" si="1550">L277</f>
        <v>0</v>
      </c>
      <c r="N277" s="319">
        <f t="shared" ref="N277:N278" si="1551">M277</f>
        <v>0</v>
      </c>
      <c r="O277" s="319">
        <f t="shared" ref="O277:O278" si="1552">N277</f>
        <v>0</v>
      </c>
      <c r="P277" s="319">
        <f t="shared" ref="P277:P278" si="1553">O277</f>
        <v>0</v>
      </c>
      <c r="Q277" s="319">
        <f t="shared" ref="Q277:Q278" si="1554">P277</f>
        <v>0</v>
      </c>
      <c r="R277" s="319">
        <f t="shared" ref="R277:R278" si="1555">Q277</f>
        <v>0</v>
      </c>
      <c r="S277" s="319">
        <f t="shared" ref="S277:S278" si="1556">R277</f>
        <v>0</v>
      </c>
      <c r="T277" s="319">
        <f t="shared" ref="T277:T278" si="1557">S277</f>
        <v>0</v>
      </c>
      <c r="U277" s="319">
        <f t="shared" ref="U277:U278" si="1558">T277</f>
        <v>0</v>
      </c>
      <c r="V277" s="319">
        <f t="shared" ref="V277:V278" si="1559">U277</f>
        <v>0</v>
      </c>
      <c r="W277" s="319">
        <f t="shared" ref="W277:W278" si="1560">V277</f>
        <v>0</v>
      </c>
      <c r="X277" s="319">
        <f t="shared" ref="X277:X278" si="1561">W277</f>
        <v>0</v>
      </c>
      <c r="Y277" s="319">
        <f t="shared" ref="Y277:Y278" si="1562">X277</f>
        <v>0</v>
      </c>
      <c r="Z277" s="319">
        <f t="shared" ref="Z277:Z278" si="1563">Y277</f>
        <v>0</v>
      </c>
      <c r="AA277" s="319">
        <f t="shared" ref="AA277:AA278" si="1564">Z277</f>
        <v>0</v>
      </c>
      <c r="AB277" s="319">
        <f t="shared" ref="AB277:AB278" si="1565">AA277</f>
        <v>0</v>
      </c>
      <c r="AC277" s="319">
        <f t="shared" ref="AC277:AC278" si="1566">AB277</f>
        <v>0</v>
      </c>
      <c r="AD277" s="319">
        <f t="shared" ref="AD277:AD278" si="1567">AC277</f>
        <v>0</v>
      </c>
      <c r="AE277" s="319">
        <f t="shared" ref="AE277:AE278" si="1568">AD277</f>
        <v>0</v>
      </c>
      <c r="AF277" s="319">
        <f t="shared" ref="AF277:AF278" si="1569">AE277</f>
        <v>0</v>
      </c>
      <c r="AG277" s="319">
        <f t="shared" ref="AG277:AG278" si="1570">AF277</f>
        <v>0</v>
      </c>
      <c r="AH277" s="319">
        <f t="shared" ref="AH277:AH278" si="1571">AG277</f>
        <v>0</v>
      </c>
      <c r="AI277" s="319">
        <f t="shared" ref="AI277:AI278" si="1572">AH277</f>
        <v>0</v>
      </c>
      <c r="AJ277" s="319">
        <f t="shared" ref="AJ277:AJ278" si="1573">AI277</f>
        <v>0</v>
      </c>
      <c r="AK277" s="319">
        <f t="shared" ref="AK277:AK278" si="1574">AJ277</f>
        <v>0</v>
      </c>
      <c r="AL277" s="319">
        <f t="shared" ref="AL277:AL278" si="1575">AK277</f>
        <v>0</v>
      </c>
      <c r="AM277" s="319">
        <f t="shared" ref="AM277:AM278" si="1576">AL277</f>
        <v>0</v>
      </c>
      <c r="AN277" s="319">
        <f t="shared" ref="AN277:AN278" si="1577">AM277</f>
        <v>0</v>
      </c>
      <c r="AO277" s="319">
        <f t="shared" ref="AO277:AO278" si="1578">AN277</f>
        <v>0</v>
      </c>
      <c r="AP277" s="319">
        <f t="shared" ref="AP277:AP278" si="1579">AO277</f>
        <v>0</v>
      </c>
      <c r="AQ277" s="319">
        <f t="shared" ref="AQ277:AQ278" si="1580">AP277</f>
        <v>0</v>
      </c>
      <c r="AR277" s="319">
        <f t="shared" ref="AR277:AR278" si="1581">AQ277</f>
        <v>0</v>
      </c>
      <c r="AS277" s="319">
        <f t="shared" ref="AS277:AS278" si="1582">AR277</f>
        <v>0</v>
      </c>
      <c r="AT277" s="319">
        <f t="shared" ref="AT277:AT278" si="1583">AS277</f>
        <v>0</v>
      </c>
      <c r="AU277" s="319">
        <f t="shared" ref="AU277:AU278" si="1584">AT277</f>
        <v>0</v>
      </c>
      <c r="AV277" s="319">
        <f t="shared" ref="AV277:AV278" si="1585">AU277</f>
        <v>0</v>
      </c>
      <c r="AW277" s="180"/>
      <c r="AX277" s="87"/>
    </row>
    <row r="278" spans="1:50" hidden="1" outlineLevel="1" x14ac:dyDescent="0.2">
      <c r="A278" s="179" t="str">
        <f ca="1">Language!A$606</f>
        <v>ставка акцизов, в процентах</v>
      </c>
      <c r="B278" s="84"/>
      <c r="C278" s="82" t="s">
        <v>1</v>
      </c>
      <c r="D278" s="66"/>
      <c r="F278" s="57" t="s">
        <v>756</v>
      </c>
      <c r="G278" s="321">
        <v>0</v>
      </c>
      <c r="H278" s="321">
        <f t="shared" si="1545"/>
        <v>0</v>
      </c>
      <c r="I278" s="321">
        <f t="shared" si="1546"/>
        <v>0</v>
      </c>
      <c r="J278" s="321">
        <f t="shared" si="1547"/>
        <v>0</v>
      </c>
      <c r="K278" s="321">
        <f t="shared" si="1548"/>
        <v>0</v>
      </c>
      <c r="L278" s="321">
        <f t="shared" si="1549"/>
        <v>0</v>
      </c>
      <c r="M278" s="321">
        <f t="shared" si="1550"/>
        <v>0</v>
      </c>
      <c r="N278" s="321">
        <f t="shared" si="1551"/>
        <v>0</v>
      </c>
      <c r="O278" s="321">
        <f t="shared" si="1552"/>
        <v>0</v>
      </c>
      <c r="P278" s="321">
        <f t="shared" si="1553"/>
        <v>0</v>
      </c>
      <c r="Q278" s="321">
        <f t="shared" si="1554"/>
        <v>0</v>
      </c>
      <c r="R278" s="321">
        <f t="shared" si="1555"/>
        <v>0</v>
      </c>
      <c r="S278" s="321">
        <f t="shared" si="1556"/>
        <v>0</v>
      </c>
      <c r="T278" s="321">
        <f t="shared" si="1557"/>
        <v>0</v>
      </c>
      <c r="U278" s="321">
        <f t="shared" si="1558"/>
        <v>0</v>
      </c>
      <c r="V278" s="321">
        <f t="shared" si="1559"/>
        <v>0</v>
      </c>
      <c r="W278" s="321">
        <f t="shared" si="1560"/>
        <v>0</v>
      </c>
      <c r="X278" s="321">
        <f t="shared" si="1561"/>
        <v>0</v>
      </c>
      <c r="Y278" s="321">
        <f t="shared" si="1562"/>
        <v>0</v>
      </c>
      <c r="Z278" s="321">
        <f t="shared" si="1563"/>
        <v>0</v>
      </c>
      <c r="AA278" s="321">
        <f t="shared" si="1564"/>
        <v>0</v>
      </c>
      <c r="AB278" s="321">
        <f t="shared" si="1565"/>
        <v>0</v>
      </c>
      <c r="AC278" s="321">
        <f t="shared" si="1566"/>
        <v>0</v>
      </c>
      <c r="AD278" s="321">
        <f t="shared" si="1567"/>
        <v>0</v>
      </c>
      <c r="AE278" s="321">
        <f t="shared" si="1568"/>
        <v>0</v>
      </c>
      <c r="AF278" s="321">
        <f t="shared" si="1569"/>
        <v>0</v>
      </c>
      <c r="AG278" s="321">
        <f t="shared" si="1570"/>
        <v>0</v>
      </c>
      <c r="AH278" s="321">
        <f t="shared" si="1571"/>
        <v>0</v>
      </c>
      <c r="AI278" s="321">
        <f t="shared" si="1572"/>
        <v>0</v>
      </c>
      <c r="AJ278" s="321">
        <f t="shared" si="1573"/>
        <v>0</v>
      </c>
      <c r="AK278" s="321">
        <f t="shared" si="1574"/>
        <v>0</v>
      </c>
      <c r="AL278" s="321">
        <f t="shared" si="1575"/>
        <v>0</v>
      </c>
      <c r="AM278" s="321">
        <f t="shared" si="1576"/>
        <v>0</v>
      </c>
      <c r="AN278" s="321">
        <f t="shared" si="1577"/>
        <v>0</v>
      </c>
      <c r="AO278" s="321">
        <f t="shared" si="1578"/>
        <v>0</v>
      </c>
      <c r="AP278" s="321">
        <f t="shared" si="1579"/>
        <v>0</v>
      </c>
      <c r="AQ278" s="321">
        <f t="shared" si="1580"/>
        <v>0</v>
      </c>
      <c r="AR278" s="321">
        <f t="shared" si="1581"/>
        <v>0</v>
      </c>
      <c r="AS278" s="321">
        <f t="shared" si="1582"/>
        <v>0</v>
      </c>
      <c r="AT278" s="321">
        <f t="shared" si="1583"/>
        <v>0</v>
      </c>
      <c r="AU278" s="321">
        <f t="shared" si="1584"/>
        <v>0</v>
      </c>
      <c r="AV278" s="321">
        <f t="shared" si="1585"/>
        <v>0</v>
      </c>
      <c r="AW278" s="183"/>
      <c r="AX278" s="87"/>
    </row>
    <row r="279" spans="1:50" hidden="1" outlineLevel="1" x14ac:dyDescent="0.2">
      <c r="A279" s="179" t="str">
        <f ca="1">Language!A$607</f>
        <v>коэффициент прироста цен к предыдущему периоду</v>
      </c>
      <c r="B279" s="84"/>
      <c r="C279" s="82" t="str">
        <f ca="1">Language!$A$1449</f>
        <v>раз</v>
      </c>
      <c r="D279" s="66"/>
      <c r="F279" s="57" t="s">
        <v>756</v>
      </c>
      <c r="G279" s="86">
        <f ca="1">IF(G$2=1,1,IF(Prj_Inflation=1,POWER(1+OFFSET(G275,0,-1),Параметры!G$30/360),1))</f>
        <v>1</v>
      </c>
      <c r="H279" s="86">
        <f ca="1">IF(H$2=1,1,IF(Prj_Inflation=1,POWER(1+OFFSET(H275,0,-1),Параметры!H$30/360),1))</f>
        <v>1.0146738461686593</v>
      </c>
      <c r="I279" s="86">
        <f ca="1">IF(I$2=1,1,IF(Prj_Inflation=1,POWER(1+OFFSET(I275,0,-1),Параметры!I$30/360),1))</f>
        <v>1.0146738461686593</v>
      </c>
      <c r="J279" s="86">
        <f ca="1">IF(J$2=1,1,IF(Prj_Inflation=1,POWER(1+OFFSET(J275,0,-1),Параметры!J$30/360),1))</f>
        <v>1.0146738461686593</v>
      </c>
      <c r="K279" s="86">
        <f ca="1">IF(K$2=1,1,IF(Prj_Inflation=1,POWER(1+OFFSET(K275,0,-1),Параметры!K$30/360),1))</f>
        <v>1.0146738461686593</v>
      </c>
      <c r="L279" s="86">
        <f ca="1">IF(L$2=1,1,IF(Prj_Inflation=1,POWER(1+OFFSET(L275,0,-1),Параметры!L$30/360),1))</f>
        <v>1.0146738461686593</v>
      </c>
      <c r="M279" s="86">
        <f ca="1">IF(M$2=1,1,IF(Prj_Inflation=1,POWER(1+OFFSET(M275,0,-1),Параметры!M$30/360),1))</f>
        <v>1.0146738461686593</v>
      </c>
      <c r="N279" s="86">
        <f ca="1">IF(N$2=1,1,IF(Prj_Inflation=1,POWER(1+OFFSET(N275,0,-1),Параметры!N$30/360),1))</f>
        <v>1.0146738461686593</v>
      </c>
      <c r="O279" s="86">
        <f ca="1">IF(O$2=1,1,IF(Prj_Inflation=1,POWER(1+OFFSET(O275,0,-1),Параметры!O$30/360),1))</f>
        <v>1.0146738461686593</v>
      </c>
      <c r="P279" s="86">
        <f ca="1">IF(P$2=1,1,IF(Prj_Inflation=1,POWER(1+OFFSET(P275,0,-1),Параметры!P$30/360),1))</f>
        <v>1.0146738461686593</v>
      </c>
      <c r="Q279" s="86">
        <f ca="1">IF(Q$2=1,1,IF(Prj_Inflation=1,POWER(1+OFFSET(Q275,0,-1),Параметры!Q$30/360),1))</f>
        <v>1.0146738461686593</v>
      </c>
      <c r="R279" s="86">
        <f ca="1">IF(R$2=1,1,IF(Prj_Inflation=1,POWER(1+OFFSET(R275,0,-1),Параметры!R$30/360),1))</f>
        <v>1.0146738461686593</v>
      </c>
      <c r="S279" s="86">
        <f ca="1">IF(S$2=1,1,IF(Prj_Inflation=1,POWER(1+OFFSET(S275,0,-1),Параметры!S$30/360),1))</f>
        <v>1.0146738461686593</v>
      </c>
      <c r="T279" s="86">
        <f ca="1">IF(T$2=1,1,IF(Prj_Inflation=1,POWER(1+OFFSET(T275,0,-1),Параметры!T$30/360),1))</f>
        <v>1.0146738461686593</v>
      </c>
      <c r="U279" s="86">
        <f ca="1">IF(U$2=1,1,IF(Prj_Inflation=1,POWER(1+OFFSET(U275,0,-1),Параметры!U$30/360),1))</f>
        <v>1.0146738461686593</v>
      </c>
      <c r="V279" s="86">
        <f ca="1">IF(V$2=1,1,IF(Prj_Inflation=1,POWER(1+OFFSET(V275,0,-1),Параметры!V$30/360),1))</f>
        <v>1.0146738461686593</v>
      </c>
      <c r="W279" s="86">
        <f ca="1">IF(W$2=1,1,IF(Prj_Inflation=1,POWER(1+OFFSET(W275,0,-1),Параметры!W$30/360),1))</f>
        <v>1.0146738461686593</v>
      </c>
      <c r="X279" s="86">
        <f ca="1">IF(X$2=1,1,IF(Prj_Inflation=1,POWER(1+OFFSET(X275,0,-1),Параметры!X$30/360),1))</f>
        <v>1.0146738461686593</v>
      </c>
      <c r="Y279" s="86">
        <f ca="1">IF(Y$2=1,1,IF(Prj_Inflation=1,POWER(1+OFFSET(Y275,0,-1),Параметры!Y$30/360),1))</f>
        <v>1.0146738461686593</v>
      </c>
      <c r="Z279" s="86">
        <f ca="1">IF(Z$2=1,1,IF(Prj_Inflation=1,POWER(1+OFFSET(Z275,0,-1),Параметры!Z$30/360),1))</f>
        <v>1.0146738461686593</v>
      </c>
      <c r="AA279" s="86">
        <f ca="1">IF(AA$2=1,1,IF(Prj_Inflation=1,POWER(1+OFFSET(AA275,0,-1),Параметры!AA$30/360),1))</f>
        <v>1.0146738461686593</v>
      </c>
      <c r="AB279" s="86">
        <f ca="1">IF(AB$2=1,1,IF(Prj_Inflation=1,POWER(1+OFFSET(AB275,0,-1),Параметры!AB$30/360),1))</f>
        <v>1.0146738461686593</v>
      </c>
      <c r="AC279" s="86">
        <f ca="1">IF(AC$2=1,1,IF(Prj_Inflation=1,POWER(1+OFFSET(AC275,0,-1),Параметры!AC$30/360),1))</f>
        <v>1.0146738461686593</v>
      </c>
      <c r="AD279" s="86">
        <f ca="1">IF(AD$2=1,1,IF(Prj_Inflation=1,POWER(1+OFFSET(AD275,0,-1),Параметры!AD$30/360),1))</f>
        <v>1.0146738461686593</v>
      </c>
      <c r="AE279" s="86">
        <f ca="1">IF(AE$2=1,1,IF(Prj_Inflation=1,POWER(1+OFFSET(AE275,0,-1),Параметры!AE$30/360),1))</f>
        <v>1.0146738461686593</v>
      </c>
      <c r="AF279" s="86">
        <f ca="1">IF(AF$2=1,1,IF(Prj_Inflation=1,POWER(1+OFFSET(AF275,0,-1),Параметры!AF$30/360),1))</f>
        <v>1.0146738461686593</v>
      </c>
      <c r="AG279" s="86">
        <f ca="1">IF(AG$2=1,1,IF(Prj_Inflation=1,POWER(1+OFFSET(AG275,0,-1),Параметры!AG$30/360),1))</f>
        <v>1.0146738461686593</v>
      </c>
      <c r="AH279" s="86">
        <f ca="1">IF(AH$2=1,1,IF(Prj_Inflation=1,POWER(1+OFFSET(AH275,0,-1),Параметры!AH$30/360),1))</f>
        <v>1.0146738461686593</v>
      </c>
      <c r="AI279" s="86">
        <f ca="1">IF(AI$2=1,1,IF(Prj_Inflation=1,POWER(1+OFFSET(AI275,0,-1),Параметры!AI$30/360),1))</f>
        <v>1.0146738461686593</v>
      </c>
      <c r="AJ279" s="86">
        <f ca="1">IF(AJ$2=1,1,IF(Prj_Inflation=1,POWER(1+OFFSET(AJ275,0,-1),Параметры!AJ$30/360),1))</f>
        <v>1.0146738461686593</v>
      </c>
      <c r="AK279" s="86">
        <f ca="1">IF(AK$2=1,1,IF(Prj_Inflation=1,POWER(1+OFFSET(AK275,0,-1),Параметры!AK$30/360),1))</f>
        <v>1.0146738461686593</v>
      </c>
      <c r="AL279" s="86">
        <f ca="1">IF(AL$2=1,1,IF(Prj_Inflation=1,POWER(1+OFFSET(AL275,0,-1),Параметры!AL$30/360),1))</f>
        <v>1.0146738461686593</v>
      </c>
      <c r="AM279" s="86">
        <f ca="1">IF(AM$2=1,1,IF(Prj_Inflation=1,POWER(1+OFFSET(AM275,0,-1),Параметры!AM$30/360),1))</f>
        <v>1.0146738461686593</v>
      </c>
      <c r="AN279" s="86">
        <f ca="1">IF(AN$2=1,1,IF(Prj_Inflation=1,POWER(1+OFFSET(AN275,0,-1),Параметры!AN$30/360),1))</f>
        <v>1.0146738461686593</v>
      </c>
      <c r="AO279" s="86">
        <f ca="1">IF(AO$2=1,1,IF(Prj_Inflation=1,POWER(1+OFFSET(AO275,0,-1),Параметры!AO$30/360),1))</f>
        <v>1.0146738461686593</v>
      </c>
      <c r="AP279" s="86">
        <f ca="1">IF(AP$2=1,1,IF(Prj_Inflation=1,POWER(1+OFFSET(AP275,0,-1),Параметры!AP$30/360),1))</f>
        <v>1.0146738461686593</v>
      </c>
      <c r="AQ279" s="86">
        <f ca="1">IF(AQ$2=1,1,IF(Prj_Inflation=1,POWER(1+OFFSET(AQ275,0,-1),Параметры!AQ$30/360),1))</f>
        <v>1.0146738461686593</v>
      </c>
      <c r="AR279" s="86">
        <f ca="1">IF(AR$2=1,1,IF(Prj_Inflation=1,POWER(1+OFFSET(AR275,0,-1),Параметры!AR$30/360),1))</f>
        <v>1.0146738461686593</v>
      </c>
      <c r="AS279" s="86">
        <f ca="1">IF(AS$2=1,1,IF(Prj_Inflation=1,POWER(1+OFFSET(AS275,0,-1),Параметры!AS$30/360),1))</f>
        <v>1.0146738461686593</v>
      </c>
      <c r="AT279" s="86">
        <f ca="1">IF(AT$2=1,1,IF(Prj_Inflation=1,POWER(1+OFFSET(AT275,0,-1),Параметры!AT$30/360),1))</f>
        <v>1.0146738461686593</v>
      </c>
      <c r="AU279" s="86">
        <f ca="1">IF(AU$2=1,1,IF(Prj_Inflation=1,POWER(1+OFFSET(AU275,0,-1),Параметры!AU$30/360),1))</f>
        <v>1.0146738461686593</v>
      </c>
      <c r="AV279" s="86">
        <f ca="1">IF(AV$2=1,1,IF(Prj_Inflation=1,POWER(1+OFFSET(AV275,0,-1),Параметры!AV$30/360),1))</f>
        <v>1.0146738461686593</v>
      </c>
      <c r="AW279" s="86"/>
      <c r="AX279" s="87"/>
    </row>
    <row r="280" spans="1:50" hidden="1" outlineLevel="1" x14ac:dyDescent="0.2">
      <c r="A280" s="179" t="str">
        <f ca="1">Language!A$608</f>
        <v>акцизы начисленные</v>
      </c>
      <c r="B280" s="66"/>
      <c r="C280" s="82" t="str">
        <f ca="1">CHOOSE(D280,CurName1,CurName2,CurName3)</f>
        <v>тыс. руб.</v>
      </c>
      <c r="D280" s="155">
        <f>D265</f>
        <v>1</v>
      </c>
      <c r="E280" s="57" t="s">
        <v>996</v>
      </c>
      <c r="F280" s="57" t="s">
        <v>753</v>
      </c>
      <c r="G280" s="185">
        <f t="shared" ref="G280:AV280" ca="1" si="1586">G269*G278+G267*G277</f>
        <v>0</v>
      </c>
      <c r="H280" s="185">
        <f t="shared" ca="1" si="1586"/>
        <v>0</v>
      </c>
      <c r="I280" s="185">
        <f t="shared" ca="1" si="1586"/>
        <v>0</v>
      </c>
      <c r="J280" s="185">
        <f t="shared" ca="1" si="1586"/>
        <v>0</v>
      </c>
      <c r="K280" s="185">
        <f t="shared" ca="1" si="1586"/>
        <v>0</v>
      </c>
      <c r="L280" s="185">
        <f t="shared" ca="1" si="1586"/>
        <v>0</v>
      </c>
      <c r="M280" s="185">
        <f t="shared" ca="1" si="1586"/>
        <v>0</v>
      </c>
      <c r="N280" s="185">
        <f t="shared" ca="1" si="1586"/>
        <v>0</v>
      </c>
      <c r="O280" s="185">
        <f t="shared" ca="1" si="1586"/>
        <v>0</v>
      </c>
      <c r="P280" s="185">
        <f t="shared" ca="1" si="1586"/>
        <v>0</v>
      </c>
      <c r="Q280" s="185">
        <f t="shared" ca="1" si="1586"/>
        <v>0</v>
      </c>
      <c r="R280" s="185">
        <f t="shared" ca="1" si="1586"/>
        <v>0</v>
      </c>
      <c r="S280" s="185">
        <f t="shared" ca="1" si="1586"/>
        <v>0</v>
      </c>
      <c r="T280" s="185">
        <f t="shared" ca="1" si="1586"/>
        <v>0</v>
      </c>
      <c r="U280" s="185">
        <f t="shared" ca="1" si="1586"/>
        <v>0</v>
      </c>
      <c r="V280" s="185">
        <f t="shared" ca="1" si="1586"/>
        <v>0</v>
      </c>
      <c r="W280" s="185">
        <f t="shared" ca="1" si="1586"/>
        <v>0</v>
      </c>
      <c r="X280" s="185">
        <f t="shared" ca="1" si="1586"/>
        <v>0</v>
      </c>
      <c r="Y280" s="185">
        <f t="shared" ca="1" si="1586"/>
        <v>0</v>
      </c>
      <c r="Z280" s="185">
        <f t="shared" ca="1" si="1586"/>
        <v>0</v>
      </c>
      <c r="AA280" s="185">
        <f t="shared" ca="1" si="1586"/>
        <v>0</v>
      </c>
      <c r="AB280" s="185">
        <f t="shared" ca="1" si="1586"/>
        <v>0</v>
      </c>
      <c r="AC280" s="185">
        <f t="shared" ca="1" si="1586"/>
        <v>0</v>
      </c>
      <c r="AD280" s="185">
        <f t="shared" ca="1" si="1586"/>
        <v>0</v>
      </c>
      <c r="AE280" s="185">
        <f t="shared" ca="1" si="1586"/>
        <v>0</v>
      </c>
      <c r="AF280" s="185">
        <f t="shared" ca="1" si="1586"/>
        <v>0</v>
      </c>
      <c r="AG280" s="185">
        <f t="shared" ca="1" si="1586"/>
        <v>0</v>
      </c>
      <c r="AH280" s="185">
        <f t="shared" ca="1" si="1586"/>
        <v>0</v>
      </c>
      <c r="AI280" s="185">
        <f t="shared" ca="1" si="1586"/>
        <v>0</v>
      </c>
      <c r="AJ280" s="185">
        <f t="shared" ca="1" si="1586"/>
        <v>0</v>
      </c>
      <c r="AK280" s="185">
        <f t="shared" ca="1" si="1586"/>
        <v>0</v>
      </c>
      <c r="AL280" s="185">
        <f t="shared" ca="1" si="1586"/>
        <v>0</v>
      </c>
      <c r="AM280" s="185">
        <f t="shared" ca="1" si="1586"/>
        <v>0</v>
      </c>
      <c r="AN280" s="185">
        <f t="shared" ca="1" si="1586"/>
        <v>0</v>
      </c>
      <c r="AO280" s="185">
        <f t="shared" ca="1" si="1586"/>
        <v>0</v>
      </c>
      <c r="AP280" s="185">
        <f t="shared" ca="1" si="1586"/>
        <v>0</v>
      </c>
      <c r="AQ280" s="185">
        <f t="shared" ca="1" si="1586"/>
        <v>0</v>
      </c>
      <c r="AR280" s="185">
        <f t="shared" ca="1" si="1586"/>
        <v>0</v>
      </c>
      <c r="AS280" s="185">
        <f t="shared" ca="1" si="1586"/>
        <v>0</v>
      </c>
      <c r="AT280" s="185">
        <f t="shared" ca="1" si="1586"/>
        <v>0</v>
      </c>
      <c r="AU280" s="185">
        <f t="shared" ca="1" si="1586"/>
        <v>0</v>
      </c>
      <c r="AV280" s="185">
        <f t="shared" ca="1" si="1586"/>
        <v>0</v>
      </c>
      <c r="AW280" s="180"/>
      <c r="AX280" s="169">
        <f ca="1">SUM(G280:AW280)</f>
        <v>0</v>
      </c>
    </row>
    <row r="281" spans="1:50" hidden="1" outlineLevel="1" x14ac:dyDescent="0.2">
      <c r="A281" s="179" t="str">
        <f ca="1">Language!A$609</f>
        <v>НДС начисленный</v>
      </c>
      <c r="B281" s="66"/>
      <c r="C281" s="82" t="str">
        <f ca="1">CHOOSE(D281,CurName1,CurName2,CurName3)</f>
        <v>тыс. руб.</v>
      </c>
      <c r="D281" s="155">
        <f>D265</f>
        <v>1</v>
      </c>
      <c r="E281" s="57" t="s">
        <v>789</v>
      </c>
      <c r="F281" s="57" t="s">
        <v>753</v>
      </c>
      <c r="G281" s="185">
        <f t="shared" ref="G281:AV281" ca="1" si="1587">(G269+G280)*G276</f>
        <v>9188.5499999999993</v>
      </c>
      <c r="H281" s="185">
        <f t="shared" ca="1" si="1587"/>
        <v>0</v>
      </c>
      <c r="I281" s="185">
        <f t="shared" ca="1" si="1587"/>
        <v>0</v>
      </c>
      <c r="J281" s="185">
        <f t="shared" ca="1" si="1587"/>
        <v>0</v>
      </c>
      <c r="K281" s="185">
        <f t="shared" ca="1" si="1587"/>
        <v>8510.1760799999993</v>
      </c>
      <c r="L281" s="185">
        <f t="shared" ca="1" si="1587"/>
        <v>0</v>
      </c>
      <c r="M281" s="185">
        <f t="shared" ca="1" si="1587"/>
        <v>0</v>
      </c>
      <c r="N281" s="185">
        <f t="shared" ca="1" si="1587"/>
        <v>0</v>
      </c>
      <c r="O281" s="185">
        <f t="shared" ca="1" si="1587"/>
        <v>10227.701584800001</v>
      </c>
      <c r="P281" s="185">
        <f t="shared" ca="1" si="1587"/>
        <v>0</v>
      </c>
      <c r="Q281" s="185">
        <f t="shared" ca="1" si="1587"/>
        <v>0</v>
      </c>
      <c r="R281" s="185">
        <f t="shared" ca="1" si="1587"/>
        <v>0</v>
      </c>
      <c r="S281" s="185">
        <f t="shared" ca="1" si="1587"/>
        <v>10841.363679888002</v>
      </c>
      <c r="T281" s="185">
        <f t="shared" ca="1" si="1587"/>
        <v>0</v>
      </c>
      <c r="U281" s="185">
        <f t="shared" ca="1" si="1587"/>
        <v>0</v>
      </c>
      <c r="V281" s="185">
        <f t="shared" ca="1" si="1587"/>
        <v>0</v>
      </c>
      <c r="W281" s="185">
        <f t="shared" ca="1" si="1587"/>
        <v>11491.845500681284</v>
      </c>
      <c r="X281" s="185">
        <f t="shared" ca="1" si="1587"/>
        <v>0</v>
      </c>
      <c r="Y281" s="185">
        <f t="shared" ca="1" si="1587"/>
        <v>0</v>
      </c>
      <c r="Z281" s="185">
        <f t="shared" ca="1" si="1587"/>
        <v>0</v>
      </c>
      <c r="AA281" s="185">
        <f t="shared" ca="1" si="1587"/>
        <v>12181.356230722162</v>
      </c>
      <c r="AB281" s="185">
        <f t="shared" ca="1" si="1587"/>
        <v>0</v>
      </c>
      <c r="AC281" s="185">
        <f t="shared" ca="1" si="1587"/>
        <v>0</v>
      </c>
      <c r="AD281" s="185">
        <f t="shared" ca="1" si="1587"/>
        <v>0</v>
      </c>
      <c r="AE281" s="185">
        <f t="shared" ca="1" si="1587"/>
        <v>12912.237604565495</v>
      </c>
      <c r="AF281" s="185">
        <f t="shared" ca="1" si="1587"/>
        <v>0</v>
      </c>
      <c r="AG281" s="185">
        <f t="shared" ca="1" si="1587"/>
        <v>0</v>
      </c>
      <c r="AH281" s="185">
        <f t="shared" ca="1" si="1587"/>
        <v>0</v>
      </c>
      <c r="AI281" s="185">
        <f t="shared" ca="1" si="1587"/>
        <v>13686.971860839429</v>
      </c>
      <c r="AJ281" s="185">
        <f t="shared" ca="1" si="1587"/>
        <v>0</v>
      </c>
      <c r="AK281" s="185">
        <f t="shared" ca="1" si="1587"/>
        <v>0</v>
      </c>
      <c r="AL281" s="185">
        <f t="shared" ca="1" si="1587"/>
        <v>0</v>
      </c>
      <c r="AM281" s="185">
        <f t="shared" ca="1" si="1587"/>
        <v>14508.190172489793</v>
      </c>
      <c r="AN281" s="185">
        <f t="shared" ca="1" si="1587"/>
        <v>0</v>
      </c>
      <c r="AO281" s="185">
        <f t="shared" ca="1" si="1587"/>
        <v>0</v>
      </c>
      <c r="AP281" s="185">
        <f t="shared" ca="1" si="1587"/>
        <v>0</v>
      </c>
      <c r="AQ281" s="185">
        <f t="shared" ca="1" si="1587"/>
        <v>15378.681582839183</v>
      </c>
      <c r="AR281" s="185">
        <f t="shared" ca="1" si="1587"/>
        <v>0</v>
      </c>
      <c r="AS281" s="185">
        <f t="shared" ca="1" si="1587"/>
        <v>0</v>
      </c>
      <c r="AT281" s="185">
        <f t="shared" ca="1" si="1587"/>
        <v>0</v>
      </c>
      <c r="AU281" s="185">
        <f t="shared" ca="1" si="1587"/>
        <v>16301.402477809535</v>
      </c>
      <c r="AV281" s="185">
        <f t="shared" ca="1" si="1587"/>
        <v>0</v>
      </c>
      <c r="AW281" s="180"/>
      <c r="AX281" s="169">
        <f ca="1">SUM(G281:AW281)</f>
        <v>135228.47677463488</v>
      </c>
    </row>
    <row r="282" spans="1:50" hidden="1" outlineLevel="1" x14ac:dyDescent="0.2">
      <c r="A282" s="179" t="str">
        <f ca="1">Language!A$610</f>
        <v>НДС полученный с авансов</v>
      </c>
      <c r="B282" s="66"/>
      <c r="C282" s="82" t="str">
        <f ca="1">CHOOSE(D282,CurName1,CurName2,CurName3)</f>
        <v>тыс. руб.</v>
      </c>
      <c r="D282" s="155">
        <f>D265</f>
        <v>1</v>
      </c>
      <c r="E282" s="57" t="s">
        <v>1450</v>
      </c>
      <c r="F282" s="57" t="s">
        <v>753</v>
      </c>
      <c r="G282" s="185">
        <f ca="1">G272*G276/(1+G276)</f>
        <v>0</v>
      </c>
      <c r="H282" s="185">
        <f t="shared" ref="H282:AV282" ca="1" si="1588">H272*H276/(1+H276)</f>
        <v>0</v>
      </c>
      <c r="I282" s="185">
        <f t="shared" ca="1" si="1588"/>
        <v>0</v>
      </c>
      <c r="J282" s="185">
        <f t="shared" ca="1" si="1588"/>
        <v>0</v>
      </c>
      <c r="K282" s="185">
        <f t="shared" ca="1" si="1588"/>
        <v>0</v>
      </c>
      <c r="L282" s="185">
        <f t="shared" ca="1" si="1588"/>
        <v>0</v>
      </c>
      <c r="M282" s="185">
        <f t="shared" ca="1" si="1588"/>
        <v>0</v>
      </c>
      <c r="N282" s="185">
        <f t="shared" ca="1" si="1588"/>
        <v>0</v>
      </c>
      <c r="O282" s="185">
        <f t="shared" ca="1" si="1588"/>
        <v>0</v>
      </c>
      <c r="P282" s="185">
        <f t="shared" ca="1" si="1588"/>
        <v>0</v>
      </c>
      <c r="Q282" s="185">
        <f t="shared" ca="1" si="1588"/>
        <v>0</v>
      </c>
      <c r="R282" s="185">
        <f t="shared" ca="1" si="1588"/>
        <v>0</v>
      </c>
      <c r="S282" s="185">
        <f t="shared" ca="1" si="1588"/>
        <v>0</v>
      </c>
      <c r="T282" s="185">
        <f t="shared" ca="1" si="1588"/>
        <v>0</v>
      </c>
      <c r="U282" s="185">
        <f t="shared" ca="1" si="1588"/>
        <v>0</v>
      </c>
      <c r="V282" s="185">
        <f t="shared" ca="1" si="1588"/>
        <v>0</v>
      </c>
      <c r="W282" s="185">
        <f t="shared" ca="1" si="1588"/>
        <v>0</v>
      </c>
      <c r="X282" s="185">
        <f t="shared" ca="1" si="1588"/>
        <v>0</v>
      </c>
      <c r="Y282" s="185">
        <f t="shared" ca="1" si="1588"/>
        <v>0</v>
      </c>
      <c r="Z282" s="185">
        <f t="shared" ca="1" si="1588"/>
        <v>0</v>
      </c>
      <c r="AA282" s="185">
        <f t="shared" ca="1" si="1588"/>
        <v>0</v>
      </c>
      <c r="AB282" s="185">
        <f t="shared" ca="1" si="1588"/>
        <v>0</v>
      </c>
      <c r="AC282" s="185">
        <f t="shared" ca="1" si="1588"/>
        <v>0</v>
      </c>
      <c r="AD282" s="185">
        <f t="shared" ca="1" si="1588"/>
        <v>0</v>
      </c>
      <c r="AE282" s="185">
        <f t="shared" ca="1" si="1588"/>
        <v>0</v>
      </c>
      <c r="AF282" s="185">
        <f t="shared" ca="1" si="1588"/>
        <v>0</v>
      </c>
      <c r="AG282" s="185">
        <f t="shared" ca="1" si="1588"/>
        <v>0</v>
      </c>
      <c r="AH282" s="185">
        <f t="shared" ca="1" si="1588"/>
        <v>0</v>
      </c>
      <c r="AI282" s="185">
        <f t="shared" ca="1" si="1588"/>
        <v>0</v>
      </c>
      <c r="AJ282" s="185">
        <f t="shared" ca="1" si="1588"/>
        <v>0</v>
      </c>
      <c r="AK282" s="185">
        <f t="shared" ca="1" si="1588"/>
        <v>0</v>
      </c>
      <c r="AL282" s="185">
        <f t="shared" ca="1" si="1588"/>
        <v>0</v>
      </c>
      <c r="AM282" s="185">
        <f t="shared" ca="1" si="1588"/>
        <v>0</v>
      </c>
      <c r="AN282" s="185">
        <f t="shared" ca="1" si="1588"/>
        <v>0</v>
      </c>
      <c r="AO282" s="185">
        <f t="shared" ca="1" si="1588"/>
        <v>0</v>
      </c>
      <c r="AP282" s="185">
        <f t="shared" ca="1" si="1588"/>
        <v>0</v>
      </c>
      <c r="AQ282" s="185">
        <f t="shared" ca="1" si="1588"/>
        <v>0</v>
      </c>
      <c r="AR282" s="185">
        <f t="shared" ca="1" si="1588"/>
        <v>0</v>
      </c>
      <c r="AS282" s="185">
        <f t="shared" ca="1" si="1588"/>
        <v>0</v>
      </c>
      <c r="AT282" s="185">
        <f t="shared" ca="1" si="1588"/>
        <v>0</v>
      </c>
      <c r="AU282" s="185">
        <f t="shared" ca="1" si="1588"/>
        <v>0</v>
      </c>
      <c r="AV282" s="185">
        <f t="shared" ca="1" si="1588"/>
        <v>0</v>
      </c>
      <c r="AW282" s="180"/>
      <c r="AX282" s="169">
        <f ca="1">SUM(G282:AW282)</f>
        <v>0</v>
      </c>
    </row>
    <row r="283" spans="1:50" x14ac:dyDescent="0.2">
      <c r="A283" s="317" t="s">
        <v>2295</v>
      </c>
      <c r="B283" s="102"/>
      <c r="C283" s="166"/>
      <c r="D283" s="158">
        <v>1</v>
      </c>
      <c r="F283" s="57" t="s">
        <v>2288</v>
      </c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150"/>
    </row>
    <row r="284" spans="1:50" hidden="1" x14ac:dyDescent="0.2">
      <c r="A284" s="172" t="str">
        <f ca="1">Language!A$594</f>
        <v>коэффициент загрузки</v>
      </c>
      <c r="B284" s="173"/>
      <c r="C284" s="173"/>
      <c r="D284" s="174"/>
      <c r="F284" s="57" t="s">
        <v>756</v>
      </c>
      <c r="G284" s="318">
        <f t="shared" ref="G284:AV284" si="1589">IF(G$2&gt;Prj_Invest,1,0)</f>
        <v>1</v>
      </c>
      <c r="H284" s="318">
        <f t="shared" si="1589"/>
        <v>1</v>
      </c>
      <c r="I284" s="318">
        <f t="shared" si="1589"/>
        <v>1</v>
      </c>
      <c r="J284" s="318">
        <f t="shared" si="1589"/>
        <v>1</v>
      </c>
      <c r="K284" s="318">
        <f t="shared" si="1589"/>
        <v>1</v>
      </c>
      <c r="L284" s="318">
        <f t="shared" si="1589"/>
        <v>1</v>
      </c>
      <c r="M284" s="318">
        <f t="shared" si="1589"/>
        <v>1</v>
      </c>
      <c r="N284" s="318">
        <f t="shared" si="1589"/>
        <v>1</v>
      </c>
      <c r="O284" s="318">
        <f t="shared" si="1589"/>
        <v>1</v>
      </c>
      <c r="P284" s="318">
        <f t="shared" si="1589"/>
        <v>1</v>
      </c>
      <c r="Q284" s="318">
        <f t="shared" si="1589"/>
        <v>1</v>
      </c>
      <c r="R284" s="318">
        <f t="shared" si="1589"/>
        <v>1</v>
      </c>
      <c r="S284" s="318">
        <f t="shared" si="1589"/>
        <v>1</v>
      </c>
      <c r="T284" s="318">
        <f t="shared" si="1589"/>
        <v>1</v>
      </c>
      <c r="U284" s="318">
        <f t="shared" si="1589"/>
        <v>1</v>
      </c>
      <c r="V284" s="318">
        <f t="shared" si="1589"/>
        <v>1</v>
      </c>
      <c r="W284" s="318">
        <f t="shared" si="1589"/>
        <v>1</v>
      </c>
      <c r="X284" s="318">
        <f t="shared" si="1589"/>
        <v>1</v>
      </c>
      <c r="Y284" s="318">
        <f t="shared" si="1589"/>
        <v>1</v>
      </c>
      <c r="Z284" s="318">
        <f t="shared" si="1589"/>
        <v>1</v>
      </c>
      <c r="AA284" s="318">
        <f t="shared" si="1589"/>
        <v>1</v>
      </c>
      <c r="AB284" s="318">
        <f t="shared" si="1589"/>
        <v>1</v>
      </c>
      <c r="AC284" s="318">
        <f t="shared" si="1589"/>
        <v>1</v>
      </c>
      <c r="AD284" s="318">
        <f t="shared" si="1589"/>
        <v>1</v>
      </c>
      <c r="AE284" s="318">
        <f t="shared" si="1589"/>
        <v>1</v>
      </c>
      <c r="AF284" s="318">
        <f t="shared" si="1589"/>
        <v>1</v>
      </c>
      <c r="AG284" s="318">
        <f t="shared" si="1589"/>
        <v>1</v>
      </c>
      <c r="AH284" s="318">
        <f t="shared" si="1589"/>
        <v>1</v>
      </c>
      <c r="AI284" s="318">
        <f t="shared" si="1589"/>
        <v>1</v>
      </c>
      <c r="AJ284" s="318">
        <f t="shared" si="1589"/>
        <v>1</v>
      </c>
      <c r="AK284" s="318">
        <f t="shared" si="1589"/>
        <v>1</v>
      </c>
      <c r="AL284" s="318">
        <f t="shared" si="1589"/>
        <v>1</v>
      </c>
      <c r="AM284" s="318">
        <f t="shared" si="1589"/>
        <v>1</v>
      </c>
      <c r="AN284" s="318">
        <f t="shared" si="1589"/>
        <v>1</v>
      </c>
      <c r="AO284" s="318">
        <f t="shared" si="1589"/>
        <v>1</v>
      </c>
      <c r="AP284" s="318">
        <f t="shared" si="1589"/>
        <v>1</v>
      </c>
      <c r="AQ284" s="318">
        <f t="shared" si="1589"/>
        <v>1</v>
      </c>
      <c r="AR284" s="318">
        <f t="shared" si="1589"/>
        <v>1</v>
      </c>
      <c r="AS284" s="318">
        <f t="shared" si="1589"/>
        <v>1</v>
      </c>
      <c r="AT284" s="318">
        <f t="shared" si="1589"/>
        <v>1</v>
      </c>
      <c r="AU284" s="318">
        <f t="shared" si="1589"/>
        <v>1</v>
      </c>
      <c r="AV284" s="318">
        <f t="shared" si="1589"/>
        <v>1</v>
      </c>
      <c r="AW284" s="175"/>
      <c r="AX284" s="117"/>
    </row>
    <row r="285" spans="1:50" x14ac:dyDescent="0.2">
      <c r="A285" s="172" t="str">
        <f ca="1">Language!A$595</f>
        <v>объем продаж за период</v>
      </c>
      <c r="B285" s="337"/>
      <c r="C285" s="313" t="s">
        <v>2275</v>
      </c>
      <c r="D285" s="174"/>
      <c r="E285" s="57" t="s">
        <v>950</v>
      </c>
      <c r="F285" s="57" t="s">
        <v>753</v>
      </c>
      <c r="G285" s="311">
        <f t="shared" ref="G285:AV285" si="1590">G69</f>
        <v>17785</v>
      </c>
      <c r="H285" s="311">
        <f t="shared" si="1590"/>
        <v>0</v>
      </c>
      <c r="I285" s="311">
        <f t="shared" si="1590"/>
        <v>0</v>
      </c>
      <c r="J285" s="311">
        <f t="shared" si="1590"/>
        <v>0</v>
      </c>
      <c r="K285" s="311">
        <f t="shared" si="1590"/>
        <v>62160</v>
      </c>
      <c r="L285" s="311">
        <f t="shared" si="1590"/>
        <v>0</v>
      </c>
      <c r="M285" s="311">
        <f t="shared" si="1590"/>
        <v>0</v>
      </c>
      <c r="N285" s="311">
        <f t="shared" si="1590"/>
        <v>0</v>
      </c>
      <c r="O285" s="311">
        <f t="shared" si="1590"/>
        <v>62160</v>
      </c>
      <c r="P285" s="311">
        <f t="shared" si="1590"/>
        <v>0</v>
      </c>
      <c r="Q285" s="311">
        <f t="shared" si="1590"/>
        <v>0</v>
      </c>
      <c r="R285" s="311">
        <f t="shared" si="1590"/>
        <v>0</v>
      </c>
      <c r="S285" s="311">
        <f t="shared" si="1590"/>
        <v>62160</v>
      </c>
      <c r="T285" s="311">
        <f t="shared" si="1590"/>
        <v>0</v>
      </c>
      <c r="U285" s="311">
        <f t="shared" si="1590"/>
        <v>0</v>
      </c>
      <c r="V285" s="311">
        <f t="shared" si="1590"/>
        <v>0</v>
      </c>
      <c r="W285" s="311">
        <f t="shared" si="1590"/>
        <v>62160</v>
      </c>
      <c r="X285" s="311">
        <f t="shared" si="1590"/>
        <v>0</v>
      </c>
      <c r="Y285" s="311">
        <f t="shared" si="1590"/>
        <v>0</v>
      </c>
      <c r="Z285" s="311">
        <f t="shared" si="1590"/>
        <v>0</v>
      </c>
      <c r="AA285" s="311">
        <f t="shared" si="1590"/>
        <v>62160</v>
      </c>
      <c r="AB285" s="311">
        <f t="shared" si="1590"/>
        <v>0</v>
      </c>
      <c r="AC285" s="311">
        <f t="shared" si="1590"/>
        <v>0</v>
      </c>
      <c r="AD285" s="311">
        <f t="shared" si="1590"/>
        <v>0</v>
      </c>
      <c r="AE285" s="311">
        <f t="shared" si="1590"/>
        <v>62160</v>
      </c>
      <c r="AF285" s="311">
        <f t="shared" si="1590"/>
        <v>0</v>
      </c>
      <c r="AG285" s="311">
        <f t="shared" si="1590"/>
        <v>0</v>
      </c>
      <c r="AH285" s="311">
        <f t="shared" si="1590"/>
        <v>0</v>
      </c>
      <c r="AI285" s="311">
        <f t="shared" si="1590"/>
        <v>62160</v>
      </c>
      <c r="AJ285" s="311">
        <f t="shared" si="1590"/>
        <v>0</v>
      </c>
      <c r="AK285" s="311">
        <f t="shared" si="1590"/>
        <v>0</v>
      </c>
      <c r="AL285" s="311">
        <f t="shared" si="1590"/>
        <v>0</v>
      </c>
      <c r="AM285" s="311">
        <f t="shared" si="1590"/>
        <v>62160</v>
      </c>
      <c r="AN285" s="311">
        <f t="shared" si="1590"/>
        <v>0</v>
      </c>
      <c r="AO285" s="311">
        <f t="shared" si="1590"/>
        <v>0</v>
      </c>
      <c r="AP285" s="311">
        <f t="shared" si="1590"/>
        <v>0</v>
      </c>
      <c r="AQ285" s="311">
        <f t="shared" si="1590"/>
        <v>62160</v>
      </c>
      <c r="AR285" s="311">
        <f t="shared" si="1590"/>
        <v>0</v>
      </c>
      <c r="AS285" s="311">
        <f t="shared" si="1590"/>
        <v>0</v>
      </c>
      <c r="AT285" s="311">
        <f t="shared" si="1590"/>
        <v>0</v>
      </c>
      <c r="AU285" s="311">
        <f t="shared" si="1590"/>
        <v>62160</v>
      </c>
      <c r="AV285" s="311">
        <f t="shared" si="1590"/>
        <v>0</v>
      </c>
      <c r="AW285" s="148"/>
      <c r="AX285" s="171">
        <f>SUM(G285:AW285)</f>
        <v>639385</v>
      </c>
    </row>
    <row r="286" spans="1:50" x14ac:dyDescent="0.2">
      <c r="A286" s="83" t="str">
        <f ca="1">Language!A$596 &amp; C285 &amp; Language!A$1457</f>
        <v>цена за единицу (ц), без НДС</v>
      </c>
      <c r="B286" s="322">
        <v>0.75</v>
      </c>
      <c r="C286" s="146" t="str">
        <f ca="1">CHOOSE(D283,CurName1,CurName2,CurName3)</f>
        <v>тыс. руб.</v>
      </c>
      <c r="E286" s="57" t="s">
        <v>848</v>
      </c>
      <c r="F286" s="57" t="s">
        <v>756</v>
      </c>
      <c r="G286" s="323">
        <f t="shared" ref="G286" ca="1" si="1591">IF(G$2=1,$B286,F286)*G297</f>
        <v>0.75</v>
      </c>
      <c r="H286" s="323">
        <f t="shared" ref="H286" ca="1" si="1592">IF(H$2=1,$B286,G286)*H297</f>
        <v>0.76100538462649447</v>
      </c>
      <c r="I286" s="323">
        <f t="shared" ref="I286" ca="1" si="1593">IF(I$2=1,$B286,H286)*I297</f>
        <v>0.7721722605740251</v>
      </c>
      <c r="J286" s="323">
        <f t="shared" ref="J286" ca="1" si="1594">IF(J$2=1,$B286,I286)*J297</f>
        <v>0.7835029975413943</v>
      </c>
      <c r="K286" s="323">
        <f t="shared" ref="K286" ca="1" si="1595">IF(K$2=1,$B286,J286)*K297</f>
        <v>0.79500000000000015</v>
      </c>
      <c r="L286" s="323">
        <f t="shared" ref="L286" ca="1" si="1596">IF(L$2=1,$B286,K286)*L297</f>
        <v>0.8066657077040843</v>
      </c>
      <c r="M286" s="323">
        <f t="shared" ref="M286" ca="1" si="1597">IF(M$2=1,$B286,L286)*M297</f>
        <v>0.81850259620846677</v>
      </c>
      <c r="N286" s="323">
        <f t="shared" ref="N286" ca="1" si="1598">IF(N$2=1,$B286,M286)*N297</f>
        <v>0.83051317739387809</v>
      </c>
      <c r="O286" s="323">
        <f t="shared" ref="O286" ca="1" si="1599">IF(O$2=1,$B286,N286)*O297</f>
        <v>0.84270000000000034</v>
      </c>
      <c r="P286" s="323">
        <f t="shared" ref="P286" ca="1" si="1600">IF(P$2=1,$B286,O286)*P297</f>
        <v>0.85506565016632952</v>
      </c>
      <c r="Q286" s="323">
        <f t="shared" ref="Q286" ca="1" si="1601">IF(Q$2=1,$B286,P286)*Q297</f>
        <v>0.86761275198097487</v>
      </c>
      <c r="R286" s="323">
        <f t="shared" ref="R286" ca="1" si="1602">IF(R$2=1,$B286,Q286)*R297</f>
        <v>0.8803439680375108</v>
      </c>
      <c r="S286" s="323">
        <f t="shared" ref="S286" ca="1" si="1603">IF(S$2=1,$B286,R286)*S297</f>
        <v>0.89326200000000033</v>
      </c>
      <c r="T286" s="323">
        <f t="shared" ref="T286" ca="1" si="1604">IF(T$2=1,$B286,S286)*T297</f>
        <v>0.90636958917630928</v>
      </c>
      <c r="U286" s="323">
        <f t="shared" ref="U286" ca="1" si="1605">IF(U$2=1,$B286,T286)*U297</f>
        <v>0.91966951709983336</v>
      </c>
      <c r="V286" s="323">
        <f t="shared" ref="V286" ca="1" si="1606">IF(V$2=1,$B286,U286)*V297</f>
        <v>0.93316460611976149</v>
      </c>
      <c r="W286" s="323">
        <f t="shared" ref="W286" ca="1" si="1607">IF(W$2=1,$B286,V286)*W297</f>
        <v>0.94685772000000046</v>
      </c>
      <c r="X286" s="323">
        <f t="shared" ref="X286" ca="1" si="1608">IF(X$2=1,$B286,W286)*X297</f>
        <v>0.96075176452688793</v>
      </c>
      <c r="Y286" s="323">
        <f t="shared" ref="Y286" ca="1" si="1609">IF(Y$2=1,$B286,X286)*Y297</f>
        <v>0.97484968812582351</v>
      </c>
      <c r="Z286" s="323">
        <f t="shared" ref="Z286" ca="1" si="1610">IF(Z$2=1,$B286,Y286)*Z297</f>
        <v>0.98915448248694737</v>
      </c>
      <c r="AA286" s="323">
        <f t="shared" ref="AA286" ca="1" si="1611">IF(AA$2=1,$B286,Z286)*AA297</f>
        <v>1.0036691832000006</v>
      </c>
      <c r="AB286" s="323">
        <f t="shared" ref="AB286" ca="1" si="1612">IF(AB$2=1,$B286,AA286)*AB297</f>
        <v>1.0183968703985014</v>
      </c>
      <c r="AC286" s="323">
        <f t="shared" ref="AC286" ca="1" si="1613">IF(AC$2=1,$B286,AB286)*AC297</f>
        <v>1.0333406694133731</v>
      </c>
      <c r="AD286" s="323">
        <f t="shared" ref="AD286" ca="1" si="1614">IF(AD$2=1,$B286,AC286)*AD297</f>
        <v>1.0485037514361644</v>
      </c>
      <c r="AE286" s="323">
        <f t="shared" ref="AE286" ca="1" si="1615">IF(AE$2=1,$B286,AD286)*AE297</f>
        <v>1.0638893341920008</v>
      </c>
      <c r="AF286" s="323">
        <f t="shared" ref="AF286" ca="1" si="1616">IF(AF$2=1,$B286,AE286)*AF297</f>
        <v>1.0795006826224116</v>
      </c>
      <c r="AG286" s="323">
        <f t="shared" ref="AG286" ca="1" si="1617">IF(AG$2=1,$B286,AF286)*AG297</f>
        <v>1.0953411095781755</v>
      </c>
      <c r="AH286" s="323">
        <f t="shared" ref="AH286" ca="1" si="1618">IF(AH$2=1,$B286,AG286)*AH297</f>
        <v>1.1114139765223343</v>
      </c>
      <c r="AI286" s="323">
        <f t="shared" ref="AI286" ca="1" si="1619">IF(AI$2=1,$B286,AH286)*AI297</f>
        <v>1.127722694243521</v>
      </c>
      <c r="AJ286" s="323">
        <f t="shared" ref="AJ286" ca="1" si="1620">IF(AJ$2=1,$B286,AI286)*AJ297</f>
        <v>1.1442707235797565</v>
      </c>
      <c r="AK286" s="323">
        <f t="shared" ref="AK286" ca="1" si="1621">IF(AK$2=1,$B286,AJ286)*AK297</f>
        <v>1.1610615761528662</v>
      </c>
      <c r="AL286" s="323">
        <f t="shared" ref="AL286" ca="1" si="1622">IF(AL$2=1,$B286,AK286)*AL297</f>
        <v>1.1780988151136744</v>
      </c>
      <c r="AM286" s="323">
        <f t="shared" ref="AM286" ca="1" si="1623">IF(AM$2=1,$B286,AL286)*AM297</f>
        <v>1.1953860558981322</v>
      </c>
      <c r="AN286" s="323">
        <f t="shared" ref="AN286" ca="1" si="1624">IF(AN$2=1,$B286,AM286)*AN297</f>
        <v>1.2129269669945417</v>
      </c>
      <c r="AO286" s="323">
        <f t="shared" ref="AO286" ca="1" si="1625">IF(AO$2=1,$B286,AN286)*AO297</f>
        <v>1.2307252707220382</v>
      </c>
      <c r="AP286" s="323">
        <f t="shared" ref="AP286" ca="1" si="1626">IF(AP$2=1,$B286,AO286)*AP297</f>
        <v>1.2487847440204949</v>
      </c>
      <c r="AQ286" s="323">
        <f t="shared" ref="AQ286" ca="1" si="1627">IF(AQ$2=1,$B286,AP286)*AQ297</f>
        <v>1.2671092192520201</v>
      </c>
      <c r="AR286" s="323">
        <f t="shared" ref="AR286" ca="1" si="1628">IF(AR$2=1,$B286,AQ286)*AR297</f>
        <v>1.2857025850142143</v>
      </c>
      <c r="AS286" s="323">
        <f t="shared" ref="AS286" ca="1" si="1629">IF(AS$2=1,$B286,AR286)*AS297</f>
        <v>1.3045687869653604</v>
      </c>
      <c r="AT286" s="323">
        <f t="shared" ref="AT286" ca="1" si="1630">IF(AT$2=1,$B286,AS286)*AT297</f>
        <v>1.3237118286617247</v>
      </c>
      <c r="AU286" s="323">
        <f t="shared" ref="AU286" ca="1" si="1631">IF(AU$2=1,$B286,AT286)*AU297</f>
        <v>1.3431357724071415</v>
      </c>
      <c r="AV286" s="323">
        <f t="shared" ref="AV286" ca="1" si="1632">IF(AV$2=1,$B286,AU286)*AV297</f>
        <v>1.3628447401150674</v>
      </c>
      <c r="AW286" s="148"/>
      <c r="AX286" s="117"/>
    </row>
    <row r="287" spans="1:50" collapsed="1" x14ac:dyDescent="0.2">
      <c r="A287" s="83" t="str">
        <f ca="1">Language!A$597</f>
        <v>выручка от реализации, без НДС</v>
      </c>
      <c r="B287" s="157"/>
      <c r="C287" s="146" t="str">
        <f t="shared" ref="C287" ca="1" si="1633">CHOOSE(D287,CurName1,CurName2,CurName3)</f>
        <v>тыс. руб.</v>
      </c>
      <c r="D287" s="155">
        <f>D283</f>
        <v>1</v>
      </c>
      <c r="E287" s="57" t="s">
        <v>992</v>
      </c>
      <c r="F287" s="57" t="s">
        <v>753</v>
      </c>
      <c r="G287" s="176">
        <f t="shared" ref="G287:AV287" ca="1" si="1634">G285*G286</f>
        <v>13338.75</v>
      </c>
      <c r="H287" s="176">
        <f t="shared" ca="1" si="1634"/>
        <v>0</v>
      </c>
      <c r="I287" s="176">
        <f t="shared" ca="1" si="1634"/>
        <v>0</v>
      </c>
      <c r="J287" s="176">
        <f t="shared" ca="1" si="1634"/>
        <v>0</v>
      </c>
      <c r="K287" s="176">
        <f t="shared" ca="1" si="1634"/>
        <v>49417.200000000012</v>
      </c>
      <c r="L287" s="176">
        <f t="shared" ca="1" si="1634"/>
        <v>0</v>
      </c>
      <c r="M287" s="176">
        <f t="shared" ca="1" si="1634"/>
        <v>0</v>
      </c>
      <c r="N287" s="176">
        <f t="shared" ca="1" si="1634"/>
        <v>0</v>
      </c>
      <c r="O287" s="176">
        <f t="shared" ca="1" si="1634"/>
        <v>52382.232000000018</v>
      </c>
      <c r="P287" s="176">
        <f t="shared" ca="1" si="1634"/>
        <v>0</v>
      </c>
      <c r="Q287" s="176">
        <f t="shared" ca="1" si="1634"/>
        <v>0</v>
      </c>
      <c r="R287" s="176">
        <f t="shared" ca="1" si="1634"/>
        <v>0</v>
      </c>
      <c r="S287" s="176">
        <f t="shared" ca="1" si="1634"/>
        <v>55525.165920000021</v>
      </c>
      <c r="T287" s="176">
        <f t="shared" ca="1" si="1634"/>
        <v>0</v>
      </c>
      <c r="U287" s="176">
        <f t="shared" ca="1" si="1634"/>
        <v>0</v>
      </c>
      <c r="V287" s="176">
        <f t="shared" ca="1" si="1634"/>
        <v>0</v>
      </c>
      <c r="W287" s="176">
        <f t="shared" ca="1" si="1634"/>
        <v>58856.675875200031</v>
      </c>
      <c r="X287" s="176">
        <f t="shared" ca="1" si="1634"/>
        <v>0</v>
      </c>
      <c r="Y287" s="176">
        <f t="shared" ca="1" si="1634"/>
        <v>0</v>
      </c>
      <c r="Z287" s="176">
        <f t="shared" ca="1" si="1634"/>
        <v>0</v>
      </c>
      <c r="AA287" s="176">
        <f t="shared" ca="1" si="1634"/>
        <v>62388.07642771204</v>
      </c>
      <c r="AB287" s="176">
        <f t="shared" ca="1" si="1634"/>
        <v>0</v>
      </c>
      <c r="AC287" s="176">
        <f t="shared" ca="1" si="1634"/>
        <v>0</v>
      </c>
      <c r="AD287" s="176">
        <f t="shared" ca="1" si="1634"/>
        <v>0</v>
      </c>
      <c r="AE287" s="176">
        <f t="shared" ca="1" si="1634"/>
        <v>66131.361013374772</v>
      </c>
      <c r="AF287" s="176">
        <f t="shared" ca="1" si="1634"/>
        <v>0</v>
      </c>
      <c r="AG287" s="176">
        <f t="shared" ca="1" si="1634"/>
        <v>0</v>
      </c>
      <c r="AH287" s="176">
        <f t="shared" ca="1" si="1634"/>
        <v>0</v>
      </c>
      <c r="AI287" s="176">
        <f t="shared" ca="1" si="1634"/>
        <v>70099.242674177265</v>
      </c>
      <c r="AJ287" s="176">
        <f t="shared" ca="1" si="1634"/>
        <v>0</v>
      </c>
      <c r="AK287" s="176">
        <f t="shared" ca="1" si="1634"/>
        <v>0</v>
      </c>
      <c r="AL287" s="176">
        <f t="shared" ca="1" si="1634"/>
        <v>0</v>
      </c>
      <c r="AM287" s="176">
        <f t="shared" ca="1" si="1634"/>
        <v>74305.197234627893</v>
      </c>
      <c r="AN287" s="176">
        <f t="shared" ca="1" si="1634"/>
        <v>0</v>
      </c>
      <c r="AO287" s="176">
        <f t="shared" ca="1" si="1634"/>
        <v>0</v>
      </c>
      <c r="AP287" s="176">
        <f t="shared" ca="1" si="1634"/>
        <v>0</v>
      </c>
      <c r="AQ287" s="176">
        <f t="shared" ca="1" si="1634"/>
        <v>78763.509068705578</v>
      </c>
      <c r="AR287" s="176">
        <f t="shared" ca="1" si="1634"/>
        <v>0</v>
      </c>
      <c r="AS287" s="176">
        <f t="shared" ca="1" si="1634"/>
        <v>0</v>
      </c>
      <c r="AT287" s="176">
        <f t="shared" ca="1" si="1634"/>
        <v>0</v>
      </c>
      <c r="AU287" s="176">
        <f t="shared" ca="1" si="1634"/>
        <v>83489.319612827923</v>
      </c>
      <c r="AV287" s="176">
        <f t="shared" ca="1" si="1634"/>
        <v>0</v>
      </c>
      <c r="AW287" s="177"/>
      <c r="AX287" s="178">
        <f ca="1">SUM(G287:AW287)</f>
        <v>664696.72982662567</v>
      </c>
    </row>
    <row r="288" spans="1:50" hidden="1" outlineLevel="1" x14ac:dyDescent="0.2">
      <c r="A288" s="179" t="str">
        <f ca="1">Language!A$598</f>
        <v>дебиторская задолженность</v>
      </c>
      <c r="B288" s="82"/>
      <c r="C288" s="82" t="str">
        <f ca="1">CHOOSE(D288,CurName1,CurName2,CurName3)</f>
        <v>тыс. руб.</v>
      </c>
      <c r="D288" s="155">
        <f>D283</f>
        <v>1</v>
      </c>
      <c r="E288" s="57" t="s">
        <v>994</v>
      </c>
      <c r="F288" s="57" t="s">
        <v>754</v>
      </c>
      <c r="G288" s="319">
        <f ca="1">IF(AND($B289=0,G$2&gt;1),F288,(G287+G298+G299)*$B289/Параметры!G$30)</f>
        <v>5379.9624999999996</v>
      </c>
      <c r="H288" s="319">
        <f ca="1">IF(AND($B289=0,H$2&gt;1),G288,(H287+H298+H299)*$B289/Параметры!H$30)</f>
        <v>0</v>
      </c>
      <c r="I288" s="319">
        <f ca="1">IF(AND($B289=0,I$2&gt;1),H288,(I287+I298+I299)*$B289/Параметры!I$30)</f>
        <v>0</v>
      </c>
      <c r="J288" s="319">
        <f ca="1">IF(AND($B289=0,J$2&gt;1),I288,(J287+J298+J299)*$B289/Параметры!J$30)</f>
        <v>0</v>
      </c>
      <c r="K288" s="319">
        <f ca="1">IF(AND($B289=0,K$2&gt;1),J288,(K287+K298+K299)*$B289/Параметры!K$30)</f>
        <v>19931.604000000003</v>
      </c>
      <c r="L288" s="319">
        <f ca="1">IF(AND($B289=0,L$2&gt;1),K288,(L287+L298+L299)*$B289/Параметры!L$30)</f>
        <v>0</v>
      </c>
      <c r="M288" s="319">
        <f ca="1">IF(AND($B289=0,M$2&gt;1),L288,(M287+M298+M299)*$B289/Параметры!M$30)</f>
        <v>0</v>
      </c>
      <c r="N288" s="319">
        <f ca="1">IF(AND($B289=0,N$2&gt;1),M288,(N287+N298+N299)*$B289/Параметры!N$30)</f>
        <v>0</v>
      </c>
      <c r="O288" s="319">
        <f ca="1">IF(AND($B289=0,O$2&gt;1),N288,(O287+O298+O299)*$B289/Параметры!O$30)</f>
        <v>21127.500240000005</v>
      </c>
      <c r="P288" s="319">
        <f ca="1">IF(AND($B289=0,P$2&gt;1),O288,(P287+P298+P299)*$B289/Параметры!P$30)</f>
        <v>0</v>
      </c>
      <c r="Q288" s="319">
        <f ca="1">IF(AND($B289=0,Q$2&gt;1),P288,(Q287+Q298+Q299)*$B289/Параметры!Q$30)</f>
        <v>0</v>
      </c>
      <c r="R288" s="319">
        <f ca="1">IF(AND($B289=0,R$2&gt;1),Q288,(R287+R298+R299)*$B289/Параметры!R$30)</f>
        <v>0</v>
      </c>
      <c r="S288" s="319">
        <f ca="1">IF(AND($B289=0,S$2&gt;1),R288,(S287+S298+S299)*$B289/Параметры!S$30)</f>
        <v>22395.150254400007</v>
      </c>
      <c r="T288" s="319">
        <f ca="1">IF(AND($B289=0,T$2&gt;1),S288,(T287+T298+T299)*$B289/Параметры!T$30)</f>
        <v>0</v>
      </c>
      <c r="U288" s="319">
        <f ca="1">IF(AND($B289=0,U$2&gt;1),T288,(U287+U298+U299)*$B289/Параметры!U$30)</f>
        <v>0</v>
      </c>
      <c r="V288" s="319">
        <f ca="1">IF(AND($B289=0,V$2&gt;1),U288,(V287+V298+V299)*$B289/Параметры!V$30)</f>
        <v>0</v>
      </c>
      <c r="W288" s="319">
        <f ca="1">IF(AND($B289=0,W$2&gt;1),V288,(W287+W298+W299)*$B289/Параметры!W$30)</f>
        <v>23738.859269664012</v>
      </c>
      <c r="X288" s="319">
        <f ca="1">IF(AND($B289=0,X$2&gt;1),W288,(X287+X298+X299)*$B289/Параметры!X$30)</f>
        <v>0</v>
      </c>
      <c r="Y288" s="319">
        <f ca="1">IF(AND($B289=0,Y$2&gt;1),X288,(Y287+Y298+Y299)*$B289/Параметры!Y$30)</f>
        <v>0</v>
      </c>
      <c r="Z288" s="319">
        <f ca="1">IF(AND($B289=0,Z$2&gt;1),Y288,(Z287+Z298+Z299)*$B289/Параметры!Z$30)</f>
        <v>0</v>
      </c>
      <c r="AA288" s="319">
        <f ca="1">IF(AND($B289=0,AA$2&gt;1),Z288,(AA287+AA298+AA299)*$B289/Параметры!AA$30)</f>
        <v>25163.190825843853</v>
      </c>
      <c r="AB288" s="319">
        <f ca="1">IF(AND($B289=0,AB$2&gt;1),AA288,(AB287+AB298+AB299)*$B289/Параметры!AB$30)</f>
        <v>0</v>
      </c>
      <c r="AC288" s="319">
        <f ca="1">IF(AND($B289=0,AC$2&gt;1),AB288,(AC287+AC298+AC299)*$B289/Параметры!AC$30)</f>
        <v>0</v>
      </c>
      <c r="AD288" s="319">
        <f ca="1">IF(AND($B289=0,AD$2&gt;1),AC288,(AD287+AD298+AD299)*$B289/Параметры!AD$30)</f>
        <v>0</v>
      </c>
      <c r="AE288" s="319">
        <f ca="1">IF(AND($B289=0,AE$2&gt;1),AD288,(AE287+AE298+AE299)*$B289/Параметры!AE$30)</f>
        <v>26672.98227539449</v>
      </c>
      <c r="AF288" s="319">
        <f ca="1">IF(AND($B289=0,AF$2&gt;1),AE288,(AF287+AF298+AF299)*$B289/Параметры!AF$30)</f>
        <v>0</v>
      </c>
      <c r="AG288" s="319">
        <f ca="1">IF(AND($B289=0,AG$2&gt;1),AF288,(AG287+AG298+AG299)*$B289/Параметры!AG$30)</f>
        <v>0</v>
      </c>
      <c r="AH288" s="319">
        <f ca="1">IF(AND($B289=0,AH$2&gt;1),AG288,(AH287+AH298+AH299)*$B289/Параметры!AH$30)</f>
        <v>0</v>
      </c>
      <c r="AI288" s="319">
        <f ca="1">IF(AND($B289=0,AI$2&gt;1),AH288,(AI287+AI298+AI299)*$B289/Параметры!AI$30)</f>
        <v>28273.36121191816</v>
      </c>
      <c r="AJ288" s="319">
        <f ca="1">IF(AND($B289=0,AJ$2&gt;1),AI288,(AJ287+AJ298+AJ299)*$B289/Параметры!AJ$30)</f>
        <v>0</v>
      </c>
      <c r="AK288" s="319">
        <f ca="1">IF(AND($B289=0,AK$2&gt;1),AJ288,(AK287+AK298+AK299)*$B289/Параметры!AK$30)</f>
        <v>0</v>
      </c>
      <c r="AL288" s="319">
        <f ca="1">IF(AND($B289=0,AL$2&gt;1),AK288,(AL287+AL298+AL299)*$B289/Параметры!AL$30)</f>
        <v>0</v>
      </c>
      <c r="AM288" s="319">
        <f ca="1">IF(AND($B289=0,AM$2&gt;1),AL288,(AM287+AM298+AM299)*$B289/Параметры!AM$30)</f>
        <v>29969.762884633248</v>
      </c>
      <c r="AN288" s="319">
        <f ca="1">IF(AND($B289=0,AN$2&gt;1),AM288,(AN287+AN298+AN299)*$B289/Параметры!AN$30)</f>
        <v>0</v>
      </c>
      <c r="AO288" s="319">
        <f ca="1">IF(AND($B289=0,AO$2&gt;1),AN288,(AO287+AO298+AO299)*$B289/Параметры!AO$30)</f>
        <v>0</v>
      </c>
      <c r="AP288" s="319">
        <f ca="1">IF(AND($B289=0,AP$2&gt;1),AO288,(AP287+AP298+AP299)*$B289/Параметры!AP$30)</f>
        <v>0</v>
      </c>
      <c r="AQ288" s="319">
        <f ca="1">IF(AND($B289=0,AQ$2&gt;1),AP288,(AQ287+AQ298+AQ299)*$B289/Параметры!AQ$30)</f>
        <v>31767.948657711248</v>
      </c>
      <c r="AR288" s="319">
        <f ca="1">IF(AND($B289=0,AR$2&gt;1),AQ288,(AR287+AR298+AR299)*$B289/Параметры!AR$30)</f>
        <v>0</v>
      </c>
      <c r="AS288" s="319">
        <f ca="1">IF(AND($B289=0,AS$2&gt;1),AR288,(AS287+AS298+AS299)*$B289/Параметры!AS$30)</f>
        <v>0</v>
      </c>
      <c r="AT288" s="319">
        <f ca="1">IF(AND($B289=0,AT$2&gt;1),AS288,(AT287+AT298+AT299)*$B289/Параметры!AT$30)</f>
        <v>0</v>
      </c>
      <c r="AU288" s="319">
        <f ca="1">IF(AND($B289=0,AU$2&gt;1),AT288,(AU287+AU298+AU299)*$B289/Параметры!AU$30)</f>
        <v>33674.025577173932</v>
      </c>
      <c r="AV288" s="319">
        <f ca="1">IF(AND($B289=0,AV$2&gt;1),AU288,(AV287+AV298+AV299)*$B289/Параметры!AV$30)</f>
        <v>0</v>
      </c>
      <c r="AW288" s="180"/>
      <c r="AX288" s="87"/>
    </row>
    <row r="289" spans="1:50" hidden="1" outlineLevel="1" x14ac:dyDescent="0.2">
      <c r="A289" s="181" t="str">
        <f ca="1">Language!A$599</f>
        <v>средний период отсрочки платежа</v>
      </c>
      <c r="B289" s="320">
        <f>$B$618</f>
        <v>33</v>
      </c>
      <c r="C289" s="152" t="str">
        <f ca="1">Language!$A$1446</f>
        <v>дней</v>
      </c>
      <c r="D289" s="100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48"/>
      <c r="AX289" s="150"/>
    </row>
    <row r="290" spans="1:50" hidden="1" outlineLevel="1" x14ac:dyDescent="0.2">
      <c r="A290" s="179" t="str">
        <f ca="1">Language!A$600</f>
        <v xml:space="preserve">авансы полученные </v>
      </c>
      <c r="B290" s="82"/>
      <c r="C290" s="103" t="str">
        <f ca="1">CHOOSE(D290,CurName1,CurName2,CurName3)</f>
        <v>тыс. руб.</v>
      </c>
      <c r="D290" s="155">
        <f>D283</f>
        <v>1</v>
      </c>
      <c r="E290" s="57" t="s">
        <v>995</v>
      </c>
      <c r="F290" s="57" t="s">
        <v>754</v>
      </c>
      <c r="G290" s="316">
        <f ca="1">IF(AND($B291=0,G$2&gt;1),F290,(OFFSET(G287,0,1)+OFFSET(G298,0,1)+OFFSET(G299,0,1))*$B291/Параметры!G$30)</f>
        <v>0</v>
      </c>
      <c r="H290" s="316">
        <f ca="1">IF(AND($B291=0,H$2&gt;1),G290,(OFFSET(H287,0,1)+OFFSET(H298,0,1)+OFFSET(H299,0,1))*$B291/Параметры!H$30)</f>
        <v>0</v>
      </c>
      <c r="I290" s="316">
        <f ca="1">IF(AND($B291=0,I$2&gt;1),H290,(OFFSET(I287,0,1)+OFFSET(I298,0,1)+OFFSET(I299,0,1))*$B291/Параметры!I$30)</f>
        <v>0</v>
      </c>
      <c r="J290" s="316">
        <f ca="1">IF(AND($B291=0,J$2&gt;1),I290,(OFFSET(J287,0,1)+OFFSET(J298,0,1)+OFFSET(J299,0,1))*$B291/Параметры!J$30)</f>
        <v>0</v>
      </c>
      <c r="K290" s="316">
        <f ca="1">IF(AND($B291=0,K$2&gt;1),J290,(OFFSET(K287,0,1)+OFFSET(K298,0,1)+OFFSET(K299,0,1))*$B291/Параметры!K$30)</f>
        <v>0</v>
      </c>
      <c r="L290" s="316">
        <f ca="1">IF(AND($B291=0,L$2&gt;1),K290,(OFFSET(L287,0,1)+OFFSET(L298,0,1)+OFFSET(L299,0,1))*$B291/Параметры!L$30)</f>
        <v>0</v>
      </c>
      <c r="M290" s="316">
        <f ca="1">IF(AND($B291=0,M$2&gt;1),L290,(OFFSET(M287,0,1)+OFFSET(M298,0,1)+OFFSET(M299,0,1))*$B291/Параметры!M$30)</f>
        <v>0</v>
      </c>
      <c r="N290" s="316">
        <f ca="1">IF(AND($B291=0,N$2&gt;1),M290,(OFFSET(N287,0,1)+OFFSET(N298,0,1)+OFFSET(N299,0,1))*$B291/Параметры!N$30)</f>
        <v>0</v>
      </c>
      <c r="O290" s="316">
        <f ca="1">IF(AND($B291=0,O$2&gt;1),N290,(OFFSET(O287,0,1)+OFFSET(O298,0,1)+OFFSET(O299,0,1))*$B291/Параметры!O$30)</f>
        <v>0</v>
      </c>
      <c r="P290" s="316">
        <f ca="1">IF(AND($B291=0,P$2&gt;1),O290,(OFFSET(P287,0,1)+OFFSET(P298,0,1)+OFFSET(P299,0,1))*$B291/Параметры!P$30)</f>
        <v>0</v>
      </c>
      <c r="Q290" s="316">
        <f ca="1">IF(AND($B291=0,Q$2&gt;1),P290,(OFFSET(Q287,0,1)+OFFSET(Q298,0,1)+OFFSET(Q299,0,1))*$B291/Параметры!Q$30)</f>
        <v>0</v>
      </c>
      <c r="R290" s="316">
        <f ca="1">IF(AND($B291=0,R$2&gt;1),Q290,(OFFSET(R287,0,1)+OFFSET(R298,0,1)+OFFSET(R299,0,1))*$B291/Параметры!R$30)</f>
        <v>0</v>
      </c>
      <c r="S290" s="316">
        <f ca="1">IF(AND($B291=0,S$2&gt;1),R290,(OFFSET(S287,0,1)+OFFSET(S298,0,1)+OFFSET(S299,0,1))*$B291/Параметры!S$30)</f>
        <v>0</v>
      </c>
      <c r="T290" s="316">
        <f ca="1">IF(AND($B291=0,T$2&gt;1),S290,(OFFSET(T287,0,1)+OFFSET(T298,0,1)+OFFSET(T299,0,1))*$B291/Параметры!T$30)</f>
        <v>0</v>
      </c>
      <c r="U290" s="316">
        <f ca="1">IF(AND($B291=0,U$2&gt;1),T290,(OFFSET(U287,0,1)+OFFSET(U298,0,1)+OFFSET(U299,0,1))*$B291/Параметры!U$30)</f>
        <v>0</v>
      </c>
      <c r="V290" s="316">
        <f ca="1">IF(AND($B291=0,V$2&gt;1),U290,(OFFSET(V287,0,1)+OFFSET(V298,0,1)+OFFSET(V299,0,1))*$B291/Параметры!V$30)</f>
        <v>0</v>
      </c>
      <c r="W290" s="316">
        <f ca="1">IF(AND($B291=0,W$2&gt;1),V290,(OFFSET(W287,0,1)+OFFSET(W298,0,1)+OFFSET(W299,0,1))*$B291/Параметры!W$30)</f>
        <v>0</v>
      </c>
      <c r="X290" s="316">
        <f ca="1">IF(AND($B291=0,X$2&gt;1),W290,(OFFSET(X287,0,1)+OFFSET(X298,0,1)+OFFSET(X299,0,1))*$B291/Параметры!X$30)</f>
        <v>0</v>
      </c>
      <c r="Y290" s="316">
        <f ca="1">IF(AND($B291=0,Y$2&gt;1),X290,(OFFSET(Y287,0,1)+OFFSET(Y298,0,1)+OFFSET(Y299,0,1))*$B291/Параметры!Y$30)</f>
        <v>0</v>
      </c>
      <c r="Z290" s="316">
        <f ca="1">IF(AND($B291=0,Z$2&gt;1),Y290,(OFFSET(Z287,0,1)+OFFSET(Z298,0,1)+OFFSET(Z299,0,1))*$B291/Параметры!Z$30)</f>
        <v>0</v>
      </c>
      <c r="AA290" s="316">
        <f ca="1">IF(AND($B291=0,AA$2&gt;1),Z290,(OFFSET(AA287,0,1)+OFFSET(AA298,0,1)+OFFSET(AA299,0,1))*$B291/Параметры!AA$30)</f>
        <v>0</v>
      </c>
      <c r="AB290" s="316">
        <f ca="1">IF(AND($B291=0,AB$2&gt;1),AA290,(OFFSET(AB287,0,1)+OFFSET(AB298,0,1)+OFFSET(AB299,0,1))*$B291/Параметры!AB$30)</f>
        <v>0</v>
      </c>
      <c r="AC290" s="316">
        <f ca="1">IF(AND($B291=0,AC$2&gt;1),AB290,(OFFSET(AC287,0,1)+OFFSET(AC298,0,1)+OFFSET(AC299,0,1))*$B291/Параметры!AC$30)</f>
        <v>0</v>
      </c>
      <c r="AD290" s="316">
        <f ca="1">IF(AND($B291=0,AD$2&gt;1),AC290,(OFFSET(AD287,0,1)+OFFSET(AD298,0,1)+OFFSET(AD299,0,1))*$B291/Параметры!AD$30)</f>
        <v>0</v>
      </c>
      <c r="AE290" s="316">
        <f ca="1">IF(AND($B291=0,AE$2&gt;1),AD290,(OFFSET(AE287,0,1)+OFFSET(AE298,0,1)+OFFSET(AE299,0,1))*$B291/Параметры!AE$30)</f>
        <v>0</v>
      </c>
      <c r="AF290" s="316">
        <f ca="1">IF(AND($B291=0,AF$2&gt;1),AE290,(OFFSET(AF287,0,1)+OFFSET(AF298,0,1)+OFFSET(AF299,0,1))*$B291/Параметры!AF$30)</f>
        <v>0</v>
      </c>
      <c r="AG290" s="316">
        <f ca="1">IF(AND($B291=0,AG$2&gt;1),AF290,(OFFSET(AG287,0,1)+OFFSET(AG298,0,1)+OFFSET(AG299,0,1))*$B291/Параметры!AG$30)</f>
        <v>0</v>
      </c>
      <c r="AH290" s="316">
        <f ca="1">IF(AND($B291=0,AH$2&gt;1),AG290,(OFFSET(AH287,0,1)+OFFSET(AH298,0,1)+OFFSET(AH299,0,1))*$B291/Параметры!AH$30)</f>
        <v>0</v>
      </c>
      <c r="AI290" s="316">
        <f ca="1">IF(AND($B291=0,AI$2&gt;1),AH290,(OFFSET(AI287,0,1)+OFFSET(AI298,0,1)+OFFSET(AI299,0,1))*$B291/Параметры!AI$30)</f>
        <v>0</v>
      </c>
      <c r="AJ290" s="316">
        <f ca="1">IF(AND($B291=0,AJ$2&gt;1),AI290,(OFFSET(AJ287,0,1)+OFFSET(AJ298,0,1)+OFFSET(AJ299,0,1))*$B291/Параметры!AJ$30)</f>
        <v>0</v>
      </c>
      <c r="AK290" s="316">
        <f ca="1">IF(AND($B291=0,AK$2&gt;1),AJ290,(OFFSET(AK287,0,1)+OFFSET(AK298,0,1)+OFFSET(AK299,0,1))*$B291/Параметры!AK$30)</f>
        <v>0</v>
      </c>
      <c r="AL290" s="316">
        <f ca="1">IF(AND($B291=0,AL$2&gt;1),AK290,(OFFSET(AL287,0,1)+OFFSET(AL298,0,1)+OFFSET(AL299,0,1))*$B291/Параметры!AL$30)</f>
        <v>0</v>
      </c>
      <c r="AM290" s="316">
        <f ca="1">IF(AND($B291=0,AM$2&gt;1),AL290,(OFFSET(AM287,0,1)+OFFSET(AM298,0,1)+OFFSET(AM299,0,1))*$B291/Параметры!AM$30)</f>
        <v>0</v>
      </c>
      <c r="AN290" s="316">
        <f ca="1">IF(AND($B291=0,AN$2&gt;1),AM290,(OFFSET(AN287,0,1)+OFFSET(AN298,0,1)+OFFSET(AN299,0,1))*$B291/Параметры!AN$30)</f>
        <v>0</v>
      </c>
      <c r="AO290" s="316">
        <f ca="1">IF(AND($B291=0,AO$2&gt;1),AN290,(OFFSET(AO287,0,1)+OFFSET(AO298,0,1)+OFFSET(AO299,0,1))*$B291/Параметры!AO$30)</f>
        <v>0</v>
      </c>
      <c r="AP290" s="316">
        <f ca="1">IF(AND($B291=0,AP$2&gt;1),AO290,(OFFSET(AP287,0,1)+OFFSET(AP298,0,1)+OFFSET(AP299,0,1))*$B291/Параметры!AP$30)</f>
        <v>0</v>
      </c>
      <c r="AQ290" s="316">
        <f ca="1">IF(AND($B291=0,AQ$2&gt;1),AP290,(OFFSET(AQ287,0,1)+OFFSET(AQ298,0,1)+OFFSET(AQ299,0,1))*$B291/Параметры!AQ$30)</f>
        <v>0</v>
      </c>
      <c r="AR290" s="316">
        <f ca="1">IF(AND($B291=0,AR$2&gt;1),AQ290,(OFFSET(AR287,0,1)+OFFSET(AR298,0,1)+OFFSET(AR299,0,1))*$B291/Параметры!AR$30)</f>
        <v>0</v>
      </c>
      <c r="AS290" s="316">
        <f ca="1">IF(AND($B291=0,AS$2&gt;1),AR290,(OFFSET(AS287,0,1)+OFFSET(AS298,0,1)+OFFSET(AS299,0,1))*$B291/Параметры!AS$30)</f>
        <v>0</v>
      </c>
      <c r="AT290" s="316">
        <f ca="1">IF(AND($B291=0,AT$2&gt;1),AS290,(OFFSET(AT287,0,1)+OFFSET(AT298,0,1)+OFFSET(AT299,0,1))*$B291/Параметры!AT$30)</f>
        <v>0</v>
      </c>
      <c r="AU290" s="316">
        <f ca="1">IF(AND($B291=0,AU$2&gt;1),AT290,(OFFSET(AU287,0,1)+OFFSET(AU298,0,1)+OFFSET(AU299,0,1))*$B291/Параметры!AU$30)</f>
        <v>0</v>
      </c>
      <c r="AV290" s="316">
        <f ca="1">IF(AND($B291=0,AV$2&gt;1),AU290,(OFFSET(AV287,0,1)+OFFSET(AV298,0,1)+OFFSET(AV299,0,1))*$B291/Параметры!AV$30)</f>
        <v>0</v>
      </c>
      <c r="AW290" s="168"/>
      <c r="AX290" s="182"/>
    </row>
    <row r="291" spans="1:50" hidden="1" outlineLevel="1" x14ac:dyDescent="0.2">
      <c r="A291" s="181" t="str">
        <f ca="1">Language!A$601</f>
        <v>средний период предоплаты</v>
      </c>
      <c r="B291" s="320">
        <f>$B$624</f>
        <v>0</v>
      </c>
      <c r="C291" s="152" t="str">
        <f ca="1">Language!$A$1446</f>
        <v>дней</v>
      </c>
      <c r="D291" s="100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48"/>
      <c r="AX291" s="150"/>
    </row>
    <row r="292" spans="1:50" hidden="1" outlineLevel="1" x14ac:dyDescent="0.2">
      <c r="A292" s="179" t="str">
        <f ca="1">Language!A$602</f>
        <v>поступление денежных средств, с НДС</v>
      </c>
      <c r="B292" s="52"/>
      <c r="C292" s="103" t="str">
        <f ca="1">CHOOSE(D292,CurName1,CurName2,CurName3)</f>
        <v>тыс. руб.</v>
      </c>
      <c r="D292" s="155">
        <f>D283</f>
        <v>1</v>
      </c>
      <c r="E292" s="57" t="s">
        <v>993</v>
      </c>
      <c r="F292" s="57" t="s">
        <v>753</v>
      </c>
      <c r="G292" s="180">
        <f ca="1">G287+G298+G299-IF(G$2=1,G288,G288-F288)+IF(G$2=1,G290,G290-F290)</f>
        <v>9292.6625000000004</v>
      </c>
      <c r="H292" s="180">
        <f t="shared" ref="H292" ca="1" si="1635">H287+H298+H299-IF(H$2=1,H288,H288-G288)+IF(H$2=1,H290,H290-G290)</f>
        <v>5379.9624999999996</v>
      </c>
      <c r="I292" s="180">
        <f t="shared" ref="I292" ca="1" si="1636">I287+I298+I299-IF(I$2=1,I288,I288-H288)+IF(I$2=1,I290,I290-H290)</f>
        <v>0</v>
      </c>
      <c r="J292" s="180">
        <f t="shared" ref="J292" ca="1" si="1637">J287+J298+J299-IF(J$2=1,J288,J288-I288)+IF(J$2=1,J290,J290-I290)</f>
        <v>0</v>
      </c>
      <c r="K292" s="180">
        <f t="shared" ref="K292" ca="1" si="1638">K287+K298+K299-IF(K$2=1,K288,K288-J288)+IF(K$2=1,K290,K290-J290)</f>
        <v>34427.316000000006</v>
      </c>
      <c r="L292" s="180">
        <f t="shared" ref="L292" ca="1" si="1639">L287+L298+L299-IF(L$2=1,L288,L288-K288)+IF(L$2=1,L290,L290-K290)</f>
        <v>19931.604000000003</v>
      </c>
      <c r="M292" s="180">
        <f t="shared" ref="M292" ca="1" si="1640">M287+M298+M299-IF(M$2=1,M288,M288-L288)+IF(M$2=1,M290,M290-L290)</f>
        <v>0</v>
      </c>
      <c r="N292" s="180">
        <f t="shared" ref="N292" ca="1" si="1641">N287+N298+N299-IF(N$2=1,N288,N288-M288)+IF(N$2=1,N290,N290-M290)</f>
        <v>0</v>
      </c>
      <c r="O292" s="180">
        <f t="shared" ref="O292" ca="1" si="1642">O287+O298+O299-IF(O$2=1,O288,O288-N288)+IF(O$2=1,O290,O290-N290)</f>
        <v>36492.954960000017</v>
      </c>
      <c r="P292" s="180">
        <f t="shared" ref="P292" ca="1" si="1643">P287+P298+P299-IF(P$2=1,P288,P288-O288)+IF(P$2=1,P290,P290-O290)</f>
        <v>21127.500240000005</v>
      </c>
      <c r="Q292" s="180">
        <f t="shared" ref="Q292" ca="1" si="1644">Q287+Q298+Q299-IF(Q$2=1,Q288,Q288-P288)+IF(Q$2=1,Q290,Q290-P290)</f>
        <v>0</v>
      </c>
      <c r="R292" s="180">
        <f t="shared" ref="R292" ca="1" si="1645">R287+R298+R299-IF(R$2=1,R288,R288-Q288)+IF(R$2=1,R290,R290-Q290)</f>
        <v>0</v>
      </c>
      <c r="S292" s="180">
        <f t="shared" ref="S292" ca="1" si="1646">S287+S298+S299-IF(S$2=1,S288,S288-R288)+IF(S$2=1,S290,S290-R290)</f>
        <v>38682.532257600018</v>
      </c>
      <c r="T292" s="180">
        <f t="shared" ref="T292" ca="1" si="1647">T287+T298+T299-IF(T$2=1,T288,T288-S288)+IF(T$2=1,T290,T290-S290)</f>
        <v>22395.150254400007</v>
      </c>
      <c r="U292" s="180">
        <f t="shared" ref="U292" ca="1" si="1648">U287+U298+U299-IF(U$2=1,U288,U288-T288)+IF(U$2=1,U290,U290-T290)</f>
        <v>0</v>
      </c>
      <c r="V292" s="180">
        <f t="shared" ref="V292" ca="1" si="1649">V287+V298+V299-IF(V$2=1,V288,V288-U288)+IF(V$2=1,V290,V290-U290)</f>
        <v>0</v>
      </c>
      <c r="W292" s="180">
        <f t="shared" ref="W292" ca="1" si="1650">W287+W298+W299-IF(W$2=1,W288,W288-V288)+IF(W$2=1,W290,W290-V290)</f>
        <v>41003.484193056021</v>
      </c>
      <c r="X292" s="180">
        <f t="shared" ref="X292" ca="1" si="1651">X287+X298+X299-IF(X$2=1,X288,X288-W288)+IF(X$2=1,X290,X290-W290)</f>
        <v>23738.859269664012</v>
      </c>
      <c r="Y292" s="180">
        <f t="shared" ref="Y292" ca="1" si="1652">Y287+Y298+Y299-IF(Y$2=1,Y288,Y288-X288)+IF(Y$2=1,Y290,Y290-X290)</f>
        <v>0</v>
      </c>
      <c r="Z292" s="180">
        <f t="shared" ref="Z292" ca="1" si="1653">Z287+Z298+Z299-IF(Z$2=1,Z288,Z288-Y288)+IF(Z$2=1,Z290,Z290-Y290)</f>
        <v>0</v>
      </c>
      <c r="AA292" s="180">
        <f t="shared" ref="AA292" ca="1" si="1654">AA287+AA298+AA299-IF(AA$2=1,AA288,AA288-Z288)+IF(AA$2=1,AA290,AA290-Z290)</f>
        <v>43463.693244639391</v>
      </c>
      <c r="AB292" s="180">
        <f t="shared" ref="AB292" ca="1" si="1655">AB287+AB298+AB299-IF(AB$2=1,AB288,AB288-AA288)+IF(AB$2=1,AB290,AB290-AA290)</f>
        <v>25163.190825843853</v>
      </c>
      <c r="AC292" s="180">
        <f t="shared" ref="AC292" ca="1" si="1656">AC287+AC298+AC299-IF(AC$2=1,AC288,AC288-AB288)+IF(AC$2=1,AC290,AC290-AB290)</f>
        <v>0</v>
      </c>
      <c r="AD292" s="180">
        <f t="shared" ref="AD292" ca="1" si="1657">AD287+AD298+AD299-IF(AD$2=1,AD288,AD288-AC288)+IF(AD$2=1,AD290,AD290-AC290)</f>
        <v>0</v>
      </c>
      <c r="AE292" s="180">
        <f t="shared" ref="AE292" ca="1" si="1658">AE287+AE298+AE299-IF(AE$2=1,AE288,AE288-AD288)+IF(AE$2=1,AE290,AE290-AD290)</f>
        <v>46071.514839317751</v>
      </c>
      <c r="AF292" s="180">
        <f t="shared" ref="AF292" ca="1" si="1659">AF287+AF298+AF299-IF(AF$2=1,AF288,AF288-AE288)+IF(AF$2=1,AF290,AF290-AE290)</f>
        <v>26672.98227539449</v>
      </c>
      <c r="AG292" s="180">
        <f t="shared" ref="AG292" ca="1" si="1660">AG287+AG298+AG299-IF(AG$2=1,AG288,AG288-AF288)+IF(AG$2=1,AG290,AG290-AF290)</f>
        <v>0</v>
      </c>
      <c r="AH292" s="180">
        <f t="shared" ref="AH292" ca="1" si="1661">AH287+AH298+AH299-IF(AH$2=1,AH288,AH288-AG288)+IF(AH$2=1,AH290,AH290-AG290)</f>
        <v>0</v>
      </c>
      <c r="AI292" s="180">
        <f t="shared" ref="AI292" ca="1" si="1662">AI287+AI298+AI299-IF(AI$2=1,AI288,AI288-AH288)+IF(AI$2=1,AI290,AI290-AH290)</f>
        <v>48835.805729676824</v>
      </c>
      <c r="AJ292" s="180">
        <f t="shared" ref="AJ292" ca="1" si="1663">AJ287+AJ298+AJ299-IF(AJ$2=1,AJ288,AJ288-AI288)+IF(AJ$2=1,AJ290,AJ290-AI290)</f>
        <v>28273.36121191816</v>
      </c>
      <c r="AK292" s="180">
        <f t="shared" ref="AK292" ca="1" si="1664">AK287+AK298+AK299-IF(AK$2=1,AK288,AK288-AJ288)+IF(AK$2=1,AK290,AK290-AJ290)</f>
        <v>0</v>
      </c>
      <c r="AL292" s="180">
        <f t="shared" ref="AL292" ca="1" si="1665">AL287+AL298+AL299-IF(AL$2=1,AL288,AL288-AK288)+IF(AL$2=1,AL290,AL290-AK290)</f>
        <v>0</v>
      </c>
      <c r="AM292" s="180">
        <f t="shared" ref="AM292" ca="1" si="1666">AM287+AM298+AM299-IF(AM$2=1,AM288,AM288-AL288)+IF(AM$2=1,AM290,AM290-AL290)</f>
        <v>51765.954073457426</v>
      </c>
      <c r="AN292" s="180">
        <f t="shared" ref="AN292" ca="1" si="1667">AN287+AN298+AN299-IF(AN$2=1,AN288,AN288-AM288)+IF(AN$2=1,AN290,AN290-AM290)</f>
        <v>29969.762884633248</v>
      </c>
      <c r="AO292" s="180">
        <f t="shared" ref="AO292" ca="1" si="1668">AO287+AO298+AO299-IF(AO$2=1,AO288,AO288-AN288)+IF(AO$2=1,AO290,AO290-AN290)</f>
        <v>0</v>
      </c>
      <c r="AP292" s="180">
        <f t="shared" ref="AP292" ca="1" si="1669">AP287+AP298+AP299-IF(AP$2=1,AP288,AP288-AO288)+IF(AP$2=1,AP290,AP290-AO290)</f>
        <v>0</v>
      </c>
      <c r="AQ292" s="180">
        <f t="shared" ref="AQ292" ca="1" si="1670">AQ287+AQ298+AQ299-IF(AQ$2=1,AQ288,AQ288-AP288)+IF(AQ$2=1,AQ290,AQ290-AP290)</f>
        <v>54871.911317864891</v>
      </c>
      <c r="AR292" s="180">
        <f t="shared" ref="AR292" ca="1" si="1671">AR287+AR298+AR299-IF(AR$2=1,AR288,AR288-AQ288)+IF(AR$2=1,AR290,AR290-AQ290)</f>
        <v>31767.948657711248</v>
      </c>
      <c r="AS292" s="180">
        <f t="shared" ref="AS292" ca="1" si="1672">AS287+AS298+AS299-IF(AS$2=1,AS288,AS288-AR288)+IF(AS$2=1,AS290,AS290-AR290)</f>
        <v>0</v>
      </c>
      <c r="AT292" s="180">
        <f t="shared" ref="AT292" ca="1" si="1673">AT287+AT298+AT299-IF(AT$2=1,AT288,AT288-AS288)+IF(AT$2=1,AT290,AT290-AS290)</f>
        <v>0</v>
      </c>
      <c r="AU292" s="180">
        <f t="shared" ref="AU292" ca="1" si="1674">AU287+AU298+AU299-IF(AU$2=1,AU288,AU288-AT288)+IF(AU$2=1,AU290,AU290-AT290)</f>
        <v>58164.225996936788</v>
      </c>
      <c r="AV292" s="180">
        <f t="shared" ref="AV292" ca="1" si="1675">AV287+AV298+AV299-IF(AV$2=1,AV288,AV288-AU288)+IF(AV$2=1,AV290,AV290-AU290)</f>
        <v>33674.025577173932</v>
      </c>
      <c r="AW292" s="180"/>
      <c r="AX292" s="169">
        <f ca="1">SUM(G292:AW292)</f>
        <v>731166.40280928812</v>
      </c>
    </row>
    <row r="293" spans="1:50" hidden="1" outlineLevel="1" x14ac:dyDescent="0.2">
      <c r="A293" s="179" t="str">
        <f ca="1">Language!A$603</f>
        <v>темп изменения цен</v>
      </c>
      <c r="B293" s="84"/>
      <c r="C293" s="82" t="str">
        <f ca="1">Language!$A$471</f>
        <v>% в год</v>
      </c>
      <c r="D293" s="153"/>
      <c r="F293" s="57" t="s">
        <v>756</v>
      </c>
      <c r="G293" s="321">
        <f>CHOOSE($D283,Параметры!G$47,Параметры!G$56,Параметры!G$62)</f>
        <v>0.06</v>
      </c>
      <c r="H293" s="321">
        <f>CHOOSE($D283,Параметры!H$47,Параметры!H$56,Параметры!H$62)</f>
        <v>0.06</v>
      </c>
      <c r="I293" s="321">
        <f>CHOOSE($D283,Параметры!I$47,Параметры!I$56,Параметры!I$62)</f>
        <v>0.06</v>
      </c>
      <c r="J293" s="321">
        <f>CHOOSE($D283,Параметры!J$47,Параметры!J$56,Параметры!J$62)</f>
        <v>0.06</v>
      </c>
      <c r="K293" s="321">
        <f>CHOOSE($D283,Параметры!K$47,Параметры!K$56,Параметры!K$62)</f>
        <v>0.06</v>
      </c>
      <c r="L293" s="321">
        <f>CHOOSE($D283,Параметры!L$47,Параметры!L$56,Параметры!L$62)</f>
        <v>0.06</v>
      </c>
      <c r="M293" s="321">
        <f>CHOOSE($D283,Параметры!M$47,Параметры!M$56,Параметры!M$62)</f>
        <v>0.06</v>
      </c>
      <c r="N293" s="321">
        <f>CHOOSE($D283,Параметры!N$47,Параметры!N$56,Параметры!N$62)</f>
        <v>0.06</v>
      </c>
      <c r="O293" s="321">
        <f>CHOOSE($D283,Параметры!O$47,Параметры!O$56,Параметры!O$62)</f>
        <v>0.06</v>
      </c>
      <c r="P293" s="321">
        <f>CHOOSE($D283,Параметры!P$47,Параметры!P$56,Параметры!P$62)</f>
        <v>0.06</v>
      </c>
      <c r="Q293" s="321">
        <f>CHOOSE($D283,Параметры!Q$47,Параметры!Q$56,Параметры!Q$62)</f>
        <v>0.06</v>
      </c>
      <c r="R293" s="321">
        <f>CHOOSE($D283,Параметры!R$47,Параметры!R$56,Параметры!R$62)</f>
        <v>0.06</v>
      </c>
      <c r="S293" s="321">
        <f>CHOOSE($D283,Параметры!S$47,Параметры!S$56,Параметры!S$62)</f>
        <v>0.06</v>
      </c>
      <c r="T293" s="321">
        <f>CHOOSE($D283,Параметры!T$47,Параметры!T$56,Параметры!T$62)</f>
        <v>0.06</v>
      </c>
      <c r="U293" s="321">
        <f>CHOOSE($D283,Параметры!U$47,Параметры!U$56,Параметры!U$62)</f>
        <v>0.06</v>
      </c>
      <c r="V293" s="321">
        <f>CHOOSE($D283,Параметры!V$47,Параметры!V$56,Параметры!V$62)</f>
        <v>0.06</v>
      </c>
      <c r="W293" s="321">
        <f>CHOOSE($D283,Параметры!W$47,Параметры!W$56,Параметры!W$62)</f>
        <v>0.06</v>
      </c>
      <c r="X293" s="321">
        <f>CHOOSE($D283,Параметры!X$47,Параметры!X$56,Параметры!X$62)</f>
        <v>0.06</v>
      </c>
      <c r="Y293" s="321">
        <f>CHOOSE($D283,Параметры!Y$47,Параметры!Y$56,Параметры!Y$62)</f>
        <v>0.06</v>
      </c>
      <c r="Z293" s="321">
        <f>CHOOSE($D283,Параметры!Z$47,Параметры!Z$56,Параметры!Z$62)</f>
        <v>0.06</v>
      </c>
      <c r="AA293" s="321">
        <f>CHOOSE($D283,Параметры!AA$47,Параметры!AA$56,Параметры!AA$62)</f>
        <v>0.06</v>
      </c>
      <c r="AB293" s="321">
        <f>CHOOSE($D283,Параметры!AB$47,Параметры!AB$56,Параметры!AB$62)</f>
        <v>0.06</v>
      </c>
      <c r="AC293" s="321">
        <f>CHOOSE($D283,Параметры!AC$47,Параметры!AC$56,Параметры!AC$62)</f>
        <v>0.06</v>
      </c>
      <c r="AD293" s="321">
        <f>CHOOSE($D283,Параметры!AD$47,Параметры!AD$56,Параметры!AD$62)</f>
        <v>0.06</v>
      </c>
      <c r="AE293" s="321">
        <f>CHOOSE($D283,Параметры!AE$47,Параметры!AE$56,Параметры!AE$62)</f>
        <v>0.06</v>
      </c>
      <c r="AF293" s="321">
        <f>CHOOSE($D283,Параметры!AF$47,Параметры!AF$56,Параметры!AF$62)</f>
        <v>0.06</v>
      </c>
      <c r="AG293" s="321">
        <f>CHOOSE($D283,Параметры!AG$47,Параметры!AG$56,Параметры!AG$62)</f>
        <v>0.06</v>
      </c>
      <c r="AH293" s="321">
        <f>CHOOSE($D283,Параметры!AH$47,Параметры!AH$56,Параметры!AH$62)</f>
        <v>0.06</v>
      </c>
      <c r="AI293" s="321">
        <f>CHOOSE($D283,Параметры!AI$47,Параметры!AI$56,Параметры!AI$62)</f>
        <v>0.06</v>
      </c>
      <c r="AJ293" s="321">
        <f>CHOOSE($D283,Параметры!AJ$47,Параметры!AJ$56,Параметры!AJ$62)</f>
        <v>0.06</v>
      </c>
      <c r="AK293" s="321">
        <f>CHOOSE($D283,Параметры!AK$47,Параметры!AK$56,Параметры!AK$62)</f>
        <v>0.06</v>
      </c>
      <c r="AL293" s="321">
        <f>CHOOSE($D283,Параметры!AL$47,Параметры!AL$56,Параметры!AL$62)</f>
        <v>0.06</v>
      </c>
      <c r="AM293" s="321">
        <f>CHOOSE($D283,Параметры!AM$47,Параметры!AM$56,Параметры!AM$62)</f>
        <v>0.06</v>
      </c>
      <c r="AN293" s="321">
        <f>CHOOSE($D283,Параметры!AN$47,Параметры!AN$56,Параметры!AN$62)</f>
        <v>0.06</v>
      </c>
      <c r="AO293" s="321">
        <f>CHOOSE($D283,Параметры!AO$47,Параметры!AO$56,Параметры!AO$62)</f>
        <v>0.06</v>
      </c>
      <c r="AP293" s="321">
        <f>CHOOSE($D283,Параметры!AP$47,Параметры!AP$56,Параметры!AP$62)</f>
        <v>0.06</v>
      </c>
      <c r="AQ293" s="321">
        <f>CHOOSE($D283,Параметры!AQ$47,Параметры!AQ$56,Параметры!AQ$62)</f>
        <v>0.06</v>
      </c>
      <c r="AR293" s="321">
        <f>CHOOSE($D283,Параметры!AR$47,Параметры!AR$56,Параметры!AR$62)</f>
        <v>0.06</v>
      </c>
      <c r="AS293" s="321">
        <f>CHOOSE($D283,Параметры!AS$47,Параметры!AS$56,Параметры!AS$62)</f>
        <v>0.06</v>
      </c>
      <c r="AT293" s="321">
        <f>CHOOSE($D283,Параметры!AT$47,Параметры!AT$56,Параметры!AT$62)</f>
        <v>0.06</v>
      </c>
      <c r="AU293" s="321">
        <f>CHOOSE($D283,Параметры!AU$47,Параметры!AU$56,Параметры!AU$62)</f>
        <v>0.06</v>
      </c>
      <c r="AV293" s="321">
        <f>CHOOSE($D283,Параметры!AV$47,Параметры!AV$56,Параметры!AV$62)</f>
        <v>0.06</v>
      </c>
      <c r="AW293" s="183"/>
      <c r="AX293" s="184"/>
    </row>
    <row r="294" spans="1:50" hidden="1" outlineLevel="1" x14ac:dyDescent="0.2">
      <c r="A294" s="179" t="str">
        <f ca="1">Language!A$604</f>
        <v>ставка НДС</v>
      </c>
      <c r="B294" s="84"/>
      <c r="C294" s="82" t="s">
        <v>1</v>
      </c>
      <c r="D294" s="66"/>
      <c r="F294" s="57" t="s">
        <v>756</v>
      </c>
      <c r="G294" s="321">
        <f>Параметры!G$72*10/18</f>
        <v>9.9999999999999992E-2</v>
      </c>
      <c r="H294" s="321">
        <f>Параметры!H$72*10/18</f>
        <v>9.9999999999999992E-2</v>
      </c>
      <c r="I294" s="321">
        <f>Параметры!I$72*10/18</f>
        <v>9.9999999999999992E-2</v>
      </c>
      <c r="J294" s="321">
        <f>Параметры!J$72*10/18</f>
        <v>9.9999999999999992E-2</v>
      </c>
      <c r="K294" s="321">
        <f>Параметры!K$72*10/18</f>
        <v>9.9999999999999992E-2</v>
      </c>
      <c r="L294" s="321">
        <f>Параметры!L$72*10/18</f>
        <v>9.9999999999999992E-2</v>
      </c>
      <c r="M294" s="321">
        <f>Параметры!M$72*10/18</f>
        <v>9.9999999999999992E-2</v>
      </c>
      <c r="N294" s="321">
        <f>Параметры!N$72*10/18</f>
        <v>9.9999999999999992E-2</v>
      </c>
      <c r="O294" s="321">
        <f>Параметры!O$72*10/18</f>
        <v>9.9999999999999992E-2</v>
      </c>
      <c r="P294" s="321">
        <f>Параметры!P$72*10/18</f>
        <v>9.9999999999999992E-2</v>
      </c>
      <c r="Q294" s="321">
        <f>Параметры!Q$72*10/18</f>
        <v>9.9999999999999992E-2</v>
      </c>
      <c r="R294" s="321">
        <f>Параметры!R$72*10/18</f>
        <v>9.9999999999999992E-2</v>
      </c>
      <c r="S294" s="321">
        <f>Параметры!S$72*10/18</f>
        <v>9.9999999999999992E-2</v>
      </c>
      <c r="T294" s="321">
        <f>Параметры!T$72*10/18</f>
        <v>9.9999999999999992E-2</v>
      </c>
      <c r="U294" s="321">
        <f>Параметры!U$72*10/18</f>
        <v>9.9999999999999992E-2</v>
      </c>
      <c r="V294" s="321">
        <f>Параметры!V$72*10/18</f>
        <v>9.9999999999999992E-2</v>
      </c>
      <c r="W294" s="321">
        <f>Параметры!W$72*10/18</f>
        <v>9.9999999999999992E-2</v>
      </c>
      <c r="X294" s="321">
        <f>Параметры!X$72*10/18</f>
        <v>9.9999999999999992E-2</v>
      </c>
      <c r="Y294" s="321">
        <f>Параметры!Y$72*10/18</f>
        <v>9.9999999999999992E-2</v>
      </c>
      <c r="Z294" s="321">
        <f>Параметры!Z$72*10/18</f>
        <v>9.9999999999999992E-2</v>
      </c>
      <c r="AA294" s="321">
        <f>Параметры!AA$72*10/18</f>
        <v>9.9999999999999992E-2</v>
      </c>
      <c r="AB294" s="321">
        <f>Параметры!AB$72*10/18</f>
        <v>9.9999999999999992E-2</v>
      </c>
      <c r="AC294" s="321">
        <f>Параметры!AC$72*10/18</f>
        <v>9.9999999999999992E-2</v>
      </c>
      <c r="AD294" s="321">
        <f>Параметры!AD$72*10/18</f>
        <v>9.9999999999999992E-2</v>
      </c>
      <c r="AE294" s="321">
        <f>Параметры!AE$72*10/18</f>
        <v>9.9999999999999992E-2</v>
      </c>
      <c r="AF294" s="321">
        <f>Параметры!AF$72*10/18</f>
        <v>9.9999999999999992E-2</v>
      </c>
      <c r="AG294" s="321">
        <f>Параметры!AG$72*10/18</f>
        <v>9.9999999999999992E-2</v>
      </c>
      <c r="AH294" s="321">
        <f>Параметры!AH$72*10/18</f>
        <v>9.9999999999999992E-2</v>
      </c>
      <c r="AI294" s="321">
        <f>Параметры!AI$72*10/18</f>
        <v>9.9999999999999992E-2</v>
      </c>
      <c r="AJ294" s="321">
        <f>Параметры!AJ$72*10/18</f>
        <v>9.9999999999999992E-2</v>
      </c>
      <c r="AK294" s="321">
        <f>Параметры!AK$72*10/18</f>
        <v>9.9999999999999992E-2</v>
      </c>
      <c r="AL294" s="321">
        <f>Параметры!AL$72*10/18</f>
        <v>9.9999999999999992E-2</v>
      </c>
      <c r="AM294" s="321">
        <f>Параметры!AM$72*10/18</f>
        <v>9.9999999999999992E-2</v>
      </c>
      <c r="AN294" s="321">
        <f>Параметры!AN$72*10/18</f>
        <v>9.9999999999999992E-2</v>
      </c>
      <c r="AO294" s="321">
        <f>Параметры!AO$72*10/18</f>
        <v>9.9999999999999992E-2</v>
      </c>
      <c r="AP294" s="321">
        <f>Параметры!AP$72*10/18</f>
        <v>9.9999999999999992E-2</v>
      </c>
      <c r="AQ294" s="321">
        <f>Параметры!AQ$72*10/18</f>
        <v>9.9999999999999992E-2</v>
      </c>
      <c r="AR294" s="321">
        <f>Параметры!AR$72*10/18</f>
        <v>9.9999999999999992E-2</v>
      </c>
      <c r="AS294" s="321">
        <f>Параметры!AS$72*10/18</f>
        <v>9.9999999999999992E-2</v>
      </c>
      <c r="AT294" s="321">
        <f>Параметры!AT$72*10/18</f>
        <v>9.9999999999999992E-2</v>
      </c>
      <c r="AU294" s="321">
        <f>Параметры!AU$72*10/18</f>
        <v>9.9999999999999992E-2</v>
      </c>
      <c r="AV294" s="321">
        <f>Параметры!AV$72*10/18</f>
        <v>9.9999999999999992E-2</v>
      </c>
      <c r="AW294" s="183"/>
      <c r="AX294" s="87"/>
    </row>
    <row r="295" spans="1:50" hidden="1" outlineLevel="1" x14ac:dyDescent="0.2">
      <c r="A295" s="179" t="str">
        <f ca="1">Language!A$605</f>
        <v>акцизы, на единицу</v>
      </c>
      <c r="B295" s="66"/>
      <c r="C295" s="82" t="str">
        <f ca="1">CHOOSE(D295,CurName1,CurName2,CurName3)&amp;"/"&amp;C285</f>
        <v>тыс. руб./ц</v>
      </c>
      <c r="D295" s="66">
        <f>D283</f>
        <v>1</v>
      </c>
      <c r="F295" s="57" t="s">
        <v>756</v>
      </c>
      <c r="G295" s="319">
        <v>0</v>
      </c>
      <c r="H295" s="319">
        <f t="shared" ref="H295:H296" si="1676">G295</f>
        <v>0</v>
      </c>
      <c r="I295" s="319">
        <f t="shared" ref="I295:I296" si="1677">H295</f>
        <v>0</v>
      </c>
      <c r="J295" s="319">
        <f t="shared" ref="J295:J296" si="1678">I295</f>
        <v>0</v>
      </c>
      <c r="K295" s="319">
        <f t="shared" ref="K295:K296" si="1679">J295</f>
        <v>0</v>
      </c>
      <c r="L295" s="319">
        <f t="shared" ref="L295:L296" si="1680">K295</f>
        <v>0</v>
      </c>
      <c r="M295" s="319">
        <f t="shared" ref="M295:M296" si="1681">L295</f>
        <v>0</v>
      </c>
      <c r="N295" s="319">
        <f t="shared" ref="N295:N296" si="1682">M295</f>
        <v>0</v>
      </c>
      <c r="O295" s="319">
        <f t="shared" ref="O295:O296" si="1683">N295</f>
        <v>0</v>
      </c>
      <c r="P295" s="319">
        <f t="shared" ref="P295:P296" si="1684">O295</f>
        <v>0</v>
      </c>
      <c r="Q295" s="319">
        <f t="shared" ref="Q295:Q296" si="1685">P295</f>
        <v>0</v>
      </c>
      <c r="R295" s="319">
        <f t="shared" ref="R295:R296" si="1686">Q295</f>
        <v>0</v>
      </c>
      <c r="S295" s="319">
        <f t="shared" ref="S295:S296" si="1687">R295</f>
        <v>0</v>
      </c>
      <c r="T295" s="319">
        <f t="shared" ref="T295:T296" si="1688">S295</f>
        <v>0</v>
      </c>
      <c r="U295" s="319">
        <f t="shared" ref="U295:U296" si="1689">T295</f>
        <v>0</v>
      </c>
      <c r="V295" s="319">
        <f t="shared" ref="V295:V296" si="1690">U295</f>
        <v>0</v>
      </c>
      <c r="W295" s="319">
        <f t="shared" ref="W295:W296" si="1691">V295</f>
        <v>0</v>
      </c>
      <c r="X295" s="319">
        <f t="shared" ref="X295:X296" si="1692">W295</f>
        <v>0</v>
      </c>
      <c r="Y295" s="319">
        <f t="shared" ref="Y295:Y296" si="1693">X295</f>
        <v>0</v>
      </c>
      <c r="Z295" s="319">
        <f t="shared" ref="Z295:Z296" si="1694">Y295</f>
        <v>0</v>
      </c>
      <c r="AA295" s="319">
        <f t="shared" ref="AA295:AA296" si="1695">Z295</f>
        <v>0</v>
      </c>
      <c r="AB295" s="319">
        <f t="shared" ref="AB295:AB296" si="1696">AA295</f>
        <v>0</v>
      </c>
      <c r="AC295" s="319">
        <f t="shared" ref="AC295:AC296" si="1697">AB295</f>
        <v>0</v>
      </c>
      <c r="AD295" s="319">
        <f t="shared" ref="AD295:AD296" si="1698">AC295</f>
        <v>0</v>
      </c>
      <c r="AE295" s="319">
        <f t="shared" ref="AE295:AE296" si="1699">AD295</f>
        <v>0</v>
      </c>
      <c r="AF295" s="319">
        <f t="shared" ref="AF295:AF296" si="1700">AE295</f>
        <v>0</v>
      </c>
      <c r="AG295" s="319">
        <f t="shared" ref="AG295:AG296" si="1701">AF295</f>
        <v>0</v>
      </c>
      <c r="AH295" s="319">
        <f t="shared" ref="AH295:AH296" si="1702">AG295</f>
        <v>0</v>
      </c>
      <c r="AI295" s="319">
        <f t="shared" ref="AI295:AI296" si="1703">AH295</f>
        <v>0</v>
      </c>
      <c r="AJ295" s="319">
        <f t="shared" ref="AJ295:AJ296" si="1704">AI295</f>
        <v>0</v>
      </c>
      <c r="AK295" s="319">
        <f t="shared" ref="AK295:AK296" si="1705">AJ295</f>
        <v>0</v>
      </c>
      <c r="AL295" s="319">
        <f t="shared" ref="AL295:AL296" si="1706">AK295</f>
        <v>0</v>
      </c>
      <c r="AM295" s="319">
        <f t="shared" ref="AM295:AM296" si="1707">AL295</f>
        <v>0</v>
      </c>
      <c r="AN295" s="319">
        <f t="shared" ref="AN295:AN296" si="1708">AM295</f>
        <v>0</v>
      </c>
      <c r="AO295" s="319">
        <f t="shared" ref="AO295:AO296" si="1709">AN295</f>
        <v>0</v>
      </c>
      <c r="AP295" s="319">
        <f t="shared" ref="AP295:AP296" si="1710">AO295</f>
        <v>0</v>
      </c>
      <c r="AQ295" s="319">
        <f t="shared" ref="AQ295:AQ296" si="1711">AP295</f>
        <v>0</v>
      </c>
      <c r="AR295" s="319">
        <f t="shared" ref="AR295:AR296" si="1712">AQ295</f>
        <v>0</v>
      </c>
      <c r="AS295" s="319">
        <f t="shared" ref="AS295:AS296" si="1713">AR295</f>
        <v>0</v>
      </c>
      <c r="AT295" s="319">
        <f t="shared" ref="AT295:AT296" si="1714">AS295</f>
        <v>0</v>
      </c>
      <c r="AU295" s="319">
        <f t="shared" ref="AU295:AU296" si="1715">AT295</f>
        <v>0</v>
      </c>
      <c r="AV295" s="319">
        <f t="shared" ref="AV295:AV296" si="1716">AU295</f>
        <v>0</v>
      </c>
      <c r="AW295" s="180"/>
      <c r="AX295" s="87"/>
    </row>
    <row r="296" spans="1:50" hidden="1" outlineLevel="1" x14ac:dyDescent="0.2">
      <c r="A296" s="179" t="str">
        <f ca="1">Language!A$606</f>
        <v>ставка акцизов, в процентах</v>
      </c>
      <c r="B296" s="84"/>
      <c r="C296" s="82" t="s">
        <v>1</v>
      </c>
      <c r="D296" s="66"/>
      <c r="F296" s="57" t="s">
        <v>756</v>
      </c>
      <c r="G296" s="321">
        <v>0</v>
      </c>
      <c r="H296" s="321">
        <f t="shared" si="1676"/>
        <v>0</v>
      </c>
      <c r="I296" s="321">
        <f t="shared" si="1677"/>
        <v>0</v>
      </c>
      <c r="J296" s="321">
        <f t="shared" si="1678"/>
        <v>0</v>
      </c>
      <c r="K296" s="321">
        <f t="shared" si="1679"/>
        <v>0</v>
      </c>
      <c r="L296" s="321">
        <f t="shared" si="1680"/>
        <v>0</v>
      </c>
      <c r="M296" s="321">
        <f t="shared" si="1681"/>
        <v>0</v>
      </c>
      <c r="N296" s="321">
        <f t="shared" si="1682"/>
        <v>0</v>
      </c>
      <c r="O296" s="321">
        <f t="shared" si="1683"/>
        <v>0</v>
      </c>
      <c r="P296" s="321">
        <f t="shared" si="1684"/>
        <v>0</v>
      </c>
      <c r="Q296" s="321">
        <f t="shared" si="1685"/>
        <v>0</v>
      </c>
      <c r="R296" s="321">
        <f t="shared" si="1686"/>
        <v>0</v>
      </c>
      <c r="S296" s="321">
        <f t="shared" si="1687"/>
        <v>0</v>
      </c>
      <c r="T296" s="321">
        <f t="shared" si="1688"/>
        <v>0</v>
      </c>
      <c r="U296" s="321">
        <f t="shared" si="1689"/>
        <v>0</v>
      </c>
      <c r="V296" s="321">
        <f t="shared" si="1690"/>
        <v>0</v>
      </c>
      <c r="W296" s="321">
        <f t="shared" si="1691"/>
        <v>0</v>
      </c>
      <c r="X296" s="321">
        <f t="shared" si="1692"/>
        <v>0</v>
      </c>
      <c r="Y296" s="321">
        <f t="shared" si="1693"/>
        <v>0</v>
      </c>
      <c r="Z296" s="321">
        <f t="shared" si="1694"/>
        <v>0</v>
      </c>
      <c r="AA296" s="321">
        <f t="shared" si="1695"/>
        <v>0</v>
      </c>
      <c r="AB296" s="321">
        <f t="shared" si="1696"/>
        <v>0</v>
      </c>
      <c r="AC296" s="321">
        <f t="shared" si="1697"/>
        <v>0</v>
      </c>
      <c r="AD296" s="321">
        <f t="shared" si="1698"/>
        <v>0</v>
      </c>
      <c r="AE296" s="321">
        <f t="shared" si="1699"/>
        <v>0</v>
      </c>
      <c r="AF296" s="321">
        <f t="shared" si="1700"/>
        <v>0</v>
      </c>
      <c r="AG296" s="321">
        <f t="shared" si="1701"/>
        <v>0</v>
      </c>
      <c r="AH296" s="321">
        <f t="shared" si="1702"/>
        <v>0</v>
      </c>
      <c r="AI296" s="321">
        <f t="shared" si="1703"/>
        <v>0</v>
      </c>
      <c r="AJ296" s="321">
        <f t="shared" si="1704"/>
        <v>0</v>
      </c>
      <c r="AK296" s="321">
        <f t="shared" si="1705"/>
        <v>0</v>
      </c>
      <c r="AL296" s="321">
        <f t="shared" si="1706"/>
        <v>0</v>
      </c>
      <c r="AM296" s="321">
        <f t="shared" si="1707"/>
        <v>0</v>
      </c>
      <c r="AN296" s="321">
        <f t="shared" si="1708"/>
        <v>0</v>
      </c>
      <c r="AO296" s="321">
        <f t="shared" si="1709"/>
        <v>0</v>
      </c>
      <c r="AP296" s="321">
        <f t="shared" si="1710"/>
        <v>0</v>
      </c>
      <c r="AQ296" s="321">
        <f t="shared" si="1711"/>
        <v>0</v>
      </c>
      <c r="AR296" s="321">
        <f t="shared" si="1712"/>
        <v>0</v>
      </c>
      <c r="AS296" s="321">
        <f t="shared" si="1713"/>
        <v>0</v>
      </c>
      <c r="AT296" s="321">
        <f t="shared" si="1714"/>
        <v>0</v>
      </c>
      <c r="AU296" s="321">
        <f t="shared" si="1715"/>
        <v>0</v>
      </c>
      <c r="AV296" s="321">
        <f t="shared" si="1716"/>
        <v>0</v>
      </c>
      <c r="AW296" s="183"/>
      <c r="AX296" s="87"/>
    </row>
    <row r="297" spans="1:50" hidden="1" outlineLevel="1" x14ac:dyDescent="0.2">
      <c r="A297" s="179" t="str">
        <f ca="1">Language!A$607</f>
        <v>коэффициент прироста цен к предыдущему периоду</v>
      </c>
      <c r="B297" s="84"/>
      <c r="C297" s="82" t="str">
        <f ca="1">Language!$A$1449</f>
        <v>раз</v>
      </c>
      <c r="D297" s="66"/>
      <c r="F297" s="57" t="s">
        <v>756</v>
      </c>
      <c r="G297" s="86">
        <f ca="1">IF(G$2=1,1,IF(Prj_Inflation=1,POWER(1+OFFSET(G293,0,-1),Параметры!G$30/360),1))</f>
        <v>1</v>
      </c>
      <c r="H297" s="86">
        <f ca="1">IF(H$2=1,1,IF(Prj_Inflation=1,POWER(1+OFFSET(H293,0,-1),Параметры!H$30/360),1))</f>
        <v>1.0146738461686593</v>
      </c>
      <c r="I297" s="86">
        <f ca="1">IF(I$2=1,1,IF(Prj_Inflation=1,POWER(1+OFFSET(I293,0,-1),Параметры!I$30/360),1))</f>
        <v>1.0146738461686593</v>
      </c>
      <c r="J297" s="86">
        <f ca="1">IF(J$2=1,1,IF(Prj_Inflation=1,POWER(1+OFFSET(J293,0,-1),Параметры!J$30/360),1))</f>
        <v>1.0146738461686593</v>
      </c>
      <c r="K297" s="86">
        <f ca="1">IF(K$2=1,1,IF(Prj_Inflation=1,POWER(1+OFFSET(K293,0,-1),Параметры!K$30/360),1))</f>
        <v>1.0146738461686593</v>
      </c>
      <c r="L297" s="86">
        <f ca="1">IF(L$2=1,1,IF(Prj_Inflation=1,POWER(1+OFFSET(L293,0,-1),Параметры!L$30/360),1))</f>
        <v>1.0146738461686593</v>
      </c>
      <c r="M297" s="86">
        <f ca="1">IF(M$2=1,1,IF(Prj_Inflation=1,POWER(1+OFFSET(M293,0,-1),Параметры!M$30/360),1))</f>
        <v>1.0146738461686593</v>
      </c>
      <c r="N297" s="86">
        <f ca="1">IF(N$2=1,1,IF(Prj_Inflation=1,POWER(1+OFFSET(N293,0,-1),Параметры!N$30/360),1))</f>
        <v>1.0146738461686593</v>
      </c>
      <c r="O297" s="86">
        <f ca="1">IF(O$2=1,1,IF(Prj_Inflation=1,POWER(1+OFFSET(O293,0,-1),Параметры!O$30/360),1))</f>
        <v>1.0146738461686593</v>
      </c>
      <c r="P297" s="86">
        <f ca="1">IF(P$2=1,1,IF(Prj_Inflation=1,POWER(1+OFFSET(P293,0,-1),Параметры!P$30/360),1))</f>
        <v>1.0146738461686593</v>
      </c>
      <c r="Q297" s="86">
        <f ca="1">IF(Q$2=1,1,IF(Prj_Inflation=1,POWER(1+OFFSET(Q293,0,-1),Параметры!Q$30/360),1))</f>
        <v>1.0146738461686593</v>
      </c>
      <c r="R297" s="86">
        <f ca="1">IF(R$2=1,1,IF(Prj_Inflation=1,POWER(1+OFFSET(R293,0,-1),Параметры!R$30/360),1))</f>
        <v>1.0146738461686593</v>
      </c>
      <c r="S297" s="86">
        <f ca="1">IF(S$2=1,1,IF(Prj_Inflation=1,POWER(1+OFFSET(S293,0,-1),Параметры!S$30/360),1))</f>
        <v>1.0146738461686593</v>
      </c>
      <c r="T297" s="86">
        <f ca="1">IF(T$2=1,1,IF(Prj_Inflation=1,POWER(1+OFFSET(T293,0,-1),Параметры!T$30/360),1))</f>
        <v>1.0146738461686593</v>
      </c>
      <c r="U297" s="86">
        <f ca="1">IF(U$2=1,1,IF(Prj_Inflation=1,POWER(1+OFFSET(U293,0,-1),Параметры!U$30/360),1))</f>
        <v>1.0146738461686593</v>
      </c>
      <c r="V297" s="86">
        <f ca="1">IF(V$2=1,1,IF(Prj_Inflation=1,POWER(1+OFFSET(V293,0,-1),Параметры!V$30/360),1))</f>
        <v>1.0146738461686593</v>
      </c>
      <c r="W297" s="86">
        <f ca="1">IF(W$2=1,1,IF(Prj_Inflation=1,POWER(1+OFFSET(W293,0,-1),Параметры!W$30/360),1))</f>
        <v>1.0146738461686593</v>
      </c>
      <c r="X297" s="86">
        <f ca="1">IF(X$2=1,1,IF(Prj_Inflation=1,POWER(1+OFFSET(X293,0,-1),Параметры!X$30/360),1))</f>
        <v>1.0146738461686593</v>
      </c>
      <c r="Y297" s="86">
        <f ca="1">IF(Y$2=1,1,IF(Prj_Inflation=1,POWER(1+OFFSET(Y293,0,-1),Параметры!Y$30/360),1))</f>
        <v>1.0146738461686593</v>
      </c>
      <c r="Z297" s="86">
        <f ca="1">IF(Z$2=1,1,IF(Prj_Inflation=1,POWER(1+OFFSET(Z293,0,-1),Параметры!Z$30/360),1))</f>
        <v>1.0146738461686593</v>
      </c>
      <c r="AA297" s="86">
        <f ca="1">IF(AA$2=1,1,IF(Prj_Inflation=1,POWER(1+OFFSET(AA293,0,-1),Параметры!AA$30/360),1))</f>
        <v>1.0146738461686593</v>
      </c>
      <c r="AB297" s="86">
        <f ca="1">IF(AB$2=1,1,IF(Prj_Inflation=1,POWER(1+OFFSET(AB293,0,-1),Параметры!AB$30/360),1))</f>
        <v>1.0146738461686593</v>
      </c>
      <c r="AC297" s="86">
        <f ca="1">IF(AC$2=1,1,IF(Prj_Inflation=1,POWER(1+OFFSET(AC293,0,-1),Параметры!AC$30/360),1))</f>
        <v>1.0146738461686593</v>
      </c>
      <c r="AD297" s="86">
        <f ca="1">IF(AD$2=1,1,IF(Prj_Inflation=1,POWER(1+OFFSET(AD293,0,-1),Параметры!AD$30/360),1))</f>
        <v>1.0146738461686593</v>
      </c>
      <c r="AE297" s="86">
        <f ca="1">IF(AE$2=1,1,IF(Prj_Inflation=1,POWER(1+OFFSET(AE293,0,-1),Параметры!AE$30/360),1))</f>
        <v>1.0146738461686593</v>
      </c>
      <c r="AF297" s="86">
        <f ca="1">IF(AF$2=1,1,IF(Prj_Inflation=1,POWER(1+OFFSET(AF293,0,-1),Параметры!AF$30/360),1))</f>
        <v>1.0146738461686593</v>
      </c>
      <c r="AG297" s="86">
        <f ca="1">IF(AG$2=1,1,IF(Prj_Inflation=1,POWER(1+OFFSET(AG293,0,-1),Параметры!AG$30/360),1))</f>
        <v>1.0146738461686593</v>
      </c>
      <c r="AH297" s="86">
        <f ca="1">IF(AH$2=1,1,IF(Prj_Inflation=1,POWER(1+OFFSET(AH293,0,-1),Параметры!AH$30/360),1))</f>
        <v>1.0146738461686593</v>
      </c>
      <c r="AI297" s="86">
        <f ca="1">IF(AI$2=1,1,IF(Prj_Inflation=1,POWER(1+OFFSET(AI293,0,-1),Параметры!AI$30/360),1))</f>
        <v>1.0146738461686593</v>
      </c>
      <c r="AJ297" s="86">
        <f ca="1">IF(AJ$2=1,1,IF(Prj_Inflation=1,POWER(1+OFFSET(AJ293,0,-1),Параметры!AJ$30/360),1))</f>
        <v>1.0146738461686593</v>
      </c>
      <c r="AK297" s="86">
        <f ca="1">IF(AK$2=1,1,IF(Prj_Inflation=1,POWER(1+OFFSET(AK293,0,-1),Параметры!AK$30/360),1))</f>
        <v>1.0146738461686593</v>
      </c>
      <c r="AL297" s="86">
        <f ca="1">IF(AL$2=1,1,IF(Prj_Inflation=1,POWER(1+OFFSET(AL293,0,-1),Параметры!AL$30/360),1))</f>
        <v>1.0146738461686593</v>
      </c>
      <c r="AM297" s="86">
        <f ca="1">IF(AM$2=1,1,IF(Prj_Inflation=1,POWER(1+OFFSET(AM293,0,-1),Параметры!AM$30/360),1))</f>
        <v>1.0146738461686593</v>
      </c>
      <c r="AN297" s="86">
        <f ca="1">IF(AN$2=1,1,IF(Prj_Inflation=1,POWER(1+OFFSET(AN293,0,-1),Параметры!AN$30/360),1))</f>
        <v>1.0146738461686593</v>
      </c>
      <c r="AO297" s="86">
        <f ca="1">IF(AO$2=1,1,IF(Prj_Inflation=1,POWER(1+OFFSET(AO293,0,-1),Параметры!AO$30/360),1))</f>
        <v>1.0146738461686593</v>
      </c>
      <c r="AP297" s="86">
        <f ca="1">IF(AP$2=1,1,IF(Prj_Inflation=1,POWER(1+OFFSET(AP293,0,-1),Параметры!AP$30/360),1))</f>
        <v>1.0146738461686593</v>
      </c>
      <c r="AQ297" s="86">
        <f ca="1">IF(AQ$2=1,1,IF(Prj_Inflation=1,POWER(1+OFFSET(AQ293,0,-1),Параметры!AQ$30/360),1))</f>
        <v>1.0146738461686593</v>
      </c>
      <c r="AR297" s="86">
        <f ca="1">IF(AR$2=1,1,IF(Prj_Inflation=1,POWER(1+OFFSET(AR293,0,-1),Параметры!AR$30/360),1))</f>
        <v>1.0146738461686593</v>
      </c>
      <c r="AS297" s="86">
        <f ca="1">IF(AS$2=1,1,IF(Prj_Inflation=1,POWER(1+OFFSET(AS293,0,-1),Параметры!AS$30/360),1))</f>
        <v>1.0146738461686593</v>
      </c>
      <c r="AT297" s="86">
        <f ca="1">IF(AT$2=1,1,IF(Prj_Inflation=1,POWER(1+OFFSET(AT293,0,-1),Параметры!AT$30/360),1))</f>
        <v>1.0146738461686593</v>
      </c>
      <c r="AU297" s="86">
        <f ca="1">IF(AU$2=1,1,IF(Prj_Inflation=1,POWER(1+OFFSET(AU293,0,-1),Параметры!AU$30/360),1))</f>
        <v>1.0146738461686593</v>
      </c>
      <c r="AV297" s="86">
        <f ca="1">IF(AV$2=1,1,IF(Prj_Inflation=1,POWER(1+OFFSET(AV293,0,-1),Параметры!AV$30/360),1))</f>
        <v>1.0146738461686593</v>
      </c>
      <c r="AW297" s="86"/>
      <c r="AX297" s="87"/>
    </row>
    <row r="298" spans="1:50" hidden="1" outlineLevel="1" x14ac:dyDescent="0.2">
      <c r="A298" s="179" t="str">
        <f ca="1">Language!A$608</f>
        <v>акцизы начисленные</v>
      </c>
      <c r="B298" s="66"/>
      <c r="C298" s="82" t="str">
        <f ca="1">CHOOSE(D298,CurName1,CurName2,CurName3)</f>
        <v>тыс. руб.</v>
      </c>
      <c r="D298" s="155">
        <f>D283</f>
        <v>1</v>
      </c>
      <c r="E298" s="57" t="s">
        <v>996</v>
      </c>
      <c r="F298" s="57" t="s">
        <v>753</v>
      </c>
      <c r="G298" s="185">
        <f t="shared" ref="G298:AV298" ca="1" si="1717">G287*G296+G285*G295</f>
        <v>0</v>
      </c>
      <c r="H298" s="185">
        <f t="shared" ca="1" si="1717"/>
        <v>0</v>
      </c>
      <c r="I298" s="185">
        <f t="shared" ca="1" si="1717"/>
        <v>0</v>
      </c>
      <c r="J298" s="185">
        <f t="shared" ca="1" si="1717"/>
        <v>0</v>
      </c>
      <c r="K298" s="185">
        <f t="shared" ca="1" si="1717"/>
        <v>0</v>
      </c>
      <c r="L298" s="185">
        <f t="shared" ca="1" si="1717"/>
        <v>0</v>
      </c>
      <c r="M298" s="185">
        <f t="shared" ca="1" si="1717"/>
        <v>0</v>
      </c>
      <c r="N298" s="185">
        <f t="shared" ca="1" si="1717"/>
        <v>0</v>
      </c>
      <c r="O298" s="185">
        <f t="shared" ca="1" si="1717"/>
        <v>0</v>
      </c>
      <c r="P298" s="185">
        <f t="shared" ca="1" si="1717"/>
        <v>0</v>
      </c>
      <c r="Q298" s="185">
        <f t="shared" ca="1" si="1717"/>
        <v>0</v>
      </c>
      <c r="R298" s="185">
        <f t="shared" ca="1" si="1717"/>
        <v>0</v>
      </c>
      <c r="S298" s="185">
        <f t="shared" ca="1" si="1717"/>
        <v>0</v>
      </c>
      <c r="T298" s="185">
        <f t="shared" ca="1" si="1717"/>
        <v>0</v>
      </c>
      <c r="U298" s="185">
        <f t="shared" ca="1" si="1717"/>
        <v>0</v>
      </c>
      <c r="V298" s="185">
        <f t="shared" ca="1" si="1717"/>
        <v>0</v>
      </c>
      <c r="W298" s="185">
        <f t="shared" ca="1" si="1717"/>
        <v>0</v>
      </c>
      <c r="X298" s="185">
        <f t="shared" ca="1" si="1717"/>
        <v>0</v>
      </c>
      <c r="Y298" s="185">
        <f t="shared" ca="1" si="1717"/>
        <v>0</v>
      </c>
      <c r="Z298" s="185">
        <f t="shared" ca="1" si="1717"/>
        <v>0</v>
      </c>
      <c r="AA298" s="185">
        <f t="shared" ca="1" si="1717"/>
        <v>0</v>
      </c>
      <c r="AB298" s="185">
        <f t="shared" ca="1" si="1717"/>
        <v>0</v>
      </c>
      <c r="AC298" s="185">
        <f t="shared" ca="1" si="1717"/>
        <v>0</v>
      </c>
      <c r="AD298" s="185">
        <f t="shared" ca="1" si="1717"/>
        <v>0</v>
      </c>
      <c r="AE298" s="185">
        <f t="shared" ca="1" si="1717"/>
        <v>0</v>
      </c>
      <c r="AF298" s="185">
        <f t="shared" ca="1" si="1717"/>
        <v>0</v>
      </c>
      <c r="AG298" s="185">
        <f t="shared" ca="1" si="1717"/>
        <v>0</v>
      </c>
      <c r="AH298" s="185">
        <f t="shared" ca="1" si="1717"/>
        <v>0</v>
      </c>
      <c r="AI298" s="185">
        <f t="shared" ca="1" si="1717"/>
        <v>0</v>
      </c>
      <c r="AJ298" s="185">
        <f t="shared" ca="1" si="1717"/>
        <v>0</v>
      </c>
      <c r="AK298" s="185">
        <f t="shared" ca="1" si="1717"/>
        <v>0</v>
      </c>
      <c r="AL298" s="185">
        <f t="shared" ca="1" si="1717"/>
        <v>0</v>
      </c>
      <c r="AM298" s="185">
        <f t="shared" ca="1" si="1717"/>
        <v>0</v>
      </c>
      <c r="AN298" s="185">
        <f t="shared" ca="1" si="1717"/>
        <v>0</v>
      </c>
      <c r="AO298" s="185">
        <f t="shared" ca="1" si="1717"/>
        <v>0</v>
      </c>
      <c r="AP298" s="185">
        <f t="shared" ca="1" si="1717"/>
        <v>0</v>
      </c>
      <c r="AQ298" s="185">
        <f t="shared" ca="1" si="1717"/>
        <v>0</v>
      </c>
      <c r="AR298" s="185">
        <f t="shared" ca="1" si="1717"/>
        <v>0</v>
      </c>
      <c r="AS298" s="185">
        <f t="shared" ca="1" si="1717"/>
        <v>0</v>
      </c>
      <c r="AT298" s="185">
        <f t="shared" ca="1" si="1717"/>
        <v>0</v>
      </c>
      <c r="AU298" s="185">
        <f t="shared" ca="1" si="1717"/>
        <v>0</v>
      </c>
      <c r="AV298" s="185">
        <f t="shared" ca="1" si="1717"/>
        <v>0</v>
      </c>
      <c r="AW298" s="180"/>
      <c r="AX298" s="169">
        <f ca="1">SUM(G298:AW298)</f>
        <v>0</v>
      </c>
    </row>
    <row r="299" spans="1:50" hidden="1" outlineLevel="1" x14ac:dyDescent="0.2">
      <c r="A299" s="179" t="str">
        <f ca="1">Language!A$609</f>
        <v>НДС начисленный</v>
      </c>
      <c r="B299" s="66"/>
      <c r="C299" s="82" t="str">
        <f ca="1">CHOOSE(D299,CurName1,CurName2,CurName3)</f>
        <v>тыс. руб.</v>
      </c>
      <c r="D299" s="155">
        <f>D283</f>
        <v>1</v>
      </c>
      <c r="E299" s="57" t="s">
        <v>789</v>
      </c>
      <c r="F299" s="57" t="s">
        <v>753</v>
      </c>
      <c r="G299" s="185">
        <f t="shared" ref="G299:AV299" ca="1" si="1718">(G287+G298)*G294</f>
        <v>1333.875</v>
      </c>
      <c r="H299" s="185">
        <f t="shared" ca="1" si="1718"/>
        <v>0</v>
      </c>
      <c r="I299" s="185">
        <f t="shared" ca="1" si="1718"/>
        <v>0</v>
      </c>
      <c r="J299" s="185">
        <f t="shared" ca="1" si="1718"/>
        <v>0</v>
      </c>
      <c r="K299" s="185">
        <f t="shared" ca="1" si="1718"/>
        <v>4941.7200000000012</v>
      </c>
      <c r="L299" s="185">
        <f t="shared" ca="1" si="1718"/>
        <v>0</v>
      </c>
      <c r="M299" s="185">
        <f t="shared" ca="1" si="1718"/>
        <v>0</v>
      </c>
      <c r="N299" s="185">
        <f t="shared" ca="1" si="1718"/>
        <v>0</v>
      </c>
      <c r="O299" s="185">
        <f t="shared" ca="1" si="1718"/>
        <v>5238.2232000000013</v>
      </c>
      <c r="P299" s="185">
        <f t="shared" ca="1" si="1718"/>
        <v>0</v>
      </c>
      <c r="Q299" s="185">
        <f t="shared" ca="1" si="1718"/>
        <v>0</v>
      </c>
      <c r="R299" s="185">
        <f t="shared" ca="1" si="1718"/>
        <v>0</v>
      </c>
      <c r="S299" s="185">
        <f t="shared" ca="1" si="1718"/>
        <v>5552.5165920000018</v>
      </c>
      <c r="T299" s="185">
        <f t="shared" ca="1" si="1718"/>
        <v>0</v>
      </c>
      <c r="U299" s="185">
        <f t="shared" ca="1" si="1718"/>
        <v>0</v>
      </c>
      <c r="V299" s="185">
        <f t="shared" ca="1" si="1718"/>
        <v>0</v>
      </c>
      <c r="W299" s="185">
        <f t="shared" ca="1" si="1718"/>
        <v>5885.6675875200026</v>
      </c>
      <c r="X299" s="185">
        <f t="shared" ca="1" si="1718"/>
        <v>0</v>
      </c>
      <c r="Y299" s="185">
        <f t="shared" ca="1" si="1718"/>
        <v>0</v>
      </c>
      <c r="Z299" s="185">
        <f t="shared" ca="1" si="1718"/>
        <v>0</v>
      </c>
      <c r="AA299" s="185">
        <f t="shared" ca="1" si="1718"/>
        <v>6238.8076427712031</v>
      </c>
      <c r="AB299" s="185">
        <f t="shared" ca="1" si="1718"/>
        <v>0</v>
      </c>
      <c r="AC299" s="185">
        <f t="shared" ca="1" si="1718"/>
        <v>0</v>
      </c>
      <c r="AD299" s="185">
        <f t="shared" ca="1" si="1718"/>
        <v>0</v>
      </c>
      <c r="AE299" s="185">
        <f t="shared" ca="1" si="1718"/>
        <v>6613.1361013374762</v>
      </c>
      <c r="AF299" s="185">
        <f t="shared" ca="1" si="1718"/>
        <v>0</v>
      </c>
      <c r="AG299" s="185">
        <f t="shared" ca="1" si="1718"/>
        <v>0</v>
      </c>
      <c r="AH299" s="185">
        <f t="shared" ca="1" si="1718"/>
        <v>0</v>
      </c>
      <c r="AI299" s="185">
        <f t="shared" ca="1" si="1718"/>
        <v>7009.9242674177258</v>
      </c>
      <c r="AJ299" s="185">
        <f t="shared" ca="1" si="1718"/>
        <v>0</v>
      </c>
      <c r="AK299" s="185">
        <f t="shared" ca="1" si="1718"/>
        <v>0</v>
      </c>
      <c r="AL299" s="185">
        <f t="shared" ca="1" si="1718"/>
        <v>0</v>
      </c>
      <c r="AM299" s="185">
        <f t="shared" ca="1" si="1718"/>
        <v>7430.5197234627885</v>
      </c>
      <c r="AN299" s="185">
        <f t="shared" ca="1" si="1718"/>
        <v>0</v>
      </c>
      <c r="AO299" s="185">
        <f t="shared" ca="1" si="1718"/>
        <v>0</v>
      </c>
      <c r="AP299" s="185">
        <f t="shared" ca="1" si="1718"/>
        <v>0</v>
      </c>
      <c r="AQ299" s="185">
        <f t="shared" ca="1" si="1718"/>
        <v>7876.3509068705571</v>
      </c>
      <c r="AR299" s="185">
        <f t="shared" ca="1" si="1718"/>
        <v>0</v>
      </c>
      <c r="AS299" s="185">
        <f t="shared" ca="1" si="1718"/>
        <v>0</v>
      </c>
      <c r="AT299" s="185">
        <f t="shared" ca="1" si="1718"/>
        <v>0</v>
      </c>
      <c r="AU299" s="185">
        <f t="shared" ca="1" si="1718"/>
        <v>8348.9319612827912</v>
      </c>
      <c r="AV299" s="185">
        <f t="shared" ca="1" si="1718"/>
        <v>0</v>
      </c>
      <c r="AW299" s="180"/>
      <c r="AX299" s="169">
        <f ca="1">SUM(G299:AW299)</f>
        <v>66469.672982662552</v>
      </c>
    </row>
    <row r="300" spans="1:50" hidden="1" outlineLevel="1" x14ac:dyDescent="0.2">
      <c r="A300" s="179" t="str">
        <f ca="1">Language!A$610</f>
        <v>НДС полученный с авансов</v>
      </c>
      <c r="B300" s="66"/>
      <c r="C300" s="82" t="str">
        <f ca="1">CHOOSE(D300,CurName1,CurName2,CurName3)</f>
        <v>тыс. руб.</v>
      </c>
      <c r="D300" s="155">
        <f>D283</f>
        <v>1</v>
      </c>
      <c r="E300" s="57" t="s">
        <v>1450</v>
      </c>
      <c r="F300" s="57" t="s">
        <v>753</v>
      </c>
      <c r="G300" s="185">
        <f ca="1">G290*G294/(1+G294)</f>
        <v>0</v>
      </c>
      <c r="H300" s="185">
        <f t="shared" ref="H300:AV300" ca="1" si="1719">H290*H294/(1+H294)</f>
        <v>0</v>
      </c>
      <c r="I300" s="185">
        <f t="shared" ca="1" si="1719"/>
        <v>0</v>
      </c>
      <c r="J300" s="185">
        <f t="shared" ca="1" si="1719"/>
        <v>0</v>
      </c>
      <c r="K300" s="185">
        <f t="shared" ca="1" si="1719"/>
        <v>0</v>
      </c>
      <c r="L300" s="185">
        <f t="shared" ca="1" si="1719"/>
        <v>0</v>
      </c>
      <c r="M300" s="185">
        <f t="shared" ca="1" si="1719"/>
        <v>0</v>
      </c>
      <c r="N300" s="185">
        <f t="shared" ca="1" si="1719"/>
        <v>0</v>
      </c>
      <c r="O300" s="185">
        <f t="shared" ca="1" si="1719"/>
        <v>0</v>
      </c>
      <c r="P300" s="185">
        <f t="shared" ca="1" si="1719"/>
        <v>0</v>
      </c>
      <c r="Q300" s="185">
        <f t="shared" ca="1" si="1719"/>
        <v>0</v>
      </c>
      <c r="R300" s="185">
        <f t="shared" ca="1" si="1719"/>
        <v>0</v>
      </c>
      <c r="S300" s="185">
        <f t="shared" ca="1" si="1719"/>
        <v>0</v>
      </c>
      <c r="T300" s="185">
        <f t="shared" ca="1" si="1719"/>
        <v>0</v>
      </c>
      <c r="U300" s="185">
        <f t="shared" ca="1" si="1719"/>
        <v>0</v>
      </c>
      <c r="V300" s="185">
        <f t="shared" ca="1" si="1719"/>
        <v>0</v>
      </c>
      <c r="W300" s="185">
        <f t="shared" ca="1" si="1719"/>
        <v>0</v>
      </c>
      <c r="X300" s="185">
        <f t="shared" ca="1" si="1719"/>
        <v>0</v>
      </c>
      <c r="Y300" s="185">
        <f t="shared" ca="1" si="1719"/>
        <v>0</v>
      </c>
      <c r="Z300" s="185">
        <f t="shared" ca="1" si="1719"/>
        <v>0</v>
      </c>
      <c r="AA300" s="185">
        <f t="shared" ca="1" si="1719"/>
        <v>0</v>
      </c>
      <c r="AB300" s="185">
        <f t="shared" ca="1" si="1719"/>
        <v>0</v>
      </c>
      <c r="AC300" s="185">
        <f t="shared" ca="1" si="1719"/>
        <v>0</v>
      </c>
      <c r="AD300" s="185">
        <f t="shared" ca="1" si="1719"/>
        <v>0</v>
      </c>
      <c r="AE300" s="185">
        <f t="shared" ca="1" si="1719"/>
        <v>0</v>
      </c>
      <c r="AF300" s="185">
        <f t="shared" ca="1" si="1719"/>
        <v>0</v>
      </c>
      <c r="AG300" s="185">
        <f t="shared" ca="1" si="1719"/>
        <v>0</v>
      </c>
      <c r="AH300" s="185">
        <f t="shared" ca="1" si="1719"/>
        <v>0</v>
      </c>
      <c r="AI300" s="185">
        <f t="shared" ca="1" si="1719"/>
        <v>0</v>
      </c>
      <c r="AJ300" s="185">
        <f t="shared" ca="1" si="1719"/>
        <v>0</v>
      </c>
      <c r="AK300" s="185">
        <f t="shared" ca="1" si="1719"/>
        <v>0</v>
      </c>
      <c r="AL300" s="185">
        <f t="shared" ca="1" si="1719"/>
        <v>0</v>
      </c>
      <c r="AM300" s="185">
        <f t="shared" ca="1" si="1719"/>
        <v>0</v>
      </c>
      <c r="AN300" s="185">
        <f t="shared" ca="1" si="1719"/>
        <v>0</v>
      </c>
      <c r="AO300" s="185">
        <f t="shared" ca="1" si="1719"/>
        <v>0</v>
      </c>
      <c r="AP300" s="185">
        <f t="shared" ca="1" si="1719"/>
        <v>0</v>
      </c>
      <c r="AQ300" s="185">
        <f t="shared" ca="1" si="1719"/>
        <v>0</v>
      </c>
      <c r="AR300" s="185">
        <f t="shared" ca="1" si="1719"/>
        <v>0</v>
      </c>
      <c r="AS300" s="185">
        <f t="shared" ca="1" si="1719"/>
        <v>0</v>
      </c>
      <c r="AT300" s="185">
        <f t="shared" ca="1" si="1719"/>
        <v>0</v>
      </c>
      <c r="AU300" s="185">
        <f t="shared" ca="1" si="1719"/>
        <v>0</v>
      </c>
      <c r="AV300" s="185">
        <f t="shared" ca="1" si="1719"/>
        <v>0</v>
      </c>
      <c r="AW300" s="180"/>
      <c r="AX300" s="169">
        <f ca="1">SUM(G300:AW300)</f>
        <v>0</v>
      </c>
    </row>
    <row r="301" spans="1:50" x14ac:dyDescent="0.2">
      <c r="A301" s="317" t="s">
        <v>2296</v>
      </c>
      <c r="B301" s="102"/>
      <c r="C301" s="166"/>
      <c r="D301" s="158">
        <v>1</v>
      </c>
      <c r="F301" s="57" t="s">
        <v>2289</v>
      </c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150"/>
    </row>
    <row r="302" spans="1:50" hidden="1" x14ac:dyDescent="0.2">
      <c r="A302" s="172" t="str">
        <f ca="1">Language!A$594</f>
        <v>коэффициент загрузки</v>
      </c>
      <c r="B302" s="173"/>
      <c r="C302" s="173"/>
      <c r="D302" s="174"/>
      <c r="F302" s="57" t="s">
        <v>756</v>
      </c>
      <c r="G302" s="318">
        <f t="shared" ref="G302:AV302" si="1720">IF(G$2&gt;Prj_Invest,1,0)</f>
        <v>1</v>
      </c>
      <c r="H302" s="318">
        <f t="shared" si="1720"/>
        <v>1</v>
      </c>
      <c r="I302" s="318">
        <f t="shared" si="1720"/>
        <v>1</v>
      </c>
      <c r="J302" s="318">
        <f t="shared" si="1720"/>
        <v>1</v>
      </c>
      <c r="K302" s="318">
        <f t="shared" si="1720"/>
        <v>1</v>
      </c>
      <c r="L302" s="318">
        <f t="shared" si="1720"/>
        <v>1</v>
      </c>
      <c r="M302" s="318">
        <f t="shared" si="1720"/>
        <v>1</v>
      </c>
      <c r="N302" s="318">
        <f t="shared" si="1720"/>
        <v>1</v>
      </c>
      <c r="O302" s="318">
        <f t="shared" si="1720"/>
        <v>1</v>
      </c>
      <c r="P302" s="318">
        <f t="shared" si="1720"/>
        <v>1</v>
      </c>
      <c r="Q302" s="318">
        <f t="shared" si="1720"/>
        <v>1</v>
      </c>
      <c r="R302" s="318">
        <f t="shared" si="1720"/>
        <v>1</v>
      </c>
      <c r="S302" s="318">
        <f t="shared" si="1720"/>
        <v>1</v>
      </c>
      <c r="T302" s="318">
        <f t="shared" si="1720"/>
        <v>1</v>
      </c>
      <c r="U302" s="318">
        <f t="shared" si="1720"/>
        <v>1</v>
      </c>
      <c r="V302" s="318">
        <f t="shared" si="1720"/>
        <v>1</v>
      </c>
      <c r="W302" s="318">
        <f t="shared" si="1720"/>
        <v>1</v>
      </c>
      <c r="X302" s="318">
        <f t="shared" si="1720"/>
        <v>1</v>
      </c>
      <c r="Y302" s="318">
        <f t="shared" si="1720"/>
        <v>1</v>
      </c>
      <c r="Z302" s="318">
        <f t="shared" si="1720"/>
        <v>1</v>
      </c>
      <c r="AA302" s="318">
        <f t="shared" si="1720"/>
        <v>1</v>
      </c>
      <c r="AB302" s="318">
        <f t="shared" si="1720"/>
        <v>1</v>
      </c>
      <c r="AC302" s="318">
        <f t="shared" si="1720"/>
        <v>1</v>
      </c>
      <c r="AD302" s="318">
        <f t="shared" si="1720"/>
        <v>1</v>
      </c>
      <c r="AE302" s="318">
        <f t="shared" si="1720"/>
        <v>1</v>
      </c>
      <c r="AF302" s="318">
        <f t="shared" si="1720"/>
        <v>1</v>
      </c>
      <c r="AG302" s="318">
        <f t="shared" si="1720"/>
        <v>1</v>
      </c>
      <c r="AH302" s="318">
        <f t="shared" si="1720"/>
        <v>1</v>
      </c>
      <c r="AI302" s="318">
        <f t="shared" si="1720"/>
        <v>1</v>
      </c>
      <c r="AJ302" s="318">
        <f t="shared" si="1720"/>
        <v>1</v>
      </c>
      <c r="AK302" s="318">
        <f t="shared" si="1720"/>
        <v>1</v>
      </c>
      <c r="AL302" s="318">
        <f t="shared" si="1720"/>
        <v>1</v>
      </c>
      <c r="AM302" s="318">
        <f t="shared" si="1720"/>
        <v>1</v>
      </c>
      <c r="AN302" s="318">
        <f t="shared" si="1720"/>
        <v>1</v>
      </c>
      <c r="AO302" s="318">
        <f t="shared" si="1720"/>
        <v>1</v>
      </c>
      <c r="AP302" s="318">
        <f t="shared" si="1720"/>
        <v>1</v>
      </c>
      <c r="AQ302" s="318">
        <f t="shared" si="1720"/>
        <v>1</v>
      </c>
      <c r="AR302" s="318">
        <f t="shared" si="1720"/>
        <v>1</v>
      </c>
      <c r="AS302" s="318">
        <f t="shared" si="1720"/>
        <v>1</v>
      </c>
      <c r="AT302" s="318">
        <f t="shared" si="1720"/>
        <v>1</v>
      </c>
      <c r="AU302" s="318">
        <f t="shared" si="1720"/>
        <v>1</v>
      </c>
      <c r="AV302" s="318">
        <f t="shared" si="1720"/>
        <v>1</v>
      </c>
      <c r="AW302" s="175"/>
      <c r="AX302" s="117"/>
    </row>
    <row r="303" spans="1:50" x14ac:dyDescent="0.2">
      <c r="A303" s="172" t="str">
        <f ca="1">Language!A$595</f>
        <v>объем продаж за период</v>
      </c>
      <c r="B303" s="337"/>
      <c r="C303" s="313" t="s">
        <v>2275</v>
      </c>
      <c r="D303" s="174"/>
      <c r="E303" s="57" t="s">
        <v>950</v>
      </c>
      <c r="F303" s="57" t="s">
        <v>753</v>
      </c>
      <c r="G303" s="311">
        <f t="shared" ref="G303:AV303" si="1721">G76</f>
        <v>39049.199999999997</v>
      </c>
      <c r="H303" s="311">
        <f t="shared" si="1721"/>
        <v>0</v>
      </c>
      <c r="I303" s="311">
        <f t="shared" si="1721"/>
        <v>0</v>
      </c>
      <c r="J303" s="311">
        <f t="shared" si="1721"/>
        <v>0</v>
      </c>
      <c r="K303" s="311">
        <f t="shared" si="1721"/>
        <v>49961.2</v>
      </c>
      <c r="L303" s="311">
        <f t="shared" si="1721"/>
        <v>0</v>
      </c>
      <c r="M303" s="311">
        <f t="shared" si="1721"/>
        <v>0</v>
      </c>
      <c r="N303" s="311">
        <f t="shared" si="1721"/>
        <v>0</v>
      </c>
      <c r="O303" s="311">
        <f t="shared" si="1721"/>
        <v>49961.2</v>
      </c>
      <c r="P303" s="311">
        <f t="shared" si="1721"/>
        <v>0</v>
      </c>
      <c r="Q303" s="311">
        <f t="shared" si="1721"/>
        <v>0</v>
      </c>
      <c r="R303" s="311">
        <f t="shared" si="1721"/>
        <v>0</v>
      </c>
      <c r="S303" s="311">
        <f t="shared" si="1721"/>
        <v>49961.2</v>
      </c>
      <c r="T303" s="311">
        <f t="shared" si="1721"/>
        <v>0</v>
      </c>
      <c r="U303" s="311">
        <f t="shared" si="1721"/>
        <v>0</v>
      </c>
      <c r="V303" s="311">
        <f t="shared" si="1721"/>
        <v>0</v>
      </c>
      <c r="W303" s="311">
        <f t="shared" si="1721"/>
        <v>49961.2</v>
      </c>
      <c r="X303" s="311">
        <f t="shared" si="1721"/>
        <v>0</v>
      </c>
      <c r="Y303" s="311">
        <f t="shared" si="1721"/>
        <v>0</v>
      </c>
      <c r="Z303" s="311">
        <f t="shared" si="1721"/>
        <v>0</v>
      </c>
      <c r="AA303" s="311">
        <f t="shared" si="1721"/>
        <v>49961.2</v>
      </c>
      <c r="AB303" s="311">
        <f t="shared" si="1721"/>
        <v>0</v>
      </c>
      <c r="AC303" s="311">
        <f t="shared" si="1721"/>
        <v>0</v>
      </c>
      <c r="AD303" s="311">
        <f t="shared" si="1721"/>
        <v>0</v>
      </c>
      <c r="AE303" s="311">
        <f t="shared" si="1721"/>
        <v>49961.2</v>
      </c>
      <c r="AF303" s="311">
        <f t="shared" si="1721"/>
        <v>0</v>
      </c>
      <c r="AG303" s="311">
        <f t="shared" si="1721"/>
        <v>0</v>
      </c>
      <c r="AH303" s="311">
        <f t="shared" si="1721"/>
        <v>0</v>
      </c>
      <c r="AI303" s="311">
        <f t="shared" si="1721"/>
        <v>49961.2</v>
      </c>
      <c r="AJ303" s="311">
        <f t="shared" si="1721"/>
        <v>0</v>
      </c>
      <c r="AK303" s="311">
        <f t="shared" si="1721"/>
        <v>0</v>
      </c>
      <c r="AL303" s="311">
        <f t="shared" si="1721"/>
        <v>0</v>
      </c>
      <c r="AM303" s="311">
        <f t="shared" si="1721"/>
        <v>49961.2</v>
      </c>
      <c r="AN303" s="311">
        <f t="shared" si="1721"/>
        <v>0</v>
      </c>
      <c r="AO303" s="311">
        <f t="shared" si="1721"/>
        <v>0</v>
      </c>
      <c r="AP303" s="311">
        <f t="shared" si="1721"/>
        <v>0</v>
      </c>
      <c r="AQ303" s="311">
        <f t="shared" si="1721"/>
        <v>49961.2</v>
      </c>
      <c r="AR303" s="311">
        <f t="shared" si="1721"/>
        <v>0</v>
      </c>
      <c r="AS303" s="311">
        <f t="shared" si="1721"/>
        <v>0</v>
      </c>
      <c r="AT303" s="311">
        <f t="shared" si="1721"/>
        <v>0</v>
      </c>
      <c r="AU303" s="311">
        <f t="shared" si="1721"/>
        <v>49961.2</v>
      </c>
      <c r="AV303" s="311">
        <f t="shared" si="1721"/>
        <v>0</v>
      </c>
      <c r="AW303" s="148"/>
      <c r="AX303" s="171">
        <f>SUM(G303:AW303)</f>
        <v>538661.20000000007</v>
      </c>
    </row>
    <row r="304" spans="1:50" x14ac:dyDescent="0.2">
      <c r="A304" s="83" t="str">
        <f ca="1">Language!A$596 &amp; C303 &amp; Language!A$1457</f>
        <v>цена за единицу (ц), без НДС</v>
      </c>
      <c r="B304" s="322">
        <v>0.6</v>
      </c>
      <c r="C304" s="146" t="str">
        <f ca="1">CHOOSE(D301,CurName1,CurName2,CurName3)</f>
        <v>тыс. руб.</v>
      </c>
      <c r="E304" s="57" t="s">
        <v>848</v>
      </c>
      <c r="F304" s="57" t="s">
        <v>756</v>
      </c>
      <c r="G304" s="323">
        <f t="shared" ref="G304" ca="1" si="1722">IF(G$2=1,$B304,F304)*G315</f>
        <v>0.6</v>
      </c>
      <c r="H304" s="323">
        <f t="shared" ref="H304" ca="1" si="1723">IF(H$2=1,$B304,G304)*H315</f>
        <v>0.60880430770119554</v>
      </c>
      <c r="I304" s="323">
        <f t="shared" ref="I304" ca="1" si="1724">IF(I$2=1,$B304,H304)*I315</f>
        <v>0.61773780845921999</v>
      </c>
      <c r="J304" s="323">
        <f t="shared" ref="J304" ca="1" si="1725">IF(J$2=1,$B304,I304)*J315</f>
        <v>0.62680239803311533</v>
      </c>
      <c r="K304" s="323">
        <f t="shared" ref="K304" ca="1" si="1726">IF(K$2=1,$B304,J304)*K315</f>
        <v>0.63600000000000001</v>
      </c>
      <c r="L304" s="323">
        <f t="shared" ref="L304" ca="1" si="1727">IF(L$2=1,$B304,K304)*L315</f>
        <v>0.64533256616326728</v>
      </c>
      <c r="M304" s="323">
        <f t="shared" ref="M304" ca="1" si="1728">IF(M$2=1,$B304,L304)*M315</f>
        <v>0.65480207696677317</v>
      </c>
      <c r="N304" s="323">
        <f t="shared" ref="N304" ca="1" si="1729">IF(N$2=1,$B304,M304)*N315</f>
        <v>0.66441054191510218</v>
      </c>
      <c r="O304" s="323">
        <f t="shared" ref="O304" ca="1" si="1730">IF(O$2=1,$B304,N304)*O315</f>
        <v>0.67415999999999998</v>
      </c>
      <c r="P304" s="323">
        <f t="shared" ref="P304" ca="1" si="1731">IF(P$2=1,$B304,O304)*P315</f>
        <v>0.68405252013306328</v>
      </c>
      <c r="Q304" s="323">
        <f t="shared" ref="Q304" ca="1" si="1732">IF(Q$2=1,$B304,P304)*Q315</f>
        <v>0.69409020158477952</v>
      </c>
      <c r="R304" s="323">
        <f t="shared" ref="R304" ca="1" si="1733">IF(R$2=1,$B304,Q304)*R315</f>
        <v>0.70427517443000831</v>
      </c>
      <c r="S304" s="323">
        <f t="shared" ref="S304" ca="1" si="1734">IF(S$2=1,$B304,R304)*S315</f>
        <v>0.71460959999999996</v>
      </c>
      <c r="T304" s="323">
        <f t="shared" ref="T304" ca="1" si="1735">IF(T$2=1,$B304,S304)*T315</f>
        <v>0.72509567134104713</v>
      </c>
      <c r="U304" s="323">
        <f t="shared" ref="U304" ca="1" si="1736">IF(U$2=1,$B304,T304)*U315</f>
        <v>0.7357356136798664</v>
      </c>
      <c r="V304" s="323">
        <f t="shared" ref="V304" ca="1" si="1737">IF(V$2=1,$B304,U304)*V315</f>
        <v>0.7465316848958089</v>
      </c>
      <c r="W304" s="323">
        <f t="shared" ref="W304" ca="1" si="1738">IF(W$2=1,$B304,V304)*W315</f>
        <v>0.75748617600000001</v>
      </c>
      <c r="X304" s="323">
        <f t="shared" ref="X304" ca="1" si="1739">IF(X$2=1,$B304,W304)*X315</f>
        <v>0.76860141162150997</v>
      </c>
      <c r="Y304" s="323">
        <f t="shared" ref="Y304" ca="1" si="1740">IF(Y$2=1,$B304,X304)*Y315</f>
        <v>0.77987975050065839</v>
      </c>
      <c r="Z304" s="323">
        <f t="shared" ref="Z304" ca="1" si="1741">IF(Z$2=1,$B304,Y304)*Z315</f>
        <v>0.79132358598955743</v>
      </c>
      <c r="AA304" s="323">
        <f t="shared" ref="AA304" ca="1" si="1742">IF(AA$2=1,$B304,Z304)*AA315</f>
        <v>0.80293534655999999</v>
      </c>
      <c r="AB304" s="323">
        <f t="shared" ref="AB304" ca="1" si="1743">IF(AB$2=1,$B304,AA304)*AB315</f>
        <v>0.81471749631880053</v>
      </c>
      <c r="AC304" s="323">
        <f t="shared" ref="AC304" ca="1" si="1744">IF(AC$2=1,$B304,AB304)*AC315</f>
        <v>0.82667253553069786</v>
      </c>
      <c r="AD304" s="323">
        <f t="shared" ref="AD304" ca="1" si="1745">IF(AD$2=1,$B304,AC304)*AD315</f>
        <v>0.8388030011489308</v>
      </c>
      <c r="AE304" s="323">
        <f t="shared" ref="AE304" ca="1" si="1746">IF(AE$2=1,$B304,AD304)*AE315</f>
        <v>0.85111146735359999</v>
      </c>
      <c r="AF304" s="323">
        <f t="shared" ref="AF304" ca="1" si="1747">IF(AF$2=1,$B304,AE304)*AF315</f>
        <v>0.86360054609792858</v>
      </c>
      <c r="AG304" s="323">
        <f t="shared" ref="AG304" ca="1" si="1748">IF(AG$2=1,$B304,AF304)*AG315</f>
        <v>0.87627288766253975</v>
      </c>
      <c r="AH304" s="323">
        <f t="shared" ref="AH304" ca="1" si="1749">IF(AH$2=1,$B304,AG304)*AH315</f>
        <v>0.88913118121786672</v>
      </c>
      <c r="AI304" s="323">
        <f t="shared" ref="AI304" ca="1" si="1750">IF(AI$2=1,$B304,AH304)*AI315</f>
        <v>0.90217815539481605</v>
      </c>
      <c r="AJ304" s="323">
        <f t="shared" ref="AJ304" ca="1" si="1751">IF(AJ$2=1,$B304,AI304)*AJ315</f>
        <v>0.91541657886380434</v>
      </c>
      <c r="AK304" s="323">
        <f t="shared" ref="AK304" ca="1" si="1752">IF(AK$2=1,$B304,AJ304)*AK315</f>
        <v>0.92884926092229214</v>
      </c>
      <c r="AL304" s="323">
        <f t="shared" ref="AL304" ca="1" si="1753">IF(AL$2=1,$B304,AK304)*AL315</f>
        <v>0.94247905209093874</v>
      </c>
      <c r="AM304" s="323">
        <f t="shared" ref="AM304" ca="1" si="1754">IF(AM$2=1,$B304,AL304)*AM315</f>
        <v>0.95630884471850497</v>
      </c>
      <c r="AN304" s="323">
        <f t="shared" ref="AN304" ca="1" si="1755">IF(AN$2=1,$B304,AM304)*AN315</f>
        <v>0.97034157359563256</v>
      </c>
      <c r="AO304" s="323">
        <f t="shared" ref="AO304" ca="1" si="1756">IF(AO$2=1,$B304,AN304)*AO315</f>
        <v>0.98458021657762962</v>
      </c>
      <c r="AP304" s="323">
        <f t="shared" ref="AP304" ca="1" si="1757">IF(AP$2=1,$B304,AO304)*AP315</f>
        <v>0.99902779521639506</v>
      </c>
      <c r="AQ304" s="323">
        <f t="shared" ref="AQ304" ca="1" si="1758">IF(AQ$2=1,$B304,AP304)*AQ315</f>
        <v>1.0136873754016154</v>
      </c>
      <c r="AR304" s="323">
        <f t="shared" ref="AR304" ca="1" si="1759">IF(AR$2=1,$B304,AQ304)*AR315</f>
        <v>1.0285620680113707</v>
      </c>
      <c r="AS304" s="323">
        <f t="shared" ref="AS304" ca="1" si="1760">IF(AS$2=1,$B304,AR304)*AS315</f>
        <v>1.0436550295722877</v>
      </c>
      <c r="AT304" s="323">
        <f t="shared" ref="AT304" ca="1" si="1761">IF(AT$2=1,$B304,AS304)*AT315</f>
        <v>1.0589694629293791</v>
      </c>
      <c r="AU304" s="323">
        <f t="shared" ref="AU304" ca="1" si="1762">IF(AU$2=1,$B304,AT304)*AU315</f>
        <v>1.0745086179257126</v>
      </c>
      <c r="AV304" s="323">
        <f t="shared" ref="AV304" ca="1" si="1763">IF(AV$2=1,$B304,AU304)*AV315</f>
        <v>1.0902757920920532</v>
      </c>
      <c r="AW304" s="148"/>
      <c r="AX304" s="117"/>
    </row>
    <row r="305" spans="1:50" collapsed="1" x14ac:dyDescent="0.2">
      <c r="A305" s="83" t="str">
        <f ca="1">Language!A$597</f>
        <v>выручка от реализации, без НДС</v>
      </c>
      <c r="B305" s="157"/>
      <c r="C305" s="146" t="str">
        <f t="shared" ref="C305" ca="1" si="1764">CHOOSE(D305,CurName1,CurName2,CurName3)</f>
        <v>тыс. руб.</v>
      </c>
      <c r="D305" s="155">
        <f>D301</f>
        <v>1</v>
      </c>
      <c r="E305" s="57" t="s">
        <v>992</v>
      </c>
      <c r="F305" s="57" t="s">
        <v>753</v>
      </c>
      <c r="G305" s="176">
        <f t="shared" ref="G305:AV305" ca="1" si="1765">G303*G304</f>
        <v>23429.519999999997</v>
      </c>
      <c r="H305" s="176">
        <f t="shared" ca="1" si="1765"/>
        <v>0</v>
      </c>
      <c r="I305" s="176">
        <f t="shared" ca="1" si="1765"/>
        <v>0</v>
      </c>
      <c r="J305" s="176">
        <f t="shared" ca="1" si="1765"/>
        <v>0</v>
      </c>
      <c r="K305" s="176">
        <f t="shared" ca="1" si="1765"/>
        <v>31775.323199999999</v>
      </c>
      <c r="L305" s="176">
        <f t="shared" ca="1" si="1765"/>
        <v>0</v>
      </c>
      <c r="M305" s="176">
        <f t="shared" ca="1" si="1765"/>
        <v>0</v>
      </c>
      <c r="N305" s="176">
        <f t="shared" ca="1" si="1765"/>
        <v>0</v>
      </c>
      <c r="O305" s="176">
        <f t="shared" ca="1" si="1765"/>
        <v>33681.842591999994</v>
      </c>
      <c r="P305" s="176">
        <f t="shared" ca="1" si="1765"/>
        <v>0</v>
      </c>
      <c r="Q305" s="176">
        <f t="shared" ca="1" si="1765"/>
        <v>0</v>
      </c>
      <c r="R305" s="176">
        <f t="shared" ca="1" si="1765"/>
        <v>0</v>
      </c>
      <c r="S305" s="176">
        <f t="shared" ca="1" si="1765"/>
        <v>35702.753147519994</v>
      </c>
      <c r="T305" s="176">
        <f t="shared" ca="1" si="1765"/>
        <v>0</v>
      </c>
      <c r="U305" s="176">
        <f t="shared" ca="1" si="1765"/>
        <v>0</v>
      </c>
      <c r="V305" s="176">
        <f t="shared" ca="1" si="1765"/>
        <v>0</v>
      </c>
      <c r="W305" s="176">
        <f t="shared" ca="1" si="1765"/>
        <v>37844.9183363712</v>
      </c>
      <c r="X305" s="176">
        <f t="shared" ca="1" si="1765"/>
        <v>0</v>
      </c>
      <c r="Y305" s="176">
        <f t="shared" ca="1" si="1765"/>
        <v>0</v>
      </c>
      <c r="Z305" s="176">
        <f t="shared" ca="1" si="1765"/>
        <v>0</v>
      </c>
      <c r="AA305" s="176">
        <f t="shared" ca="1" si="1765"/>
        <v>40115.613436553467</v>
      </c>
      <c r="AB305" s="176">
        <f t="shared" ca="1" si="1765"/>
        <v>0</v>
      </c>
      <c r="AC305" s="176">
        <f t="shared" ca="1" si="1765"/>
        <v>0</v>
      </c>
      <c r="AD305" s="176">
        <f t="shared" ca="1" si="1765"/>
        <v>0</v>
      </c>
      <c r="AE305" s="176">
        <f t="shared" ca="1" si="1765"/>
        <v>42522.550242746678</v>
      </c>
      <c r="AF305" s="176">
        <f t="shared" ca="1" si="1765"/>
        <v>0</v>
      </c>
      <c r="AG305" s="176">
        <f t="shared" ca="1" si="1765"/>
        <v>0</v>
      </c>
      <c r="AH305" s="176">
        <f t="shared" ca="1" si="1765"/>
        <v>0</v>
      </c>
      <c r="AI305" s="176">
        <f t="shared" ca="1" si="1765"/>
        <v>45073.903257311482</v>
      </c>
      <c r="AJ305" s="176">
        <f t="shared" ca="1" si="1765"/>
        <v>0</v>
      </c>
      <c r="AK305" s="176">
        <f t="shared" ca="1" si="1765"/>
        <v>0</v>
      </c>
      <c r="AL305" s="176">
        <f t="shared" ca="1" si="1765"/>
        <v>0</v>
      </c>
      <c r="AM305" s="176">
        <f t="shared" ca="1" si="1765"/>
        <v>47778.337452750166</v>
      </c>
      <c r="AN305" s="176">
        <f t="shared" ca="1" si="1765"/>
        <v>0</v>
      </c>
      <c r="AO305" s="176">
        <f t="shared" ca="1" si="1765"/>
        <v>0</v>
      </c>
      <c r="AP305" s="176">
        <f t="shared" ca="1" si="1765"/>
        <v>0</v>
      </c>
      <c r="AQ305" s="176">
        <f t="shared" ca="1" si="1765"/>
        <v>50645.037699915185</v>
      </c>
      <c r="AR305" s="176">
        <f t="shared" ca="1" si="1765"/>
        <v>0</v>
      </c>
      <c r="AS305" s="176">
        <f t="shared" ca="1" si="1765"/>
        <v>0</v>
      </c>
      <c r="AT305" s="176">
        <f t="shared" ca="1" si="1765"/>
        <v>0</v>
      </c>
      <c r="AU305" s="176">
        <f t="shared" ca="1" si="1765"/>
        <v>53683.739961910112</v>
      </c>
      <c r="AV305" s="176">
        <f t="shared" ca="1" si="1765"/>
        <v>0</v>
      </c>
      <c r="AW305" s="177"/>
      <c r="AX305" s="178">
        <f ca="1">SUM(G305:AW305)</f>
        <v>442253.53932707827</v>
      </c>
    </row>
    <row r="306" spans="1:50" hidden="1" outlineLevel="1" x14ac:dyDescent="0.2">
      <c r="A306" s="179" t="str">
        <f ca="1">Language!A$598</f>
        <v>дебиторская задолженность</v>
      </c>
      <c r="B306" s="82"/>
      <c r="C306" s="82" t="str">
        <f ca="1">CHOOSE(D306,CurName1,CurName2,CurName3)</f>
        <v>тыс. руб.</v>
      </c>
      <c r="D306" s="155">
        <f>D301</f>
        <v>1</v>
      </c>
      <c r="E306" s="57" t="s">
        <v>994</v>
      </c>
      <c r="F306" s="57" t="s">
        <v>754</v>
      </c>
      <c r="G306" s="319">
        <f ca="1">IF(AND($B307=0,G$2&gt;1),F306,(G305+G316+G317)*$B307/Параметры!G$30)</f>
        <v>9449.906399999998</v>
      </c>
      <c r="H306" s="319">
        <f ca="1">IF(AND($B307=0,H$2&gt;1),G306,(H305+H316+H317)*$B307/Параметры!H$30)</f>
        <v>0</v>
      </c>
      <c r="I306" s="319">
        <f ca="1">IF(AND($B307=0,I$2&gt;1),H306,(I305+I316+I317)*$B307/Параметры!I$30)</f>
        <v>0</v>
      </c>
      <c r="J306" s="319">
        <f ca="1">IF(AND($B307=0,J$2&gt;1),I306,(J305+J316+J317)*$B307/Параметры!J$30)</f>
        <v>0</v>
      </c>
      <c r="K306" s="319">
        <f ca="1">IF(AND($B307=0,K$2&gt;1),J306,(K305+K316+K317)*$B307/Параметры!K$30)</f>
        <v>12816.047024</v>
      </c>
      <c r="L306" s="319">
        <f ca="1">IF(AND($B307=0,L$2&gt;1),K306,(L305+L316+L317)*$B307/Параметры!L$30)</f>
        <v>0</v>
      </c>
      <c r="M306" s="319">
        <f ca="1">IF(AND($B307=0,M$2&gt;1),L306,(M305+M316+M317)*$B307/Параметры!M$30)</f>
        <v>0</v>
      </c>
      <c r="N306" s="319">
        <f ca="1">IF(AND($B307=0,N$2&gt;1),M306,(N305+N316+N317)*$B307/Параметры!N$30)</f>
        <v>0</v>
      </c>
      <c r="O306" s="319">
        <f ca="1">IF(AND($B307=0,O$2&gt;1),N306,(O305+O316+O317)*$B307/Параметры!O$30)</f>
        <v>13585.009845439996</v>
      </c>
      <c r="P306" s="319">
        <f ca="1">IF(AND($B307=0,P$2&gt;1),O306,(P305+P316+P317)*$B307/Параметры!P$30)</f>
        <v>0</v>
      </c>
      <c r="Q306" s="319">
        <f ca="1">IF(AND($B307=0,Q$2&gt;1),P306,(Q305+Q316+Q317)*$B307/Параметры!Q$30)</f>
        <v>0</v>
      </c>
      <c r="R306" s="319">
        <f ca="1">IF(AND($B307=0,R$2&gt;1),Q306,(R305+R316+R317)*$B307/Параметры!R$30)</f>
        <v>0</v>
      </c>
      <c r="S306" s="319">
        <f ca="1">IF(AND($B307=0,S$2&gt;1),R306,(S305+S316+S317)*$B307/Параметры!S$30)</f>
        <v>14400.110436166397</v>
      </c>
      <c r="T306" s="319">
        <f ca="1">IF(AND($B307=0,T$2&gt;1),S306,(T305+T316+T317)*$B307/Параметры!T$30)</f>
        <v>0</v>
      </c>
      <c r="U306" s="319">
        <f ca="1">IF(AND($B307=0,U$2&gt;1),T306,(U305+U316+U317)*$B307/Параметры!U$30)</f>
        <v>0</v>
      </c>
      <c r="V306" s="319">
        <f ca="1">IF(AND($B307=0,V$2&gt;1),U306,(V305+V316+V317)*$B307/Параметры!V$30)</f>
        <v>0</v>
      </c>
      <c r="W306" s="319">
        <f ca="1">IF(AND($B307=0,W$2&gt;1),V306,(W305+W316+W317)*$B307/Параметры!W$30)</f>
        <v>15264.117062336385</v>
      </c>
      <c r="X306" s="319">
        <f ca="1">IF(AND($B307=0,X$2&gt;1),W306,(X305+X316+X317)*$B307/Параметры!X$30)</f>
        <v>0</v>
      </c>
      <c r="Y306" s="319">
        <f ca="1">IF(AND($B307=0,Y$2&gt;1),X306,(Y305+Y316+Y317)*$B307/Параметры!Y$30)</f>
        <v>0</v>
      </c>
      <c r="Z306" s="319">
        <f ca="1">IF(AND($B307=0,Z$2&gt;1),Y306,(Z305+Z316+Z317)*$B307/Параметры!Z$30)</f>
        <v>0</v>
      </c>
      <c r="AA306" s="319">
        <f ca="1">IF(AND($B307=0,AA$2&gt;1),Z306,(AA305+AA316+AA317)*$B307/Параметры!AA$30)</f>
        <v>16179.964086076565</v>
      </c>
      <c r="AB306" s="319">
        <f ca="1">IF(AND($B307=0,AB$2&gt;1),AA306,(AB305+AB316+AB317)*$B307/Параметры!AB$30)</f>
        <v>0</v>
      </c>
      <c r="AC306" s="319">
        <f ca="1">IF(AND($B307=0,AC$2&gt;1),AB306,(AC305+AC316+AC317)*$B307/Параметры!AC$30)</f>
        <v>0</v>
      </c>
      <c r="AD306" s="319">
        <f ca="1">IF(AND($B307=0,AD$2&gt;1),AC306,(AD305+AD316+AD317)*$B307/Параметры!AD$30)</f>
        <v>0</v>
      </c>
      <c r="AE306" s="319">
        <f ca="1">IF(AND($B307=0,AE$2&gt;1),AD306,(AE305+AE316+AE317)*$B307/Параметры!AE$30)</f>
        <v>17150.761931241159</v>
      </c>
      <c r="AF306" s="319">
        <f ca="1">IF(AND($B307=0,AF$2&gt;1),AE306,(AF305+AF316+AF317)*$B307/Параметры!AF$30)</f>
        <v>0</v>
      </c>
      <c r="AG306" s="319">
        <f ca="1">IF(AND($B307=0,AG$2&gt;1),AF306,(AG305+AG316+AG317)*$B307/Параметры!AG$30)</f>
        <v>0</v>
      </c>
      <c r="AH306" s="319">
        <f ca="1">IF(AND($B307=0,AH$2&gt;1),AG306,(AH305+AH316+AH317)*$B307/Параметры!AH$30)</f>
        <v>0</v>
      </c>
      <c r="AI306" s="319">
        <f ca="1">IF(AND($B307=0,AI$2&gt;1),AH306,(AI305+AI316+AI317)*$B307/Параметры!AI$30)</f>
        <v>18179.807647115631</v>
      </c>
      <c r="AJ306" s="319">
        <f ca="1">IF(AND($B307=0,AJ$2&gt;1),AI306,(AJ305+AJ316+AJ317)*$B307/Параметры!AJ$30)</f>
        <v>0</v>
      </c>
      <c r="AK306" s="319">
        <f ca="1">IF(AND($B307=0,AK$2&gt;1),AJ306,(AK305+AK316+AK317)*$B307/Параметры!AK$30)</f>
        <v>0</v>
      </c>
      <c r="AL306" s="319">
        <f ca="1">IF(AND($B307=0,AL$2&gt;1),AK306,(AL305+AL316+AL317)*$B307/Параметры!AL$30)</f>
        <v>0</v>
      </c>
      <c r="AM306" s="319">
        <f ca="1">IF(AND($B307=0,AM$2&gt;1),AL306,(AM305+AM316+AM317)*$B307/Параметры!AM$30)</f>
        <v>19270.596105942568</v>
      </c>
      <c r="AN306" s="319">
        <f ca="1">IF(AND($B307=0,AN$2&gt;1),AM306,(AN305+AN316+AN317)*$B307/Параметры!AN$30)</f>
        <v>0</v>
      </c>
      <c r="AO306" s="319">
        <f ca="1">IF(AND($B307=0,AO$2&gt;1),AN306,(AO305+AO316+AO317)*$B307/Параметры!AO$30)</f>
        <v>0</v>
      </c>
      <c r="AP306" s="319">
        <f ca="1">IF(AND($B307=0,AP$2&gt;1),AO306,(AP305+AP316+AP317)*$B307/Параметры!AP$30)</f>
        <v>0</v>
      </c>
      <c r="AQ306" s="319">
        <f ca="1">IF(AND($B307=0,AQ$2&gt;1),AP306,(AQ305+AQ316+AQ317)*$B307/Параметры!AQ$30)</f>
        <v>20426.831872299124</v>
      </c>
      <c r="AR306" s="319">
        <f ca="1">IF(AND($B307=0,AR$2&gt;1),AQ306,(AR305+AR316+AR317)*$B307/Параметры!AR$30)</f>
        <v>0</v>
      </c>
      <c r="AS306" s="319">
        <f ca="1">IF(AND($B307=0,AS$2&gt;1),AR306,(AS305+AS316+AS317)*$B307/Параметры!AS$30)</f>
        <v>0</v>
      </c>
      <c r="AT306" s="319">
        <f ca="1">IF(AND($B307=0,AT$2&gt;1),AS306,(AT305+AT316+AT317)*$B307/Параметры!AT$30)</f>
        <v>0</v>
      </c>
      <c r="AU306" s="319">
        <f ca="1">IF(AND($B307=0,AU$2&gt;1),AT306,(AU305+AU316+AU317)*$B307/Параметры!AU$30)</f>
        <v>21652.441784637078</v>
      </c>
      <c r="AV306" s="319">
        <f ca="1">IF(AND($B307=0,AV$2&gt;1),AU306,(AV305+AV316+AV317)*$B307/Параметры!AV$30)</f>
        <v>0</v>
      </c>
      <c r="AW306" s="180"/>
      <c r="AX306" s="87"/>
    </row>
    <row r="307" spans="1:50" hidden="1" outlineLevel="1" x14ac:dyDescent="0.2">
      <c r="A307" s="181" t="str">
        <f ca="1">Language!A$599</f>
        <v>средний период отсрочки платежа</v>
      </c>
      <c r="B307" s="320">
        <f>$B$618</f>
        <v>33</v>
      </c>
      <c r="C307" s="152" t="str">
        <f ca="1">Language!$A$1446</f>
        <v>дней</v>
      </c>
      <c r="D307" s="100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48"/>
      <c r="AX307" s="150"/>
    </row>
    <row r="308" spans="1:50" hidden="1" outlineLevel="1" x14ac:dyDescent="0.2">
      <c r="A308" s="179" t="str">
        <f ca="1">Language!A$600</f>
        <v xml:space="preserve">авансы полученные </v>
      </c>
      <c r="B308" s="82"/>
      <c r="C308" s="103" t="str">
        <f ca="1">CHOOSE(D308,CurName1,CurName2,CurName3)</f>
        <v>тыс. руб.</v>
      </c>
      <c r="D308" s="155">
        <f>D301</f>
        <v>1</v>
      </c>
      <c r="E308" s="57" t="s">
        <v>995</v>
      </c>
      <c r="F308" s="57" t="s">
        <v>754</v>
      </c>
      <c r="G308" s="316">
        <f ca="1">IF(AND($B309=0,G$2&gt;1),F308,(OFFSET(G305,0,1)+OFFSET(G316,0,1)+OFFSET(G317,0,1))*$B309/Параметры!G$30)</f>
        <v>0</v>
      </c>
      <c r="H308" s="316">
        <f ca="1">IF(AND($B309=0,H$2&gt;1),G308,(OFFSET(H305,0,1)+OFFSET(H316,0,1)+OFFSET(H317,0,1))*$B309/Параметры!H$30)</f>
        <v>0</v>
      </c>
      <c r="I308" s="316">
        <f ca="1">IF(AND($B309=0,I$2&gt;1),H308,(OFFSET(I305,0,1)+OFFSET(I316,0,1)+OFFSET(I317,0,1))*$B309/Параметры!I$30)</f>
        <v>0</v>
      </c>
      <c r="J308" s="316">
        <f ca="1">IF(AND($B309=0,J$2&gt;1),I308,(OFFSET(J305,0,1)+OFFSET(J316,0,1)+OFFSET(J317,0,1))*$B309/Параметры!J$30)</f>
        <v>0</v>
      </c>
      <c r="K308" s="316">
        <f ca="1">IF(AND($B309=0,K$2&gt;1),J308,(OFFSET(K305,0,1)+OFFSET(K316,0,1)+OFFSET(K317,0,1))*$B309/Параметры!K$30)</f>
        <v>0</v>
      </c>
      <c r="L308" s="316">
        <f ca="1">IF(AND($B309=0,L$2&gt;1),K308,(OFFSET(L305,0,1)+OFFSET(L316,0,1)+OFFSET(L317,0,1))*$B309/Параметры!L$30)</f>
        <v>0</v>
      </c>
      <c r="M308" s="316">
        <f ca="1">IF(AND($B309=0,M$2&gt;1),L308,(OFFSET(M305,0,1)+OFFSET(M316,0,1)+OFFSET(M317,0,1))*$B309/Параметры!M$30)</f>
        <v>0</v>
      </c>
      <c r="N308" s="316">
        <f ca="1">IF(AND($B309=0,N$2&gt;1),M308,(OFFSET(N305,0,1)+OFFSET(N316,0,1)+OFFSET(N317,0,1))*$B309/Параметры!N$30)</f>
        <v>0</v>
      </c>
      <c r="O308" s="316">
        <f ca="1">IF(AND($B309=0,O$2&gt;1),N308,(OFFSET(O305,0,1)+OFFSET(O316,0,1)+OFFSET(O317,0,1))*$B309/Параметры!O$30)</f>
        <v>0</v>
      </c>
      <c r="P308" s="316">
        <f ca="1">IF(AND($B309=0,P$2&gt;1),O308,(OFFSET(P305,0,1)+OFFSET(P316,0,1)+OFFSET(P317,0,1))*$B309/Параметры!P$30)</f>
        <v>0</v>
      </c>
      <c r="Q308" s="316">
        <f ca="1">IF(AND($B309=0,Q$2&gt;1),P308,(OFFSET(Q305,0,1)+OFFSET(Q316,0,1)+OFFSET(Q317,0,1))*$B309/Параметры!Q$30)</f>
        <v>0</v>
      </c>
      <c r="R308" s="316">
        <f ca="1">IF(AND($B309=0,R$2&gt;1),Q308,(OFFSET(R305,0,1)+OFFSET(R316,0,1)+OFFSET(R317,0,1))*$B309/Параметры!R$30)</f>
        <v>0</v>
      </c>
      <c r="S308" s="316">
        <f ca="1">IF(AND($B309=0,S$2&gt;1),R308,(OFFSET(S305,0,1)+OFFSET(S316,0,1)+OFFSET(S317,0,1))*$B309/Параметры!S$30)</f>
        <v>0</v>
      </c>
      <c r="T308" s="316">
        <f ca="1">IF(AND($B309=0,T$2&gt;1),S308,(OFFSET(T305,0,1)+OFFSET(T316,0,1)+OFFSET(T317,0,1))*$B309/Параметры!T$30)</f>
        <v>0</v>
      </c>
      <c r="U308" s="316">
        <f ca="1">IF(AND($B309=0,U$2&gt;1),T308,(OFFSET(U305,0,1)+OFFSET(U316,0,1)+OFFSET(U317,0,1))*$B309/Параметры!U$30)</f>
        <v>0</v>
      </c>
      <c r="V308" s="316">
        <f ca="1">IF(AND($B309=0,V$2&gt;1),U308,(OFFSET(V305,0,1)+OFFSET(V316,0,1)+OFFSET(V317,0,1))*$B309/Параметры!V$30)</f>
        <v>0</v>
      </c>
      <c r="W308" s="316">
        <f ca="1">IF(AND($B309=0,W$2&gt;1),V308,(OFFSET(W305,0,1)+OFFSET(W316,0,1)+OFFSET(W317,0,1))*$B309/Параметры!W$30)</f>
        <v>0</v>
      </c>
      <c r="X308" s="316">
        <f ca="1">IF(AND($B309=0,X$2&gt;1),W308,(OFFSET(X305,0,1)+OFFSET(X316,0,1)+OFFSET(X317,0,1))*$B309/Параметры!X$30)</f>
        <v>0</v>
      </c>
      <c r="Y308" s="316">
        <f ca="1">IF(AND($B309=0,Y$2&gt;1),X308,(OFFSET(Y305,0,1)+OFFSET(Y316,0,1)+OFFSET(Y317,0,1))*$B309/Параметры!Y$30)</f>
        <v>0</v>
      </c>
      <c r="Z308" s="316">
        <f ca="1">IF(AND($B309=0,Z$2&gt;1),Y308,(OFFSET(Z305,0,1)+OFFSET(Z316,0,1)+OFFSET(Z317,0,1))*$B309/Параметры!Z$30)</f>
        <v>0</v>
      </c>
      <c r="AA308" s="316">
        <f ca="1">IF(AND($B309=0,AA$2&gt;1),Z308,(OFFSET(AA305,0,1)+OFFSET(AA316,0,1)+OFFSET(AA317,0,1))*$B309/Параметры!AA$30)</f>
        <v>0</v>
      </c>
      <c r="AB308" s="316">
        <f ca="1">IF(AND($B309=0,AB$2&gt;1),AA308,(OFFSET(AB305,0,1)+OFFSET(AB316,0,1)+OFFSET(AB317,0,1))*$B309/Параметры!AB$30)</f>
        <v>0</v>
      </c>
      <c r="AC308" s="316">
        <f ca="1">IF(AND($B309=0,AC$2&gt;1),AB308,(OFFSET(AC305,0,1)+OFFSET(AC316,0,1)+OFFSET(AC317,0,1))*$B309/Параметры!AC$30)</f>
        <v>0</v>
      </c>
      <c r="AD308" s="316">
        <f ca="1">IF(AND($B309=0,AD$2&gt;1),AC308,(OFFSET(AD305,0,1)+OFFSET(AD316,0,1)+OFFSET(AD317,0,1))*$B309/Параметры!AD$30)</f>
        <v>0</v>
      </c>
      <c r="AE308" s="316">
        <f ca="1">IF(AND($B309=0,AE$2&gt;1),AD308,(OFFSET(AE305,0,1)+OFFSET(AE316,0,1)+OFFSET(AE317,0,1))*$B309/Параметры!AE$30)</f>
        <v>0</v>
      </c>
      <c r="AF308" s="316">
        <f ca="1">IF(AND($B309=0,AF$2&gt;1),AE308,(OFFSET(AF305,0,1)+OFFSET(AF316,0,1)+OFFSET(AF317,0,1))*$B309/Параметры!AF$30)</f>
        <v>0</v>
      </c>
      <c r="AG308" s="316">
        <f ca="1">IF(AND($B309=0,AG$2&gt;1),AF308,(OFFSET(AG305,0,1)+OFFSET(AG316,0,1)+OFFSET(AG317,0,1))*$B309/Параметры!AG$30)</f>
        <v>0</v>
      </c>
      <c r="AH308" s="316">
        <f ca="1">IF(AND($B309=0,AH$2&gt;1),AG308,(OFFSET(AH305,0,1)+OFFSET(AH316,0,1)+OFFSET(AH317,0,1))*$B309/Параметры!AH$30)</f>
        <v>0</v>
      </c>
      <c r="AI308" s="316">
        <f ca="1">IF(AND($B309=0,AI$2&gt;1),AH308,(OFFSET(AI305,0,1)+OFFSET(AI316,0,1)+OFFSET(AI317,0,1))*$B309/Параметры!AI$30)</f>
        <v>0</v>
      </c>
      <c r="AJ308" s="316">
        <f ca="1">IF(AND($B309=0,AJ$2&gt;1),AI308,(OFFSET(AJ305,0,1)+OFFSET(AJ316,0,1)+OFFSET(AJ317,0,1))*$B309/Параметры!AJ$30)</f>
        <v>0</v>
      </c>
      <c r="AK308" s="316">
        <f ca="1">IF(AND($B309=0,AK$2&gt;1),AJ308,(OFFSET(AK305,0,1)+OFFSET(AK316,0,1)+OFFSET(AK317,0,1))*$B309/Параметры!AK$30)</f>
        <v>0</v>
      </c>
      <c r="AL308" s="316">
        <f ca="1">IF(AND($B309=0,AL$2&gt;1),AK308,(OFFSET(AL305,0,1)+OFFSET(AL316,0,1)+OFFSET(AL317,0,1))*$B309/Параметры!AL$30)</f>
        <v>0</v>
      </c>
      <c r="AM308" s="316">
        <f ca="1">IF(AND($B309=0,AM$2&gt;1),AL308,(OFFSET(AM305,0,1)+OFFSET(AM316,0,1)+OFFSET(AM317,0,1))*$B309/Параметры!AM$30)</f>
        <v>0</v>
      </c>
      <c r="AN308" s="316">
        <f ca="1">IF(AND($B309=0,AN$2&gt;1),AM308,(OFFSET(AN305,0,1)+OFFSET(AN316,0,1)+OFFSET(AN317,0,1))*$B309/Параметры!AN$30)</f>
        <v>0</v>
      </c>
      <c r="AO308" s="316">
        <f ca="1">IF(AND($B309=0,AO$2&gt;1),AN308,(OFFSET(AO305,0,1)+OFFSET(AO316,0,1)+OFFSET(AO317,0,1))*$B309/Параметры!AO$30)</f>
        <v>0</v>
      </c>
      <c r="AP308" s="316">
        <f ca="1">IF(AND($B309=0,AP$2&gt;1),AO308,(OFFSET(AP305,0,1)+OFFSET(AP316,0,1)+OFFSET(AP317,0,1))*$B309/Параметры!AP$30)</f>
        <v>0</v>
      </c>
      <c r="AQ308" s="316">
        <f ca="1">IF(AND($B309=0,AQ$2&gt;1),AP308,(OFFSET(AQ305,0,1)+OFFSET(AQ316,0,1)+OFFSET(AQ317,0,1))*$B309/Параметры!AQ$30)</f>
        <v>0</v>
      </c>
      <c r="AR308" s="316">
        <f ca="1">IF(AND($B309=0,AR$2&gt;1),AQ308,(OFFSET(AR305,0,1)+OFFSET(AR316,0,1)+OFFSET(AR317,0,1))*$B309/Параметры!AR$30)</f>
        <v>0</v>
      </c>
      <c r="AS308" s="316">
        <f ca="1">IF(AND($B309=0,AS$2&gt;1),AR308,(OFFSET(AS305,0,1)+OFFSET(AS316,0,1)+OFFSET(AS317,0,1))*$B309/Параметры!AS$30)</f>
        <v>0</v>
      </c>
      <c r="AT308" s="316">
        <f ca="1">IF(AND($B309=0,AT$2&gt;1),AS308,(OFFSET(AT305,0,1)+OFFSET(AT316,0,1)+OFFSET(AT317,0,1))*$B309/Параметры!AT$30)</f>
        <v>0</v>
      </c>
      <c r="AU308" s="316">
        <f ca="1">IF(AND($B309=0,AU$2&gt;1),AT308,(OFFSET(AU305,0,1)+OFFSET(AU316,0,1)+OFFSET(AU317,0,1))*$B309/Параметры!AU$30)</f>
        <v>0</v>
      </c>
      <c r="AV308" s="316">
        <f ca="1">IF(AND($B309=0,AV$2&gt;1),AU308,(OFFSET(AV305,0,1)+OFFSET(AV316,0,1)+OFFSET(AV317,0,1))*$B309/Параметры!AV$30)</f>
        <v>0</v>
      </c>
      <c r="AW308" s="168"/>
      <c r="AX308" s="182"/>
    </row>
    <row r="309" spans="1:50" hidden="1" outlineLevel="1" x14ac:dyDescent="0.2">
      <c r="A309" s="181" t="str">
        <f ca="1">Language!A$601</f>
        <v>средний период предоплаты</v>
      </c>
      <c r="B309" s="320">
        <f>$B$624</f>
        <v>0</v>
      </c>
      <c r="C309" s="152" t="str">
        <f ca="1">Language!$A$1446</f>
        <v>дней</v>
      </c>
      <c r="D309" s="100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48"/>
      <c r="AX309" s="150"/>
    </row>
    <row r="310" spans="1:50" hidden="1" outlineLevel="1" x14ac:dyDescent="0.2">
      <c r="A310" s="179" t="str">
        <f ca="1">Language!A$602</f>
        <v>поступление денежных средств, с НДС</v>
      </c>
      <c r="B310" s="52"/>
      <c r="C310" s="103" t="str">
        <f ca="1">CHOOSE(D310,CurName1,CurName2,CurName3)</f>
        <v>тыс. руб.</v>
      </c>
      <c r="D310" s="155">
        <f>D301</f>
        <v>1</v>
      </c>
      <c r="E310" s="57" t="s">
        <v>993</v>
      </c>
      <c r="F310" s="57" t="s">
        <v>753</v>
      </c>
      <c r="G310" s="180">
        <f ca="1">G305+G316+G317-IF(G$2=1,G306,G306-F306)+IF(G$2=1,G308,G308-F308)</f>
        <v>16322.565599999996</v>
      </c>
      <c r="H310" s="180">
        <f t="shared" ref="H310" ca="1" si="1766">H305+H316+H317-IF(H$2=1,H306,H306-G306)+IF(H$2=1,H308,H308-G308)</f>
        <v>9449.906399999998</v>
      </c>
      <c r="I310" s="180">
        <f t="shared" ref="I310" ca="1" si="1767">I305+I316+I317-IF(I$2=1,I306,I306-H306)+IF(I$2=1,I308,I308-H308)</f>
        <v>0</v>
      </c>
      <c r="J310" s="180">
        <f t="shared" ref="J310" ca="1" si="1768">J305+J316+J317-IF(J$2=1,J306,J306-I306)+IF(J$2=1,J308,J308-I308)</f>
        <v>0</v>
      </c>
      <c r="K310" s="180">
        <f t="shared" ref="K310" ca="1" si="1769">K305+K316+K317-IF(K$2=1,K306,K306-J306)+IF(K$2=1,K308,K308-J308)</f>
        <v>22136.808495999998</v>
      </c>
      <c r="L310" s="180">
        <f t="shared" ref="L310" ca="1" si="1770">L305+L316+L317-IF(L$2=1,L306,L306-K306)+IF(L$2=1,L308,L308-K308)</f>
        <v>12816.047024</v>
      </c>
      <c r="M310" s="180">
        <f t="shared" ref="M310" ca="1" si="1771">M305+M316+M317-IF(M$2=1,M306,M306-L306)+IF(M$2=1,M308,M308-L308)</f>
        <v>0</v>
      </c>
      <c r="N310" s="180">
        <f t="shared" ref="N310" ca="1" si="1772">N305+N316+N317-IF(N$2=1,N306,N306-M306)+IF(N$2=1,N308,N308-M308)</f>
        <v>0</v>
      </c>
      <c r="O310" s="180">
        <f t="shared" ref="O310" ca="1" si="1773">O305+O316+O317-IF(O$2=1,O306,O306-N306)+IF(O$2=1,O308,O308-N308)</f>
        <v>23465.017005759993</v>
      </c>
      <c r="P310" s="180">
        <f t="shared" ref="P310" ca="1" si="1774">P305+P316+P317-IF(P$2=1,P306,P306-O306)+IF(P$2=1,P308,P308-O308)</f>
        <v>13585.009845439996</v>
      </c>
      <c r="Q310" s="180">
        <f t="shared" ref="Q310" ca="1" si="1775">Q305+Q316+Q317-IF(Q$2=1,Q306,Q306-P306)+IF(Q$2=1,Q308,Q308-P308)</f>
        <v>0</v>
      </c>
      <c r="R310" s="180">
        <f t="shared" ref="R310" ca="1" si="1776">R305+R316+R317-IF(R$2=1,R306,R306-Q306)+IF(R$2=1,R308,R308-Q308)</f>
        <v>0</v>
      </c>
      <c r="S310" s="180">
        <f t="shared" ref="S310" ca="1" si="1777">S305+S316+S317-IF(S$2=1,S306,S306-R306)+IF(S$2=1,S308,S308-R308)</f>
        <v>24872.918026105595</v>
      </c>
      <c r="T310" s="180">
        <f t="shared" ref="T310" ca="1" si="1778">T305+T316+T317-IF(T$2=1,T306,T306-S306)+IF(T$2=1,T308,T308-S308)</f>
        <v>14400.110436166397</v>
      </c>
      <c r="U310" s="180">
        <f t="shared" ref="U310" ca="1" si="1779">U305+U316+U317-IF(U$2=1,U306,U306-T306)+IF(U$2=1,U308,U308-T308)</f>
        <v>0</v>
      </c>
      <c r="V310" s="180">
        <f t="shared" ref="V310" ca="1" si="1780">V305+V316+V317-IF(V$2=1,V306,V306-U306)+IF(V$2=1,V308,V308-U308)</f>
        <v>0</v>
      </c>
      <c r="W310" s="180">
        <f t="shared" ref="W310" ca="1" si="1781">W305+W316+W317-IF(W$2=1,W306,W306-V306)+IF(W$2=1,W308,W308-V308)</f>
        <v>26365.293107671932</v>
      </c>
      <c r="X310" s="180">
        <f t="shared" ref="X310" ca="1" si="1782">X305+X316+X317-IF(X$2=1,X306,X306-W306)+IF(X$2=1,X308,X308-W308)</f>
        <v>15264.117062336385</v>
      </c>
      <c r="Y310" s="180">
        <f t="shared" ref="Y310" ca="1" si="1783">Y305+Y316+Y317-IF(Y$2=1,Y306,Y306-X306)+IF(Y$2=1,Y308,Y308-X308)</f>
        <v>0</v>
      </c>
      <c r="Z310" s="180">
        <f t="shared" ref="Z310" ca="1" si="1784">Z305+Z316+Z317-IF(Z$2=1,Z306,Z306-Y306)+IF(Z$2=1,Z308,Z308-Y308)</f>
        <v>0</v>
      </c>
      <c r="AA310" s="180">
        <f t="shared" ref="AA310" ca="1" si="1785">AA305+AA316+AA317-IF(AA$2=1,AA306,AA306-Z306)+IF(AA$2=1,AA308,AA308-Z308)</f>
        <v>27947.210694132249</v>
      </c>
      <c r="AB310" s="180">
        <f t="shared" ref="AB310" ca="1" si="1786">AB305+AB316+AB317-IF(AB$2=1,AB306,AB306-AA306)+IF(AB$2=1,AB308,AB308-AA308)</f>
        <v>16179.964086076565</v>
      </c>
      <c r="AC310" s="180">
        <f t="shared" ref="AC310" ca="1" si="1787">AC305+AC316+AC317-IF(AC$2=1,AC306,AC306-AB306)+IF(AC$2=1,AC308,AC308-AB308)</f>
        <v>0</v>
      </c>
      <c r="AD310" s="180">
        <f t="shared" ref="AD310" ca="1" si="1788">AD305+AD316+AD317-IF(AD$2=1,AD306,AD306-AC306)+IF(AD$2=1,AD308,AD308-AC308)</f>
        <v>0</v>
      </c>
      <c r="AE310" s="180">
        <f t="shared" ref="AE310" ca="1" si="1789">AE305+AE316+AE317-IF(AE$2=1,AE306,AE306-AD306)+IF(AE$2=1,AE308,AE308-AD308)</f>
        <v>29624.043335780185</v>
      </c>
      <c r="AF310" s="180">
        <f t="shared" ref="AF310" ca="1" si="1790">AF305+AF316+AF317-IF(AF$2=1,AF306,AF306-AE306)+IF(AF$2=1,AF308,AF308-AE308)</f>
        <v>17150.761931241159</v>
      </c>
      <c r="AG310" s="180">
        <f t="shared" ref="AG310" ca="1" si="1791">AG305+AG316+AG317-IF(AG$2=1,AG306,AG306-AF306)+IF(AG$2=1,AG308,AG308-AF308)</f>
        <v>0</v>
      </c>
      <c r="AH310" s="180">
        <f t="shared" ref="AH310" ca="1" si="1792">AH305+AH316+AH317-IF(AH$2=1,AH306,AH306-AG306)+IF(AH$2=1,AH308,AH308-AG308)</f>
        <v>0</v>
      </c>
      <c r="AI310" s="180">
        <f t="shared" ref="AI310" ca="1" si="1793">AI305+AI316+AI317-IF(AI$2=1,AI306,AI306-AH306)+IF(AI$2=1,AI308,AI308-AH308)</f>
        <v>31401.485935926998</v>
      </c>
      <c r="AJ310" s="180">
        <f t="shared" ref="AJ310" ca="1" si="1794">AJ305+AJ316+AJ317-IF(AJ$2=1,AJ306,AJ306-AI306)+IF(AJ$2=1,AJ308,AJ308-AI308)</f>
        <v>18179.807647115631</v>
      </c>
      <c r="AK310" s="180">
        <f t="shared" ref="AK310" ca="1" si="1795">AK305+AK316+AK317-IF(AK$2=1,AK306,AK306-AJ306)+IF(AK$2=1,AK308,AK308-AJ308)</f>
        <v>0</v>
      </c>
      <c r="AL310" s="180">
        <f t="shared" ref="AL310" ca="1" si="1796">AL305+AL316+AL317-IF(AL$2=1,AL306,AL306-AK306)+IF(AL$2=1,AL308,AL308-AK308)</f>
        <v>0</v>
      </c>
      <c r="AM310" s="180">
        <f t="shared" ref="AM310" ca="1" si="1797">AM305+AM316+AM317-IF(AM$2=1,AM306,AM306-AL306)+IF(AM$2=1,AM308,AM308-AL308)</f>
        <v>33285.575092082618</v>
      </c>
      <c r="AN310" s="180">
        <f t="shared" ref="AN310" ca="1" si="1798">AN305+AN316+AN317-IF(AN$2=1,AN306,AN306-AM306)+IF(AN$2=1,AN308,AN308-AM308)</f>
        <v>19270.596105942568</v>
      </c>
      <c r="AO310" s="180">
        <f t="shared" ref="AO310" ca="1" si="1799">AO305+AO316+AO317-IF(AO$2=1,AO306,AO306-AN306)+IF(AO$2=1,AO308,AO308-AN308)</f>
        <v>0</v>
      </c>
      <c r="AP310" s="180">
        <f t="shared" ref="AP310" ca="1" si="1800">AP305+AP316+AP317-IF(AP$2=1,AP306,AP306-AO306)+IF(AP$2=1,AP308,AP308-AO308)</f>
        <v>0</v>
      </c>
      <c r="AQ310" s="180">
        <f t="shared" ref="AQ310" ca="1" si="1801">AQ305+AQ316+AQ317-IF(AQ$2=1,AQ306,AQ306-AP306)+IF(AQ$2=1,AQ308,AQ308-AP308)</f>
        <v>35282.70959760758</v>
      </c>
      <c r="AR310" s="180">
        <f t="shared" ref="AR310" ca="1" si="1802">AR305+AR316+AR317-IF(AR$2=1,AR306,AR306-AQ306)+IF(AR$2=1,AR308,AR308-AQ308)</f>
        <v>20426.831872299124</v>
      </c>
      <c r="AS310" s="180">
        <f t="shared" ref="AS310" ca="1" si="1803">AS305+AS316+AS317-IF(AS$2=1,AS306,AS306-AR306)+IF(AS$2=1,AS308,AS308-AR308)</f>
        <v>0</v>
      </c>
      <c r="AT310" s="180">
        <f t="shared" ref="AT310" ca="1" si="1804">AT305+AT316+AT317-IF(AT$2=1,AT306,AT306-AS306)+IF(AT$2=1,AT308,AT308-AS308)</f>
        <v>0</v>
      </c>
      <c r="AU310" s="180">
        <f t="shared" ref="AU310" ca="1" si="1805">AU305+AU316+AU317-IF(AU$2=1,AU306,AU306-AT306)+IF(AU$2=1,AU308,AU308-AT308)</f>
        <v>37399.672173464045</v>
      </c>
      <c r="AV310" s="180">
        <f t="shared" ref="AV310" ca="1" si="1806">AV305+AV316+AV317-IF(AV$2=1,AV306,AV306-AU306)+IF(AV$2=1,AV308,AV308-AU308)</f>
        <v>21652.441784637078</v>
      </c>
      <c r="AW310" s="180"/>
      <c r="AX310" s="169">
        <f ca="1">SUM(G310:AW310)</f>
        <v>486478.89325978607</v>
      </c>
    </row>
    <row r="311" spans="1:50" hidden="1" outlineLevel="1" x14ac:dyDescent="0.2">
      <c r="A311" s="179" t="str">
        <f ca="1">Language!A$603</f>
        <v>темп изменения цен</v>
      </c>
      <c r="B311" s="84"/>
      <c r="C311" s="82" t="str">
        <f ca="1">Language!$A$471</f>
        <v>% в год</v>
      </c>
      <c r="D311" s="153"/>
      <c r="F311" s="57" t="s">
        <v>756</v>
      </c>
      <c r="G311" s="321">
        <f>CHOOSE($D301,Параметры!G$47,Параметры!G$56,Параметры!G$62)</f>
        <v>0.06</v>
      </c>
      <c r="H311" s="321">
        <f>CHOOSE($D301,Параметры!H$47,Параметры!H$56,Параметры!H$62)</f>
        <v>0.06</v>
      </c>
      <c r="I311" s="321">
        <f>CHOOSE($D301,Параметры!I$47,Параметры!I$56,Параметры!I$62)</f>
        <v>0.06</v>
      </c>
      <c r="J311" s="321">
        <f>CHOOSE($D301,Параметры!J$47,Параметры!J$56,Параметры!J$62)</f>
        <v>0.06</v>
      </c>
      <c r="K311" s="321">
        <f>CHOOSE($D301,Параметры!K$47,Параметры!K$56,Параметры!K$62)</f>
        <v>0.06</v>
      </c>
      <c r="L311" s="321">
        <f>CHOOSE($D301,Параметры!L$47,Параметры!L$56,Параметры!L$62)</f>
        <v>0.06</v>
      </c>
      <c r="M311" s="321">
        <f>CHOOSE($D301,Параметры!M$47,Параметры!M$56,Параметры!M$62)</f>
        <v>0.06</v>
      </c>
      <c r="N311" s="321">
        <f>CHOOSE($D301,Параметры!N$47,Параметры!N$56,Параметры!N$62)</f>
        <v>0.06</v>
      </c>
      <c r="O311" s="321">
        <f>CHOOSE($D301,Параметры!O$47,Параметры!O$56,Параметры!O$62)</f>
        <v>0.06</v>
      </c>
      <c r="P311" s="321">
        <f>CHOOSE($D301,Параметры!P$47,Параметры!P$56,Параметры!P$62)</f>
        <v>0.06</v>
      </c>
      <c r="Q311" s="321">
        <f>CHOOSE($D301,Параметры!Q$47,Параметры!Q$56,Параметры!Q$62)</f>
        <v>0.06</v>
      </c>
      <c r="R311" s="321">
        <f>CHOOSE($D301,Параметры!R$47,Параметры!R$56,Параметры!R$62)</f>
        <v>0.06</v>
      </c>
      <c r="S311" s="321">
        <f>CHOOSE($D301,Параметры!S$47,Параметры!S$56,Параметры!S$62)</f>
        <v>0.06</v>
      </c>
      <c r="T311" s="321">
        <f>CHOOSE($D301,Параметры!T$47,Параметры!T$56,Параметры!T$62)</f>
        <v>0.06</v>
      </c>
      <c r="U311" s="321">
        <f>CHOOSE($D301,Параметры!U$47,Параметры!U$56,Параметры!U$62)</f>
        <v>0.06</v>
      </c>
      <c r="V311" s="321">
        <f>CHOOSE($D301,Параметры!V$47,Параметры!V$56,Параметры!V$62)</f>
        <v>0.06</v>
      </c>
      <c r="W311" s="321">
        <f>CHOOSE($D301,Параметры!W$47,Параметры!W$56,Параметры!W$62)</f>
        <v>0.06</v>
      </c>
      <c r="X311" s="321">
        <f>CHOOSE($D301,Параметры!X$47,Параметры!X$56,Параметры!X$62)</f>
        <v>0.06</v>
      </c>
      <c r="Y311" s="321">
        <f>CHOOSE($D301,Параметры!Y$47,Параметры!Y$56,Параметры!Y$62)</f>
        <v>0.06</v>
      </c>
      <c r="Z311" s="321">
        <f>CHOOSE($D301,Параметры!Z$47,Параметры!Z$56,Параметры!Z$62)</f>
        <v>0.06</v>
      </c>
      <c r="AA311" s="321">
        <f>CHOOSE($D301,Параметры!AA$47,Параметры!AA$56,Параметры!AA$62)</f>
        <v>0.06</v>
      </c>
      <c r="AB311" s="321">
        <f>CHOOSE($D301,Параметры!AB$47,Параметры!AB$56,Параметры!AB$62)</f>
        <v>0.06</v>
      </c>
      <c r="AC311" s="321">
        <f>CHOOSE($D301,Параметры!AC$47,Параметры!AC$56,Параметры!AC$62)</f>
        <v>0.06</v>
      </c>
      <c r="AD311" s="321">
        <f>CHOOSE($D301,Параметры!AD$47,Параметры!AD$56,Параметры!AD$62)</f>
        <v>0.06</v>
      </c>
      <c r="AE311" s="321">
        <f>CHOOSE($D301,Параметры!AE$47,Параметры!AE$56,Параметры!AE$62)</f>
        <v>0.06</v>
      </c>
      <c r="AF311" s="321">
        <f>CHOOSE($D301,Параметры!AF$47,Параметры!AF$56,Параметры!AF$62)</f>
        <v>0.06</v>
      </c>
      <c r="AG311" s="321">
        <f>CHOOSE($D301,Параметры!AG$47,Параметры!AG$56,Параметры!AG$62)</f>
        <v>0.06</v>
      </c>
      <c r="AH311" s="321">
        <f>CHOOSE($D301,Параметры!AH$47,Параметры!AH$56,Параметры!AH$62)</f>
        <v>0.06</v>
      </c>
      <c r="AI311" s="321">
        <f>CHOOSE($D301,Параметры!AI$47,Параметры!AI$56,Параметры!AI$62)</f>
        <v>0.06</v>
      </c>
      <c r="AJ311" s="321">
        <f>CHOOSE($D301,Параметры!AJ$47,Параметры!AJ$56,Параметры!AJ$62)</f>
        <v>0.06</v>
      </c>
      <c r="AK311" s="321">
        <f>CHOOSE($D301,Параметры!AK$47,Параметры!AK$56,Параметры!AK$62)</f>
        <v>0.06</v>
      </c>
      <c r="AL311" s="321">
        <f>CHOOSE($D301,Параметры!AL$47,Параметры!AL$56,Параметры!AL$62)</f>
        <v>0.06</v>
      </c>
      <c r="AM311" s="321">
        <f>CHOOSE($D301,Параметры!AM$47,Параметры!AM$56,Параметры!AM$62)</f>
        <v>0.06</v>
      </c>
      <c r="AN311" s="321">
        <f>CHOOSE($D301,Параметры!AN$47,Параметры!AN$56,Параметры!AN$62)</f>
        <v>0.06</v>
      </c>
      <c r="AO311" s="321">
        <f>CHOOSE($D301,Параметры!AO$47,Параметры!AO$56,Параметры!AO$62)</f>
        <v>0.06</v>
      </c>
      <c r="AP311" s="321">
        <f>CHOOSE($D301,Параметры!AP$47,Параметры!AP$56,Параметры!AP$62)</f>
        <v>0.06</v>
      </c>
      <c r="AQ311" s="321">
        <f>CHOOSE($D301,Параметры!AQ$47,Параметры!AQ$56,Параметры!AQ$62)</f>
        <v>0.06</v>
      </c>
      <c r="AR311" s="321">
        <f>CHOOSE($D301,Параметры!AR$47,Параметры!AR$56,Параметры!AR$62)</f>
        <v>0.06</v>
      </c>
      <c r="AS311" s="321">
        <f>CHOOSE($D301,Параметры!AS$47,Параметры!AS$56,Параметры!AS$62)</f>
        <v>0.06</v>
      </c>
      <c r="AT311" s="321">
        <f>CHOOSE($D301,Параметры!AT$47,Параметры!AT$56,Параметры!AT$62)</f>
        <v>0.06</v>
      </c>
      <c r="AU311" s="321">
        <f>CHOOSE($D301,Параметры!AU$47,Параметры!AU$56,Параметры!AU$62)</f>
        <v>0.06</v>
      </c>
      <c r="AV311" s="321">
        <f>CHOOSE($D301,Параметры!AV$47,Параметры!AV$56,Параметры!AV$62)</f>
        <v>0.06</v>
      </c>
      <c r="AW311" s="183"/>
      <c r="AX311" s="184"/>
    </row>
    <row r="312" spans="1:50" hidden="1" outlineLevel="1" x14ac:dyDescent="0.2">
      <c r="A312" s="179" t="str">
        <f ca="1">Language!A$604</f>
        <v>ставка НДС</v>
      </c>
      <c r="B312" s="84"/>
      <c r="C312" s="82" t="s">
        <v>1</v>
      </c>
      <c r="D312" s="66"/>
      <c r="F312" s="57" t="s">
        <v>756</v>
      </c>
      <c r="G312" s="321">
        <f>Параметры!G$72*10/18</f>
        <v>9.9999999999999992E-2</v>
      </c>
      <c r="H312" s="321">
        <f>Параметры!H$72*10/18</f>
        <v>9.9999999999999992E-2</v>
      </c>
      <c r="I312" s="321">
        <f>Параметры!I$72*10/18</f>
        <v>9.9999999999999992E-2</v>
      </c>
      <c r="J312" s="321">
        <f>Параметры!J$72*10/18</f>
        <v>9.9999999999999992E-2</v>
      </c>
      <c r="K312" s="321">
        <f>Параметры!K$72*10/18</f>
        <v>9.9999999999999992E-2</v>
      </c>
      <c r="L312" s="321">
        <f>Параметры!L$72*10/18</f>
        <v>9.9999999999999992E-2</v>
      </c>
      <c r="M312" s="321">
        <f>Параметры!M$72*10/18</f>
        <v>9.9999999999999992E-2</v>
      </c>
      <c r="N312" s="321">
        <f>Параметры!N$72*10/18</f>
        <v>9.9999999999999992E-2</v>
      </c>
      <c r="O312" s="321">
        <f>Параметры!O$72*10/18</f>
        <v>9.9999999999999992E-2</v>
      </c>
      <c r="P312" s="321">
        <f>Параметры!P$72*10/18</f>
        <v>9.9999999999999992E-2</v>
      </c>
      <c r="Q312" s="321">
        <f>Параметры!Q$72*10/18</f>
        <v>9.9999999999999992E-2</v>
      </c>
      <c r="R312" s="321">
        <f>Параметры!R$72*10/18</f>
        <v>9.9999999999999992E-2</v>
      </c>
      <c r="S312" s="321">
        <f>Параметры!S$72*10/18</f>
        <v>9.9999999999999992E-2</v>
      </c>
      <c r="T312" s="321">
        <f>Параметры!T$72*10/18</f>
        <v>9.9999999999999992E-2</v>
      </c>
      <c r="U312" s="321">
        <f>Параметры!U$72*10/18</f>
        <v>9.9999999999999992E-2</v>
      </c>
      <c r="V312" s="321">
        <f>Параметры!V$72*10/18</f>
        <v>9.9999999999999992E-2</v>
      </c>
      <c r="W312" s="321">
        <f>Параметры!W$72*10/18</f>
        <v>9.9999999999999992E-2</v>
      </c>
      <c r="X312" s="321">
        <f>Параметры!X$72*10/18</f>
        <v>9.9999999999999992E-2</v>
      </c>
      <c r="Y312" s="321">
        <f>Параметры!Y$72*10/18</f>
        <v>9.9999999999999992E-2</v>
      </c>
      <c r="Z312" s="321">
        <f>Параметры!Z$72*10/18</f>
        <v>9.9999999999999992E-2</v>
      </c>
      <c r="AA312" s="321">
        <f>Параметры!AA$72*10/18</f>
        <v>9.9999999999999992E-2</v>
      </c>
      <c r="AB312" s="321">
        <f>Параметры!AB$72*10/18</f>
        <v>9.9999999999999992E-2</v>
      </c>
      <c r="AC312" s="321">
        <f>Параметры!AC$72*10/18</f>
        <v>9.9999999999999992E-2</v>
      </c>
      <c r="AD312" s="321">
        <f>Параметры!AD$72*10/18</f>
        <v>9.9999999999999992E-2</v>
      </c>
      <c r="AE312" s="321">
        <f>Параметры!AE$72*10/18</f>
        <v>9.9999999999999992E-2</v>
      </c>
      <c r="AF312" s="321">
        <f>Параметры!AF$72*10/18</f>
        <v>9.9999999999999992E-2</v>
      </c>
      <c r="AG312" s="321">
        <f>Параметры!AG$72*10/18</f>
        <v>9.9999999999999992E-2</v>
      </c>
      <c r="AH312" s="321">
        <f>Параметры!AH$72*10/18</f>
        <v>9.9999999999999992E-2</v>
      </c>
      <c r="AI312" s="321">
        <f>Параметры!AI$72*10/18</f>
        <v>9.9999999999999992E-2</v>
      </c>
      <c r="AJ312" s="321">
        <f>Параметры!AJ$72*10/18</f>
        <v>9.9999999999999992E-2</v>
      </c>
      <c r="AK312" s="321">
        <f>Параметры!AK$72*10/18</f>
        <v>9.9999999999999992E-2</v>
      </c>
      <c r="AL312" s="321">
        <f>Параметры!AL$72*10/18</f>
        <v>9.9999999999999992E-2</v>
      </c>
      <c r="AM312" s="321">
        <f>Параметры!AM$72*10/18</f>
        <v>9.9999999999999992E-2</v>
      </c>
      <c r="AN312" s="321">
        <f>Параметры!AN$72*10/18</f>
        <v>9.9999999999999992E-2</v>
      </c>
      <c r="AO312" s="321">
        <f>Параметры!AO$72*10/18</f>
        <v>9.9999999999999992E-2</v>
      </c>
      <c r="AP312" s="321">
        <f>Параметры!AP$72*10/18</f>
        <v>9.9999999999999992E-2</v>
      </c>
      <c r="AQ312" s="321">
        <f>Параметры!AQ$72*10/18</f>
        <v>9.9999999999999992E-2</v>
      </c>
      <c r="AR312" s="321">
        <f>Параметры!AR$72*10/18</f>
        <v>9.9999999999999992E-2</v>
      </c>
      <c r="AS312" s="321">
        <f>Параметры!AS$72*10/18</f>
        <v>9.9999999999999992E-2</v>
      </c>
      <c r="AT312" s="321">
        <f>Параметры!AT$72*10/18</f>
        <v>9.9999999999999992E-2</v>
      </c>
      <c r="AU312" s="321">
        <f>Параметры!AU$72*10/18</f>
        <v>9.9999999999999992E-2</v>
      </c>
      <c r="AV312" s="321">
        <f>Параметры!AV$72*10/18</f>
        <v>9.9999999999999992E-2</v>
      </c>
      <c r="AW312" s="183"/>
      <c r="AX312" s="87"/>
    </row>
    <row r="313" spans="1:50" hidden="1" outlineLevel="1" x14ac:dyDescent="0.2">
      <c r="A313" s="179" t="str">
        <f ca="1">Language!A$605</f>
        <v>акцизы, на единицу</v>
      </c>
      <c r="B313" s="66"/>
      <c r="C313" s="82" t="str">
        <f ca="1">CHOOSE(D313,CurName1,CurName2,CurName3)&amp;"/"&amp;C303</f>
        <v>тыс. руб./ц</v>
      </c>
      <c r="D313" s="66">
        <f>D301</f>
        <v>1</v>
      </c>
      <c r="F313" s="57" t="s">
        <v>756</v>
      </c>
      <c r="G313" s="319">
        <v>0</v>
      </c>
      <c r="H313" s="319">
        <f t="shared" ref="H313:H314" si="1807">G313</f>
        <v>0</v>
      </c>
      <c r="I313" s="319">
        <f t="shared" ref="I313:I314" si="1808">H313</f>
        <v>0</v>
      </c>
      <c r="J313" s="319">
        <f t="shared" ref="J313:J314" si="1809">I313</f>
        <v>0</v>
      </c>
      <c r="K313" s="319">
        <f t="shared" ref="K313:K314" si="1810">J313</f>
        <v>0</v>
      </c>
      <c r="L313" s="319">
        <f t="shared" ref="L313:L314" si="1811">K313</f>
        <v>0</v>
      </c>
      <c r="M313" s="319">
        <f t="shared" ref="M313:M314" si="1812">L313</f>
        <v>0</v>
      </c>
      <c r="N313" s="319">
        <f t="shared" ref="N313:N314" si="1813">M313</f>
        <v>0</v>
      </c>
      <c r="O313" s="319">
        <f t="shared" ref="O313:O314" si="1814">N313</f>
        <v>0</v>
      </c>
      <c r="P313" s="319">
        <f t="shared" ref="P313:P314" si="1815">O313</f>
        <v>0</v>
      </c>
      <c r="Q313" s="319">
        <f t="shared" ref="Q313:Q314" si="1816">P313</f>
        <v>0</v>
      </c>
      <c r="R313" s="319">
        <f t="shared" ref="R313:R314" si="1817">Q313</f>
        <v>0</v>
      </c>
      <c r="S313" s="319">
        <f t="shared" ref="S313:S314" si="1818">R313</f>
        <v>0</v>
      </c>
      <c r="T313" s="319">
        <f t="shared" ref="T313:T314" si="1819">S313</f>
        <v>0</v>
      </c>
      <c r="U313" s="319">
        <f t="shared" ref="U313:U314" si="1820">T313</f>
        <v>0</v>
      </c>
      <c r="V313" s="319">
        <f t="shared" ref="V313:V314" si="1821">U313</f>
        <v>0</v>
      </c>
      <c r="W313" s="319">
        <f t="shared" ref="W313:W314" si="1822">V313</f>
        <v>0</v>
      </c>
      <c r="X313" s="319">
        <f t="shared" ref="X313:X314" si="1823">W313</f>
        <v>0</v>
      </c>
      <c r="Y313" s="319">
        <f t="shared" ref="Y313:Y314" si="1824">X313</f>
        <v>0</v>
      </c>
      <c r="Z313" s="319">
        <f t="shared" ref="Z313:Z314" si="1825">Y313</f>
        <v>0</v>
      </c>
      <c r="AA313" s="319">
        <f t="shared" ref="AA313:AA314" si="1826">Z313</f>
        <v>0</v>
      </c>
      <c r="AB313" s="319">
        <f t="shared" ref="AB313:AB314" si="1827">AA313</f>
        <v>0</v>
      </c>
      <c r="AC313" s="319">
        <f t="shared" ref="AC313:AC314" si="1828">AB313</f>
        <v>0</v>
      </c>
      <c r="AD313" s="319">
        <f t="shared" ref="AD313:AD314" si="1829">AC313</f>
        <v>0</v>
      </c>
      <c r="AE313" s="319">
        <f t="shared" ref="AE313:AE314" si="1830">AD313</f>
        <v>0</v>
      </c>
      <c r="AF313" s="319">
        <f t="shared" ref="AF313:AF314" si="1831">AE313</f>
        <v>0</v>
      </c>
      <c r="AG313" s="319">
        <f t="shared" ref="AG313:AG314" si="1832">AF313</f>
        <v>0</v>
      </c>
      <c r="AH313" s="319">
        <f t="shared" ref="AH313:AH314" si="1833">AG313</f>
        <v>0</v>
      </c>
      <c r="AI313" s="319">
        <f t="shared" ref="AI313:AI314" si="1834">AH313</f>
        <v>0</v>
      </c>
      <c r="AJ313" s="319">
        <f t="shared" ref="AJ313:AJ314" si="1835">AI313</f>
        <v>0</v>
      </c>
      <c r="AK313" s="319">
        <f t="shared" ref="AK313:AK314" si="1836">AJ313</f>
        <v>0</v>
      </c>
      <c r="AL313" s="319">
        <f t="shared" ref="AL313:AL314" si="1837">AK313</f>
        <v>0</v>
      </c>
      <c r="AM313" s="319">
        <f t="shared" ref="AM313:AM314" si="1838">AL313</f>
        <v>0</v>
      </c>
      <c r="AN313" s="319">
        <f t="shared" ref="AN313:AN314" si="1839">AM313</f>
        <v>0</v>
      </c>
      <c r="AO313" s="319">
        <f t="shared" ref="AO313:AO314" si="1840">AN313</f>
        <v>0</v>
      </c>
      <c r="AP313" s="319">
        <f t="shared" ref="AP313:AP314" si="1841">AO313</f>
        <v>0</v>
      </c>
      <c r="AQ313" s="319">
        <f t="shared" ref="AQ313:AQ314" si="1842">AP313</f>
        <v>0</v>
      </c>
      <c r="AR313" s="319">
        <f t="shared" ref="AR313:AR314" si="1843">AQ313</f>
        <v>0</v>
      </c>
      <c r="AS313" s="319">
        <f t="shared" ref="AS313:AS314" si="1844">AR313</f>
        <v>0</v>
      </c>
      <c r="AT313" s="319">
        <f t="shared" ref="AT313:AT314" si="1845">AS313</f>
        <v>0</v>
      </c>
      <c r="AU313" s="319">
        <f t="shared" ref="AU313:AU314" si="1846">AT313</f>
        <v>0</v>
      </c>
      <c r="AV313" s="319">
        <f t="shared" ref="AV313:AV314" si="1847">AU313</f>
        <v>0</v>
      </c>
      <c r="AW313" s="180"/>
      <c r="AX313" s="87"/>
    </row>
    <row r="314" spans="1:50" hidden="1" outlineLevel="1" x14ac:dyDescent="0.2">
      <c r="A314" s="179" t="str">
        <f ca="1">Language!A$606</f>
        <v>ставка акцизов, в процентах</v>
      </c>
      <c r="B314" s="84"/>
      <c r="C314" s="82" t="s">
        <v>1</v>
      </c>
      <c r="D314" s="66"/>
      <c r="F314" s="57" t="s">
        <v>756</v>
      </c>
      <c r="G314" s="321">
        <v>0</v>
      </c>
      <c r="H314" s="321">
        <f t="shared" si="1807"/>
        <v>0</v>
      </c>
      <c r="I314" s="321">
        <f t="shared" si="1808"/>
        <v>0</v>
      </c>
      <c r="J314" s="321">
        <f t="shared" si="1809"/>
        <v>0</v>
      </c>
      <c r="K314" s="321">
        <f t="shared" si="1810"/>
        <v>0</v>
      </c>
      <c r="L314" s="321">
        <f t="shared" si="1811"/>
        <v>0</v>
      </c>
      <c r="M314" s="321">
        <f t="shared" si="1812"/>
        <v>0</v>
      </c>
      <c r="N314" s="321">
        <f t="shared" si="1813"/>
        <v>0</v>
      </c>
      <c r="O314" s="321">
        <f t="shared" si="1814"/>
        <v>0</v>
      </c>
      <c r="P314" s="321">
        <f t="shared" si="1815"/>
        <v>0</v>
      </c>
      <c r="Q314" s="321">
        <f t="shared" si="1816"/>
        <v>0</v>
      </c>
      <c r="R314" s="321">
        <f t="shared" si="1817"/>
        <v>0</v>
      </c>
      <c r="S314" s="321">
        <f t="shared" si="1818"/>
        <v>0</v>
      </c>
      <c r="T314" s="321">
        <f t="shared" si="1819"/>
        <v>0</v>
      </c>
      <c r="U314" s="321">
        <f t="shared" si="1820"/>
        <v>0</v>
      </c>
      <c r="V314" s="321">
        <f t="shared" si="1821"/>
        <v>0</v>
      </c>
      <c r="W314" s="321">
        <f t="shared" si="1822"/>
        <v>0</v>
      </c>
      <c r="X314" s="321">
        <f t="shared" si="1823"/>
        <v>0</v>
      </c>
      <c r="Y314" s="321">
        <f t="shared" si="1824"/>
        <v>0</v>
      </c>
      <c r="Z314" s="321">
        <f t="shared" si="1825"/>
        <v>0</v>
      </c>
      <c r="AA314" s="321">
        <f t="shared" si="1826"/>
        <v>0</v>
      </c>
      <c r="AB314" s="321">
        <f t="shared" si="1827"/>
        <v>0</v>
      </c>
      <c r="AC314" s="321">
        <f t="shared" si="1828"/>
        <v>0</v>
      </c>
      <c r="AD314" s="321">
        <f t="shared" si="1829"/>
        <v>0</v>
      </c>
      <c r="AE314" s="321">
        <f t="shared" si="1830"/>
        <v>0</v>
      </c>
      <c r="AF314" s="321">
        <f t="shared" si="1831"/>
        <v>0</v>
      </c>
      <c r="AG314" s="321">
        <f t="shared" si="1832"/>
        <v>0</v>
      </c>
      <c r="AH314" s="321">
        <f t="shared" si="1833"/>
        <v>0</v>
      </c>
      <c r="AI314" s="321">
        <f t="shared" si="1834"/>
        <v>0</v>
      </c>
      <c r="AJ314" s="321">
        <f t="shared" si="1835"/>
        <v>0</v>
      </c>
      <c r="AK314" s="321">
        <f t="shared" si="1836"/>
        <v>0</v>
      </c>
      <c r="AL314" s="321">
        <f t="shared" si="1837"/>
        <v>0</v>
      </c>
      <c r="AM314" s="321">
        <f t="shared" si="1838"/>
        <v>0</v>
      </c>
      <c r="AN314" s="321">
        <f t="shared" si="1839"/>
        <v>0</v>
      </c>
      <c r="AO314" s="321">
        <f t="shared" si="1840"/>
        <v>0</v>
      </c>
      <c r="AP314" s="321">
        <f t="shared" si="1841"/>
        <v>0</v>
      </c>
      <c r="AQ314" s="321">
        <f t="shared" si="1842"/>
        <v>0</v>
      </c>
      <c r="AR314" s="321">
        <f t="shared" si="1843"/>
        <v>0</v>
      </c>
      <c r="AS314" s="321">
        <f t="shared" si="1844"/>
        <v>0</v>
      </c>
      <c r="AT314" s="321">
        <f t="shared" si="1845"/>
        <v>0</v>
      </c>
      <c r="AU314" s="321">
        <f t="shared" si="1846"/>
        <v>0</v>
      </c>
      <c r="AV314" s="321">
        <f t="shared" si="1847"/>
        <v>0</v>
      </c>
      <c r="AW314" s="183"/>
      <c r="AX314" s="87"/>
    </row>
    <row r="315" spans="1:50" hidden="1" outlineLevel="1" x14ac:dyDescent="0.2">
      <c r="A315" s="179" t="str">
        <f ca="1">Language!A$607</f>
        <v>коэффициент прироста цен к предыдущему периоду</v>
      </c>
      <c r="B315" s="84"/>
      <c r="C315" s="82" t="str">
        <f ca="1">Language!$A$1449</f>
        <v>раз</v>
      </c>
      <c r="D315" s="66"/>
      <c r="F315" s="57" t="s">
        <v>756</v>
      </c>
      <c r="G315" s="86">
        <f ca="1">IF(G$2=1,1,IF(Prj_Inflation=1,POWER(1+OFFSET(G311,0,-1),Параметры!G$30/360),1))</f>
        <v>1</v>
      </c>
      <c r="H315" s="86">
        <f ca="1">IF(H$2=1,1,IF(Prj_Inflation=1,POWER(1+OFFSET(H311,0,-1),Параметры!H$30/360),1))</f>
        <v>1.0146738461686593</v>
      </c>
      <c r="I315" s="86">
        <f ca="1">IF(I$2=1,1,IF(Prj_Inflation=1,POWER(1+OFFSET(I311,0,-1),Параметры!I$30/360),1))</f>
        <v>1.0146738461686593</v>
      </c>
      <c r="J315" s="86">
        <f ca="1">IF(J$2=1,1,IF(Prj_Inflation=1,POWER(1+OFFSET(J311,0,-1),Параметры!J$30/360),1))</f>
        <v>1.0146738461686593</v>
      </c>
      <c r="K315" s="86">
        <f ca="1">IF(K$2=1,1,IF(Prj_Inflation=1,POWER(1+OFFSET(K311,0,-1),Параметры!K$30/360),1))</f>
        <v>1.0146738461686593</v>
      </c>
      <c r="L315" s="86">
        <f ca="1">IF(L$2=1,1,IF(Prj_Inflation=1,POWER(1+OFFSET(L311,0,-1),Параметры!L$30/360),1))</f>
        <v>1.0146738461686593</v>
      </c>
      <c r="M315" s="86">
        <f ca="1">IF(M$2=1,1,IF(Prj_Inflation=1,POWER(1+OFFSET(M311,0,-1),Параметры!M$30/360),1))</f>
        <v>1.0146738461686593</v>
      </c>
      <c r="N315" s="86">
        <f ca="1">IF(N$2=1,1,IF(Prj_Inflation=1,POWER(1+OFFSET(N311,0,-1),Параметры!N$30/360),1))</f>
        <v>1.0146738461686593</v>
      </c>
      <c r="O315" s="86">
        <f ca="1">IF(O$2=1,1,IF(Prj_Inflation=1,POWER(1+OFFSET(O311,0,-1),Параметры!O$30/360),1))</f>
        <v>1.0146738461686593</v>
      </c>
      <c r="P315" s="86">
        <f ca="1">IF(P$2=1,1,IF(Prj_Inflation=1,POWER(1+OFFSET(P311,0,-1),Параметры!P$30/360),1))</f>
        <v>1.0146738461686593</v>
      </c>
      <c r="Q315" s="86">
        <f ca="1">IF(Q$2=1,1,IF(Prj_Inflation=1,POWER(1+OFFSET(Q311,0,-1),Параметры!Q$30/360),1))</f>
        <v>1.0146738461686593</v>
      </c>
      <c r="R315" s="86">
        <f ca="1">IF(R$2=1,1,IF(Prj_Inflation=1,POWER(1+OFFSET(R311,0,-1),Параметры!R$30/360),1))</f>
        <v>1.0146738461686593</v>
      </c>
      <c r="S315" s="86">
        <f ca="1">IF(S$2=1,1,IF(Prj_Inflation=1,POWER(1+OFFSET(S311,0,-1),Параметры!S$30/360),1))</f>
        <v>1.0146738461686593</v>
      </c>
      <c r="T315" s="86">
        <f ca="1">IF(T$2=1,1,IF(Prj_Inflation=1,POWER(1+OFFSET(T311,0,-1),Параметры!T$30/360),1))</f>
        <v>1.0146738461686593</v>
      </c>
      <c r="U315" s="86">
        <f ca="1">IF(U$2=1,1,IF(Prj_Inflation=1,POWER(1+OFFSET(U311,0,-1),Параметры!U$30/360),1))</f>
        <v>1.0146738461686593</v>
      </c>
      <c r="V315" s="86">
        <f ca="1">IF(V$2=1,1,IF(Prj_Inflation=1,POWER(1+OFFSET(V311,0,-1),Параметры!V$30/360),1))</f>
        <v>1.0146738461686593</v>
      </c>
      <c r="W315" s="86">
        <f ca="1">IF(W$2=1,1,IF(Prj_Inflation=1,POWER(1+OFFSET(W311,0,-1),Параметры!W$30/360),1))</f>
        <v>1.0146738461686593</v>
      </c>
      <c r="X315" s="86">
        <f ca="1">IF(X$2=1,1,IF(Prj_Inflation=1,POWER(1+OFFSET(X311,0,-1),Параметры!X$30/360),1))</f>
        <v>1.0146738461686593</v>
      </c>
      <c r="Y315" s="86">
        <f ca="1">IF(Y$2=1,1,IF(Prj_Inflation=1,POWER(1+OFFSET(Y311,0,-1),Параметры!Y$30/360),1))</f>
        <v>1.0146738461686593</v>
      </c>
      <c r="Z315" s="86">
        <f ca="1">IF(Z$2=1,1,IF(Prj_Inflation=1,POWER(1+OFFSET(Z311,0,-1),Параметры!Z$30/360),1))</f>
        <v>1.0146738461686593</v>
      </c>
      <c r="AA315" s="86">
        <f ca="1">IF(AA$2=1,1,IF(Prj_Inflation=1,POWER(1+OFFSET(AA311,0,-1),Параметры!AA$30/360),1))</f>
        <v>1.0146738461686593</v>
      </c>
      <c r="AB315" s="86">
        <f ca="1">IF(AB$2=1,1,IF(Prj_Inflation=1,POWER(1+OFFSET(AB311,0,-1),Параметры!AB$30/360),1))</f>
        <v>1.0146738461686593</v>
      </c>
      <c r="AC315" s="86">
        <f ca="1">IF(AC$2=1,1,IF(Prj_Inflation=1,POWER(1+OFFSET(AC311,0,-1),Параметры!AC$30/360),1))</f>
        <v>1.0146738461686593</v>
      </c>
      <c r="AD315" s="86">
        <f ca="1">IF(AD$2=1,1,IF(Prj_Inflation=1,POWER(1+OFFSET(AD311,0,-1),Параметры!AD$30/360),1))</f>
        <v>1.0146738461686593</v>
      </c>
      <c r="AE315" s="86">
        <f ca="1">IF(AE$2=1,1,IF(Prj_Inflation=1,POWER(1+OFFSET(AE311,0,-1),Параметры!AE$30/360),1))</f>
        <v>1.0146738461686593</v>
      </c>
      <c r="AF315" s="86">
        <f ca="1">IF(AF$2=1,1,IF(Prj_Inflation=1,POWER(1+OFFSET(AF311,0,-1),Параметры!AF$30/360),1))</f>
        <v>1.0146738461686593</v>
      </c>
      <c r="AG315" s="86">
        <f ca="1">IF(AG$2=1,1,IF(Prj_Inflation=1,POWER(1+OFFSET(AG311,0,-1),Параметры!AG$30/360),1))</f>
        <v>1.0146738461686593</v>
      </c>
      <c r="AH315" s="86">
        <f ca="1">IF(AH$2=1,1,IF(Prj_Inflation=1,POWER(1+OFFSET(AH311,0,-1),Параметры!AH$30/360),1))</f>
        <v>1.0146738461686593</v>
      </c>
      <c r="AI315" s="86">
        <f ca="1">IF(AI$2=1,1,IF(Prj_Inflation=1,POWER(1+OFFSET(AI311,0,-1),Параметры!AI$30/360),1))</f>
        <v>1.0146738461686593</v>
      </c>
      <c r="AJ315" s="86">
        <f ca="1">IF(AJ$2=1,1,IF(Prj_Inflation=1,POWER(1+OFFSET(AJ311,0,-1),Параметры!AJ$30/360),1))</f>
        <v>1.0146738461686593</v>
      </c>
      <c r="AK315" s="86">
        <f ca="1">IF(AK$2=1,1,IF(Prj_Inflation=1,POWER(1+OFFSET(AK311,0,-1),Параметры!AK$30/360),1))</f>
        <v>1.0146738461686593</v>
      </c>
      <c r="AL315" s="86">
        <f ca="1">IF(AL$2=1,1,IF(Prj_Inflation=1,POWER(1+OFFSET(AL311,0,-1),Параметры!AL$30/360),1))</f>
        <v>1.0146738461686593</v>
      </c>
      <c r="AM315" s="86">
        <f ca="1">IF(AM$2=1,1,IF(Prj_Inflation=1,POWER(1+OFFSET(AM311,0,-1),Параметры!AM$30/360),1))</f>
        <v>1.0146738461686593</v>
      </c>
      <c r="AN315" s="86">
        <f ca="1">IF(AN$2=1,1,IF(Prj_Inflation=1,POWER(1+OFFSET(AN311,0,-1),Параметры!AN$30/360),1))</f>
        <v>1.0146738461686593</v>
      </c>
      <c r="AO315" s="86">
        <f ca="1">IF(AO$2=1,1,IF(Prj_Inflation=1,POWER(1+OFFSET(AO311,0,-1),Параметры!AO$30/360),1))</f>
        <v>1.0146738461686593</v>
      </c>
      <c r="AP315" s="86">
        <f ca="1">IF(AP$2=1,1,IF(Prj_Inflation=1,POWER(1+OFFSET(AP311,0,-1),Параметры!AP$30/360),1))</f>
        <v>1.0146738461686593</v>
      </c>
      <c r="AQ315" s="86">
        <f ca="1">IF(AQ$2=1,1,IF(Prj_Inflation=1,POWER(1+OFFSET(AQ311,0,-1),Параметры!AQ$30/360),1))</f>
        <v>1.0146738461686593</v>
      </c>
      <c r="AR315" s="86">
        <f ca="1">IF(AR$2=1,1,IF(Prj_Inflation=1,POWER(1+OFFSET(AR311,0,-1),Параметры!AR$30/360),1))</f>
        <v>1.0146738461686593</v>
      </c>
      <c r="AS315" s="86">
        <f ca="1">IF(AS$2=1,1,IF(Prj_Inflation=1,POWER(1+OFFSET(AS311,0,-1),Параметры!AS$30/360),1))</f>
        <v>1.0146738461686593</v>
      </c>
      <c r="AT315" s="86">
        <f ca="1">IF(AT$2=1,1,IF(Prj_Inflation=1,POWER(1+OFFSET(AT311,0,-1),Параметры!AT$30/360),1))</f>
        <v>1.0146738461686593</v>
      </c>
      <c r="AU315" s="86">
        <f ca="1">IF(AU$2=1,1,IF(Prj_Inflation=1,POWER(1+OFFSET(AU311,0,-1),Параметры!AU$30/360),1))</f>
        <v>1.0146738461686593</v>
      </c>
      <c r="AV315" s="86">
        <f ca="1">IF(AV$2=1,1,IF(Prj_Inflation=1,POWER(1+OFFSET(AV311,0,-1),Параметры!AV$30/360),1))</f>
        <v>1.0146738461686593</v>
      </c>
      <c r="AW315" s="86"/>
      <c r="AX315" s="87"/>
    </row>
    <row r="316" spans="1:50" hidden="1" outlineLevel="1" x14ac:dyDescent="0.2">
      <c r="A316" s="179" t="str">
        <f ca="1">Language!A$608</f>
        <v>акцизы начисленные</v>
      </c>
      <c r="B316" s="66"/>
      <c r="C316" s="82" t="str">
        <f ca="1">CHOOSE(D316,CurName1,CurName2,CurName3)</f>
        <v>тыс. руб.</v>
      </c>
      <c r="D316" s="155">
        <f>D301</f>
        <v>1</v>
      </c>
      <c r="E316" s="57" t="s">
        <v>996</v>
      </c>
      <c r="F316" s="57" t="s">
        <v>753</v>
      </c>
      <c r="G316" s="185">
        <f t="shared" ref="G316:AV316" ca="1" si="1848">G305*G314+G303*G313</f>
        <v>0</v>
      </c>
      <c r="H316" s="185">
        <f t="shared" ca="1" si="1848"/>
        <v>0</v>
      </c>
      <c r="I316" s="185">
        <f t="shared" ca="1" si="1848"/>
        <v>0</v>
      </c>
      <c r="J316" s="185">
        <f t="shared" ca="1" si="1848"/>
        <v>0</v>
      </c>
      <c r="K316" s="185">
        <f t="shared" ca="1" si="1848"/>
        <v>0</v>
      </c>
      <c r="L316" s="185">
        <f t="shared" ca="1" si="1848"/>
        <v>0</v>
      </c>
      <c r="M316" s="185">
        <f t="shared" ca="1" si="1848"/>
        <v>0</v>
      </c>
      <c r="N316" s="185">
        <f t="shared" ca="1" si="1848"/>
        <v>0</v>
      </c>
      <c r="O316" s="185">
        <f t="shared" ca="1" si="1848"/>
        <v>0</v>
      </c>
      <c r="P316" s="185">
        <f t="shared" ca="1" si="1848"/>
        <v>0</v>
      </c>
      <c r="Q316" s="185">
        <f t="shared" ca="1" si="1848"/>
        <v>0</v>
      </c>
      <c r="R316" s="185">
        <f t="shared" ca="1" si="1848"/>
        <v>0</v>
      </c>
      <c r="S316" s="185">
        <f t="shared" ca="1" si="1848"/>
        <v>0</v>
      </c>
      <c r="T316" s="185">
        <f t="shared" ca="1" si="1848"/>
        <v>0</v>
      </c>
      <c r="U316" s="185">
        <f t="shared" ca="1" si="1848"/>
        <v>0</v>
      </c>
      <c r="V316" s="185">
        <f t="shared" ca="1" si="1848"/>
        <v>0</v>
      </c>
      <c r="W316" s="185">
        <f t="shared" ca="1" si="1848"/>
        <v>0</v>
      </c>
      <c r="X316" s="185">
        <f t="shared" ca="1" si="1848"/>
        <v>0</v>
      </c>
      <c r="Y316" s="185">
        <f t="shared" ca="1" si="1848"/>
        <v>0</v>
      </c>
      <c r="Z316" s="185">
        <f t="shared" ca="1" si="1848"/>
        <v>0</v>
      </c>
      <c r="AA316" s="185">
        <f t="shared" ca="1" si="1848"/>
        <v>0</v>
      </c>
      <c r="AB316" s="185">
        <f t="shared" ca="1" si="1848"/>
        <v>0</v>
      </c>
      <c r="AC316" s="185">
        <f t="shared" ca="1" si="1848"/>
        <v>0</v>
      </c>
      <c r="AD316" s="185">
        <f t="shared" ca="1" si="1848"/>
        <v>0</v>
      </c>
      <c r="AE316" s="185">
        <f t="shared" ca="1" si="1848"/>
        <v>0</v>
      </c>
      <c r="AF316" s="185">
        <f t="shared" ca="1" si="1848"/>
        <v>0</v>
      </c>
      <c r="AG316" s="185">
        <f t="shared" ca="1" si="1848"/>
        <v>0</v>
      </c>
      <c r="AH316" s="185">
        <f t="shared" ca="1" si="1848"/>
        <v>0</v>
      </c>
      <c r="AI316" s="185">
        <f t="shared" ca="1" si="1848"/>
        <v>0</v>
      </c>
      <c r="AJ316" s="185">
        <f t="shared" ca="1" si="1848"/>
        <v>0</v>
      </c>
      <c r="AK316" s="185">
        <f t="shared" ca="1" si="1848"/>
        <v>0</v>
      </c>
      <c r="AL316" s="185">
        <f t="shared" ca="1" si="1848"/>
        <v>0</v>
      </c>
      <c r="AM316" s="185">
        <f t="shared" ca="1" si="1848"/>
        <v>0</v>
      </c>
      <c r="AN316" s="185">
        <f t="shared" ca="1" si="1848"/>
        <v>0</v>
      </c>
      <c r="AO316" s="185">
        <f t="shared" ca="1" si="1848"/>
        <v>0</v>
      </c>
      <c r="AP316" s="185">
        <f t="shared" ca="1" si="1848"/>
        <v>0</v>
      </c>
      <c r="AQ316" s="185">
        <f t="shared" ca="1" si="1848"/>
        <v>0</v>
      </c>
      <c r="AR316" s="185">
        <f t="shared" ca="1" si="1848"/>
        <v>0</v>
      </c>
      <c r="AS316" s="185">
        <f t="shared" ca="1" si="1848"/>
        <v>0</v>
      </c>
      <c r="AT316" s="185">
        <f t="shared" ca="1" si="1848"/>
        <v>0</v>
      </c>
      <c r="AU316" s="185">
        <f t="shared" ca="1" si="1848"/>
        <v>0</v>
      </c>
      <c r="AV316" s="185">
        <f t="shared" ca="1" si="1848"/>
        <v>0</v>
      </c>
      <c r="AW316" s="180"/>
      <c r="AX316" s="169">
        <f ca="1">SUM(G316:AW316)</f>
        <v>0</v>
      </c>
    </row>
    <row r="317" spans="1:50" hidden="1" outlineLevel="1" x14ac:dyDescent="0.2">
      <c r="A317" s="179" t="str">
        <f ca="1">Language!A$609</f>
        <v>НДС начисленный</v>
      </c>
      <c r="B317" s="66"/>
      <c r="C317" s="82" t="str">
        <f ca="1">CHOOSE(D317,CurName1,CurName2,CurName3)</f>
        <v>тыс. руб.</v>
      </c>
      <c r="D317" s="155">
        <f>D301</f>
        <v>1</v>
      </c>
      <c r="E317" s="57" t="s">
        <v>789</v>
      </c>
      <c r="F317" s="57" t="s">
        <v>753</v>
      </c>
      <c r="G317" s="185">
        <f t="shared" ref="G317:AV317" ca="1" si="1849">(G305+G316)*G312</f>
        <v>2342.9519999999993</v>
      </c>
      <c r="H317" s="185">
        <f t="shared" ca="1" si="1849"/>
        <v>0</v>
      </c>
      <c r="I317" s="185">
        <f t="shared" ca="1" si="1849"/>
        <v>0</v>
      </c>
      <c r="J317" s="185">
        <f t="shared" ca="1" si="1849"/>
        <v>0</v>
      </c>
      <c r="K317" s="185">
        <f t="shared" ca="1" si="1849"/>
        <v>3177.5323199999998</v>
      </c>
      <c r="L317" s="185">
        <f t="shared" ca="1" si="1849"/>
        <v>0</v>
      </c>
      <c r="M317" s="185">
        <f t="shared" ca="1" si="1849"/>
        <v>0</v>
      </c>
      <c r="N317" s="185">
        <f t="shared" ca="1" si="1849"/>
        <v>0</v>
      </c>
      <c r="O317" s="185">
        <f t="shared" ca="1" si="1849"/>
        <v>3368.1842591999989</v>
      </c>
      <c r="P317" s="185">
        <f t="shared" ca="1" si="1849"/>
        <v>0</v>
      </c>
      <c r="Q317" s="185">
        <f t="shared" ca="1" si="1849"/>
        <v>0</v>
      </c>
      <c r="R317" s="185">
        <f t="shared" ca="1" si="1849"/>
        <v>0</v>
      </c>
      <c r="S317" s="185">
        <f t="shared" ca="1" si="1849"/>
        <v>3570.2753147519993</v>
      </c>
      <c r="T317" s="185">
        <f t="shared" ca="1" si="1849"/>
        <v>0</v>
      </c>
      <c r="U317" s="185">
        <f t="shared" ca="1" si="1849"/>
        <v>0</v>
      </c>
      <c r="V317" s="185">
        <f t="shared" ca="1" si="1849"/>
        <v>0</v>
      </c>
      <c r="W317" s="185">
        <f t="shared" ca="1" si="1849"/>
        <v>3784.4918336371197</v>
      </c>
      <c r="X317" s="185">
        <f t="shared" ca="1" si="1849"/>
        <v>0</v>
      </c>
      <c r="Y317" s="185">
        <f t="shared" ca="1" si="1849"/>
        <v>0</v>
      </c>
      <c r="Z317" s="185">
        <f t="shared" ca="1" si="1849"/>
        <v>0</v>
      </c>
      <c r="AA317" s="185">
        <f t="shared" ca="1" si="1849"/>
        <v>4011.5613436553463</v>
      </c>
      <c r="AB317" s="185">
        <f t="shared" ca="1" si="1849"/>
        <v>0</v>
      </c>
      <c r="AC317" s="185">
        <f t="shared" ca="1" si="1849"/>
        <v>0</v>
      </c>
      <c r="AD317" s="185">
        <f t="shared" ca="1" si="1849"/>
        <v>0</v>
      </c>
      <c r="AE317" s="185">
        <f t="shared" ca="1" si="1849"/>
        <v>4252.2550242746674</v>
      </c>
      <c r="AF317" s="185">
        <f t="shared" ca="1" si="1849"/>
        <v>0</v>
      </c>
      <c r="AG317" s="185">
        <f t="shared" ca="1" si="1849"/>
        <v>0</v>
      </c>
      <c r="AH317" s="185">
        <f t="shared" ca="1" si="1849"/>
        <v>0</v>
      </c>
      <c r="AI317" s="185">
        <f t="shared" ca="1" si="1849"/>
        <v>4507.3903257311476</v>
      </c>
      <c r="AJ317" s="185">
        <f t="shared" ca="1" si="1849"/>
        <v>0</v>
      </c>
      <c r="AK317" s="185">
        <f t="shared" ca="1" si="1849"/>
        <v>0</v>
      </c>
      <c r="AL317" s="185">
        <f t="shared" ca="1" si="1849"/>
        <v>0</v>
      </c>
      <c r="AM317" s="185">
        <f t="shared" ca="1" si="1849"/>
        <v>4777.8337452750166</v>
      </c>
      <c r="AN317" s="185">
        <f t="shared" ca="1" si="1849"/>
        <v>0</v>
      </c>
      <c r="AO317" s="185">
        <f t="shared" ca="1" si="1849"/>
        <v>0</v>
      </c>
      <c r="AP317" s="185">
        <f t="shared" ca="1" si="1849"/>
        <v>0</v>
      </c>
      <c r="AQ317" s="185">
        <f t="shared" ca="1" si="1849"/>
        <v>5064.5037699915183</v>
      </c>
      <c r="AR317" s="185">
        <f t="shared" ca="1" si="1849"/>
        <v>0</v>
      </c>
      <c r="AS317" s="185">
        <f t="shared" ca="1" si="1849"/>
        <v>0</v>
      </c>
      <c r="AT317" s="185">
        <f t="shared" ca="1" si="1849"/>
        <v>0</v>
      </c>
      <c r="AU317" s="185">
        <f t="shared" ca="1" si="1849"/>
        <v>5368.3739961910105</v>
      </c>
      <c r="AV317" s="185">
        <f t="shared" ca="1" si="1849"/>
        <v>0</v>
      </c>
      <c r="AW317" s="180"/>
      <c r="AX317" s="169">
        <f ca="1">SUM(G317:AW317)</f>
        <v>44225.353932707818</v>
      </c>
    </row>
    <row r="318" spans="1:50" hidden="1" outlineLevel="1" x14ac:dyDescent="0.2">
      <c r="A318" s="179" t="str">
        <f ca="1">Language!A$610</f>
        <v>НДС полученный с авансов</v>
      </c>
      <c r="B318" s="66"/>
      <c r="C318" s="82" t="str">
        <f ca="1">CHOOSE(D318,CurName1,CurName2,CurName3)</f>
        <v>тыс. руб.</v>
      </c>
      <c r="D318" s="155">
        <f>D301</f>
        <v>1</v>
      </c>
      <c r="E318" s="57" t="s">
        <v>1450</v>
      </c>
      <c r="F318" s="57" t="s">
        <v>753</v>
      </c>
      <c r="G318" s="185">
        <f ca="1">G308*G312/(1+G312)</f>
        <v>0</v>
      </c>
      <c r="H318" s="185">
        <f t="shared" ref="H318:AV318" ca="1" si="1850">H308*H312/(1+H312)</f>
        <v>0</v>
      </c>
      <c r="I318" s="185">
        <f t="shared" ca="1" si="1850"/>
        <v>0</v>
      </c>
      <c r="J318" s="185">
        <f t="shared" ca="1" si="1850"/>
        <v>0</v>
      </c>
      <c r="K318" s="185">
        <f t="shared" ca="1" si="1850"/>
        <v>0</v>
      </c>
      <c r="L318" s="185">
        <f t="shared" ca="1" si="1850"/>
        <v>0</v>
      </c>
      <c r="M318" s="185">
        <f t="shared" ca="1" si="1850"/>
        <v>0</v>
      </c>
      <c r="N318" s="185">
        <f t="shared" ca="1" si="1850"/>
        <v>0</v>
      </c>
      <c r="O318" s="185">
        <f t="shared" ca="1" si="1850"/>
        <v>0</v>
      </c>
      <c r="P318" s="185">
        <f t="shared" ca="1" si="1850"/>
        <v>0</v>
      </c>
      <c r="Q318" s="185">
        <f t="shared" ca="1" si="1850"/>
        <v>0</v>
      </c>
      <c r="R318" s="185">
        <f t="shared" ca="1" si="1850"/>
        <v>0</v>
      </c>
      <c r="S318" s="185">
        <f t="shared" ca="1" si="1850"/>
        <v>0</v>
      </c>
      <c r="T318" s="185">
        <f t="shared" ca="1" si="1850"/>
        <v>0</v>
      </c>
      <c r="U318" s="185">
        <f t="shared" ca="1" si="1850"/>
        <v>0</v>
      </c>
      <c r="V318" s="185">
        <f t="shared" ca="1" si="1850"/>
        <v>0</v>
      </c>
      <c r="W318" s="185">
        <f t="shared" ca="1" si="1850"/>
        <v>0</v>
      </c>
      <c r="X318" s="185">
        <f t="shared" ca="1" si="1850"/>
        <v>0</v>
      </c>
      <c r="Y318" s="185">
        <f t="shared" ca="1" si="1850"/>
        <v>0</v>
      </c>
      <c r="Z318" s="185">
        <f t="shared" ca="1" si="1850"/>
        <v>0</v>
      </c>
      <c r="AA318" s="185">
        <f t="shared" ca="1" si="1850"/>
        <v>0</v>
      </c>
      <c r="AB318" s="185">
        <f t="shared" ca="1" si="1850"/>
        <v>0</v>
      </c>
      <c r="AC318" s="185">
        <f t="shared" ca="1" si="1850"/>
        <v>0</v>
      </c>
      <c r="AD318" s="185">
        <f t="shared" ca="1" si="1850"/>
        <v>0</v>
      </c>
      <c r="AE318" s="185">
        <f t="shared" ca="1" si="1850"/>
        <v>0</v>
      </c>
      <c r="AF318" s="185">
        <f t="shared" ca="1" si="1850"/>
        <v>0</v>
      </c>
      <c r="AG318" s="185">
        <f t="shared" ca="1" si="1850"/>
        <v>0</v>
      </c>
      <c r="AH318" s="185">
        <f t="shared" ca="1" si="1850"/>
        <v>0</v>
      </c>
      <c r="AI318" s="185">
        <f t="shared" ca="1" si="1850"/>
        <v>0</v>
      </c>
      <c r="AJ318" s="185">
        <f t="shared" ca="1" si="1850"/>
        <v>0</v>
      </c>
      <c r="AK318" s="185">
        <f t="shared" ca="1" si="1850"/>
        <v>0</v>
      </c>
      <c r="AL318" s="185">
        <f t="shared" ca="1" si="1850"/>
        <v>0</v>
      </c>
      <c r="AM318" s="185">
        <f t="shared" ca="1" si="1850"/>
        <v>0</v>
      </c>
      <c r="AN318" s="185">
        <f t="shared" ca="1" si="1850"/>
        <v>0</v>
      </c>
      <c r="AO318" s="185">
        <f t="shared" ca="1" si="1850"/>
        <v>0</v>
      </c>
      <c r="AP318" s="185">
        <f t="shared" ca="1" si="1850"/>
        <v>0</v>
      </c>
      <c r="AQ318" s="185">
        <f t="shared" ca="1" si="1850"/>
        <v>0</v>
      </c>
      <c r="AR318" s="185">
        <f t="shared" ca="1" si="1850"/>
        <v>0</v>
      </c>
      <c r="AS318" s="185">
        <f t="shared" ca="1" si="1850"/>
        <v>0</v>
      </c>
      <c r="AT318" s="185">
        <f t="shared" ca="1" si="1850"/>
        <v>0</v>
      </c>
      <c r="AU318" s="185">
        <f t="shared" ca="1" si="1850"/>
        <v>0</v>
      </c>
      <c r="AV318" s="185">
        <f t="shared" ca="1" si="1850"/>
        <v>0</v>
      </c>
      <c r="AW318" s="180"/>
      <c r="AX318" s="169">
        <f ca="1">SUM(G318:AW318)</f>
        <v>0</v>
      </c>
    </row>
    <row r="319" spans="1:50" x14ac:dyDescent="0.2">
      <c r="AW319" s="94"/>
    </row>
    <row r="320" spans="1:50" x14ac:dyDescent="0.2">
      <c r="A320" s="38" t="str">
        <f ca="1">Language!A$611</f>
        <v>Итого:</v>
      </c>
      <c r="E320" s="57" t="s">
        <v>725</v>
      </c>
      <c r="AW320" s="94"/>
    </row>
    <row r="321" spans="1:50" s="98" customFormat="1" collapsed="1" x14ac:dyDescent="0.2">
      <c r="A321" s="99" t="str">
        <f ca="1">Language!A$612</f>
        <v>Выручка в отчете о прибылях и убытках, без НДС</v>
      </c>
      <c r="B321" s="38"/>
      <c r="C321" s="124" t="str">
        <f t="shared" ref="C321:C328" ca="1" si="1851">CurName1</f>
        <v>тыс. руб.</v>
      </c>
      <c r="D321" s="57"/>
      <c r="E321" s="57"/>
      <c r="F321" s="57" t="s">
        <v>1099</v>
      </c>
      <c r="G321" s="138">
        <f t="shared" ref="G321:AV321" ca="1" si="1852">SUM(G$87,G$105,G$123,G$141,G$159,G$178,G$196,G$214,G$232,G$250,G$269,G$287,G$305)</f>
        <v>250628.67917076248</v>
      </c>
      <c r="H321" s="138">
        <f t="shared" ca="1" si="1852"/>
        <v>143638.1521754298</v>
      </c>
      <c r="I321" s="138">
        <f t="shared" ca="1" si="1852"/>
        <v>189523.19661492985</v>
      </c>
      <c r="J321" s="138">
        <f t="shared" ca="1" si="1852"/>
        <v>212765.1504605776</v>
      </c>
      <c r="K321" s="138">
        <f t="shared" ca="1" si="1852"/>
        <v>397010.91754848772</v>
      </c>
      <c r="L321" s="138">
        <f t="shared" ca="1" si="1852"/>
        <v>249149.13827210269</v>
      </c>
      <c r="M321" s="138">
        <f t="shared" ca="1" si="1852"/>
        <v>271269.03579772002</v>
      </c>
      <c r="N321" s="138">
        <f t="shared" ca="1" si="1852"/>
        <v>290741.43503499002</v>
      </c>
      <c r="O321" s="138">
        <f t="shared" ca="1" si="1852"/>
        <v>499067.98456754873</v>
      </c>
      <c r="P321" s="138">
        <f t="shared" ca="1" si="1852"/>
        <v>331236.27736687765</v>
      </c>
      <c r="Q321" s="138">
        <f t="shared" ca="1" si="1852"/>
        <v>351093.21956617088</v>
      </c>
      <c r="R321" s="138">
        <f t="shared" ca="1" si="1852"/>
        <v>356245.1074609441</v>
      </c>
      <c r="S321" s="138">
        <f t="shared" ca="1" si="1852"/>
        <v>561114.14923256356</v>
      </c>
      <c r="T321" s="138">
        <f t="shared" ca="1" si="1852"/>
        <v>366776.78659540502</v>
      </c>
      <c r="U321" s="138">
        <f t="shared" ca="1" si="1852"/>
        <v>389459.8716457134</v>
      </c>
      <c r="V321" s="138">
        <f t="shared" ca="1" si="1852"/>
        <v>395174.74589110841</v>
      </c>
      <c r="W321" s="138">
        <f t="shared" ca="1" si="1852"/>
        <v>612593.52854043769</v>
      </c>
      <c r="X321" s="138">
        <f t="shared" ca="1" si="1852"/>
        <v>406857.30247533746</v>
      </c>
      <c r="Y321" s="138">
        <f t="shared" ca="1" si="1852"/>
        <v>413677.91699091613</v>
      </c>
      <c r="Z321" s="138">
        <f t="shared" ca="1" si="1852"/>
        <v>419748.16310821223</v>
      </c>
      <c r="AA321" s="138">
        <f t="shared" ca="1" si="1852"/>
        <v>650224.73525472661</v>
      </c>
      <c r="AB321" s="138">
        <f t="shared" ca="1" si="1852"/>
        <v>432157.18397208379</v>
      </c>
      <c r="AC321" s="138">
        <f t="shared" ca="1" si="1852"/>
        <v>446919.77870131476</v>
      </c>
      <c r="AD321" s="138">
        <f t="shared" ca="1" si="1852"/>
        <v>453477.81078370911</v>
      </c>
      <c r="AE321" s="138">
        <f t="shared" ca="1" si="1852"/>
        <v>697908.36172182614</v>
      </c>
      <c r="AF321" s="138">
        <f t="shared" ca="1" si="1852"/>
        <v>466883.98169735551</v>
      </c>
      <c r="AG321" s="138">
        <f t="shared" ca="1" si="1852"/>
        <v>475978.19626506895</v>
      </c>
      <c r="AH321" s="138">
        <f t="shared" ca="1" si="1852"/>
        <v>482962.6270966985</v>
      </c>
      <c r="AI321" s="138">
        <f t="shared" ca="1" si="1852"/>
        <v>742092.41093181004</v>
      </c>
      <c r="AJ321" s="138">
        <f t="shared" ca="1" si="1852"/>
        <v>497240.45805070334</v>
      </c>
      <c r="AK321" s="138">
        <f t="shared" ca="1" si="1852"/>
        <v>503692.85354969709</v>
      </c>
      <c r="AL321" s="138">
        <f t="shared" ca="1" si="1852"/>
        <v>511083.96499893832</v>
      </c>
      <c r="AM321" s="138">
        <f t="shared" ca="1" si="1852"/>
        <v>785748.96889287722</v>
      </c>
      <c r="AN321" s="138">
        <f t="shared" ca="1" si="1852"/>
        <v>526193.14746182144</v>
      </c>
      <c r="AO321" s="138">
        <f t="shared" ca="1" si="1852"/>
        <v>533800.02868372505</v>
      </c>
      <c r="AP321" s="138">
        <f t="shared" ca="1" si="1852"/>
        <v>541632.92818945588</v>
      </c>
      <c r="AQ321" s="138">
        <f t="shared" ca="1" si="1852"/>
        <v>832776.12905460107</v>
      </c>
      <c r="AR321" s="138">
        <f t="shared" ca="1" si="1852"/>
        <v>557645.23008184112</v>
      </c>
      <c r="AS321" s="138">
        <f t="shared" ca="1" si="1852"/>
        <v>543295.8766353426</v>
      </c>
      <c r="AT321" s="138">
        <f t="shared" ca="1" si="1852"/>
        <v>551268.11675315653</v>
      </c>
      <c r="AU321" s="138">
        <f t="shared" ca="1" si="1852"/>
        <v>859544.42464891227</v>
      </c>
      <c r="AV321" s="138">
        <f t="shared" ca="1" si="1852"/>
        <v>567565.26386089379</v>
      </c>
      <c r="AW321" s="148"/>
      <c r="AX321" s="169">
        <f ca="1">SUM(G321:AW321)</f>
        <v>19767863.235802796</v>
      </c>
    </row>
    <row r="322" spans="1:50" s="98" customFormat="1" hidden="1" outlineLevel="1" x14ac:dyDescent="0.2">
      <c r="A322" s="99" t="str">
        <f ca="1">Language!A$613</f>
        <v>НДС начисленный</v>
      </c>
      <c r="B322" s="38"/>
      <c r="C322" s="124" t="str">
        <f t="shared" ca="1" si="1851"/>
        <v>тыс. руб.</v>
      </c>
      <c r="D322" s="57"/>
      <c r="E322" s="57"/>
      <c r="F322" s="57" t="s">
        <v>1122</v>
      </c>
      <c r="G322" s="138">
        <f t="shared" ref="G322:AV322" ca="1" si="1853">SUM(G$99,G$117,G$135,G$153,G$171,G$190,G$208,G$226,G$244,G$262,G$281,G$299,G$317)</f>
        <v>25062.867917076248</v>
      </c>
      <c r="H322" s="138">
        <f t="shared" ca="1" si="1853"/>
        <v>14363.81521754298</v>
      </c>
      <c r="I322" s="138">
        <f t="shared" ca="1" si="1853"/>
        <v>18952.31966149298</v>
      </c>
      <c r="J322" s="138">
        <f t="shared" ca="1" si="1853"/>
        <v>21276.515046057757</v>
      </c>
      <c r="K322" s="138">
        <f t="shared" ca="1" si="1853"/>
        <v>39701.091754848771</v>
      </c>
      <c r="L322" s="138">
        <f t="shared" ca="1" si="1853"/>
        <v>24914.913827210268</v>
      </c>
      <c r="M322" s="138">
        <f t="shared" ca="1" si="1853"/>
        <v>27126.903579771999</v>
      </c>
      <c r="N322" s="138">
        <f t="shared" ca="1" si="1853"/>
        <v>29074.143503499003</v>
      </c>
      <c r="O322" s="138">
        <f t="shared" ca="1" si="1853"/>
        <v>49906.79845675487</v>
      </c>
      <c r="P322" s="138">
        <f t="shared" ca="1" si="1853"/>
        <v>33123.627736687762</v>
      </c>
      <c r="Q322" s="138">
        <f t="shared" ca="1" si="1853"/>
        <v>35109.321956617088</v>
      </c>
      <c r="R322" s="138">
        <f t="shared" ca="1" si="1853"/>
        <v>35624.51074609442</v>
      </c>
      <c r="S322" s="138">
        <f t="shared" ca="1" si="1853"/>
        <v>56111.414923256358</v>
      </c>
      <c r="T322" s="138">
        <f t="shared" ca="1" si="1853"/>
        <v>36677.678659540492</v>
      </c>
      <c r="U322" s="138">
        <f t="shared" ca="1" si="1853"/>
        <v>38945.987164571336</v>
      </c>
      <c r="V322" s="138">
        <f t="shared" ca="1" si="1853"/>
        <v>39517.47458911084</v>
      </c>
      <c r="W322" s="138">
        <f t="shared" ca="1" si="1853"/>
        <v>61259.352854043755</v>
      </c>
      <c r="X322" s="138">
        <f t="shared" ca="1" si="1853"/>
        <v>40685.730247533749</v>
      </c>
      <c r="Y322" s="138">
        <f t="shared" ca="1" si="1853"/>
        <v>41367.791699091613</v>
      </c>
      <c r="Z322" s="138">
        <f t="shared" ca="1" si="1853"/>
        <v>41974.816310821217</v>
      </c>
      <c r="AA322" s="138">
        <f t="shared" ca="1" si="1853"/>
        <v>65022.473525472655</v>
      </c>
      <c r="AB322" s="138">
        <f t="shared" ca="1" si="1853"/>
        <v>43215.718397208373</v>
      </c>
      <c r="AC322" s="138">
        <f t="shared" ca="1" si="1853"/>
        <v>44691.977870131479</v>
      </c>
      <c r="AD322" s="138">
        <f t="shared" ca="1" si="1853"/>
        <v>45347.781078370914</v>
      </c>
      <c r="AE322" s="138">
        <f t="shared" ca="1" si="1853"/>
        <v>69790.836172182593</v>
      </c>
      <c r="AF322" s="138">
        <f t="shared" ca="1" si="1853"/>
        <v>46688.398169735556</v>
      </c>
      <c r="AG322" s="138">
        <f t="shared" ca="1" si="1853"/>
        <v>47597.819626506884</v>
      </c>
      <c r="AH322" s="138">
        <f t="shared" ca="1" si="1853"/>
        <v>48296.262709669849</v>
      </c>
      <c r="AI322" s="138">
        <f t="shared" ca="1" si="1853"/>
        <v>74209.241093181001</v>
      </c>
      <c r="AJ322" s="138">
        <f t="shared" ca="1" si="1853"/>
        <v>49724.045805070338</v>
      </c>
      <c r="AK322" s="138">
        <f t="shared" ca="1" si="1853"/>
        <v>50369.285354969696</v>
      </c>
      <c r="AL322" s="138">
        <f t="shared" ca="1" si="1853"/>
        <v>51108.396499893825</v>
      </c>
      <c r="AM322" s="138">
        <f t="shared" ca="1" si="1853"/>
        <v>78574.896889287716</v>
      </c>
      <c r="AN322" s="138">
        <f t="shared" ca="1" si="1853"/>
        <v>52619.314746182143</v>
      </c>
      <c r="AO322" s="138">
        <f t="shared" ca="1" si="1853"/>
        <v>53380.002868372496</v>
      </c>
      <c r="AP322" s="138">
        <f t="shared" ca="1" si="1853"/>
        <v>54163.292818945585</v>
      </c>
      <c r="AQ322" s="138">
        <f t="shared" ca="1" si="1853"/>
        <v>83277.612905460104</v>
      </c>
      <c r="AR322" s="138">
        <f t="shared" ca="1" si="1853"/>
        <v>55764.523008184093</v>
      </c>
      <c r="AS322" s="138">
        <f t="shared" ca="1" si="1853"/>
        <v>54329.58766353425</v>
      </c>
      <c r="AT322" s="138">
        <f t="shared" ca="1" si="1853"/>
        <v>55126.81167531565</v>
      </c>
      <c r="AU322" s="138">
        <f t="shared" ca="1" si="1853"/>
        <v>85954.442464891239</v>
      </c>
      <c r="AV322" s="138">
        <f t="shared" ca="1" si="1853"/>
        <v>56756.526386089376</v>
      </c>
      <c r="AW322" s="148"/>
      <c r="AX322" s="169">
        <f ca="1">SUM(G322:AW322)</f>
        <v>1976786.3235802797</v>
      </c>
    </row>
    <row r="323" spans="1:50" s="98" customFormat="1" hidden="1" outlineLevel="1" x14ac:dyDescent="0.2">
      <c r="A323" s="99" t="str">
        <f ca="1">Language!A$614</f>
        <v>Поступления от продаж, с НДС</v>
      </c>
      <c r="B323" s="38"/>
      <c r="C323" s="124" t="str">
        <f t="shared" ca="1" si="1851"/>
        <v>тыс. руб.</v>
      </c>
      <c r="D323" s="57"/>
      <c r="E323" s="57"/>
      <c r="F323" s="57" t="s">
        <v>1100</v>
      </c>
      <c r="G323" s="138">
        <f t="shared" ref="G323:AV323" ca="1" si="1854">SUM(G$92,G$110,G$128,G$146,G$164,G$183,G$201,G$219,G$237,G$255,G$274,G$292,G$310)</f>
        <v>174604.64648896453</v>
      </c>
      <c r="H323" s="138">
        <f t="shared" ca="1" si="1854"/>
        <v>201154.81328109035</v>
      </c>
      <c r="I323" s="138">
        <f t="shared" ca="1" si="1854"/>
        <v>189968.54835249114</v>
      </c>
      <c r="J323" s="138">
        <f t="shared" ca="1" si="1854"/>
        <v>224667.41078889073</v>
      </c>
      <c r="K323" s="138">
        <f t="shared" ca="1" si="1854"/>
        <v>362399.54991121276</v>
      </c>
      <c r="L323" s="138">
        <f t="shared" ca="1" si="1854"/>
        <v>333701.63640745485</v>
      </c>
      <c r="M323" s="138">
        <f t="shared" ca="1" si="1854"/>
        <v>289474.24737549305</v>
      </c>
      <c r="N323" s="138">
        <f t="shared" ca="1" si="1854"/>
        <v>311961.71084612352</v>
      </c>
      <c r="O323" s="138">
        <f t="shared" ca="1" si="1854"/>
        <v>464949.74137950502</v>
      </c>
      <c r="P323" s="138">
        <f t="shared" ca="1" si="1854"/>
        <v>432052.02700783615</v>
      </c>
      <c r="Q323" s="138">
        <f t="shared" ca="1" si="1854"/>
        <v>378193.57483573968</v>
      </c>
      <c r="R323" s="138">
        <f t="shared" ca="1" si="1854"/>
        <v>389791.69008947996</v>
      </c>
      <c r="S323" s="138">
        <f t="shared" ca="1" si="1854"/>
        <v>534595.05064126686</v>
      </c>
      <c r="T323" s="138">
        <f t="shared" ca="1" si="1854"/>
        <v>481837.20151859947</v>
      </c>
      <c r="U323" s="138">
        <f t="shared" ca="1" si="1854"/>
        <v>419257.0145066604</v>
      </c>
      <c r="V323" s="138">
        <f t="shared" ca="1" si="1854"/>
        <v>432387.22120124323</v>
      </c>
      <c r="W323" s="138">
        <f t="shared" ca="1" si="1854"/>
        <v>586160.63905925199</v>
      </c>
      <c r="X323" s="138">
        <f t="shared" ca="1" si="1854"/>
        <v>530523.31056912825</v>
      </c>
      <c r="Y323" s="138">
        <f t="shared" ca="1" si="1854"/>
        <v>452294.72750205768</v>
      </c>
      <c r="Z323" s="138">
        <f t="shared" ca="1" si="1854"/>
        <v>459274.6468183907</v>
      </c>
      <c r="AA323" s="138">
        <f t="shared" ca="1" si="1854"/>
        <v>622288.32468110509</v>
      </c>
      <c r="AB323" s="138">
        <f t="shared" ca="1" si="1854"/>
        <v>563326.81471995811</v>
      </c>
      <c r="AC323" s="138">
        <f t="shared" ca="1" si="1854"/>
        <v>485657.51003065635</v>
      </c>
      <c r="AD323" s="138">
        <f t="shared" ca="1" si="1854"/>
        <v>496180.51892218104</v>
      </c>
      <c r="AE323" s="138">
        <f t="shared" ca="1" si="1854"/>
        <v>669112.20901563484</v>
      </c>
      <c r="AF323" s="138">
        <f t="shared" ca="1" si="1854"/>
        <v>606752.21314362751</v>
      </c>
      <c r="AG323" s="138">
        <f t="shared" ca="1" si="1854"/>
        <v>519908.01601593144</v>
      </c>
      <c r="AH323" s="138">
        <f t="shared" ca="1" si="1854"/>
        <v>528441.83603761112</v>
      </c>
      <c r="AI323" s="138">
        <f t="shared" ca="1" si="1854"/>
        <v>711785.97254482959</v>
      </c>
      <c r="AJ323" s="138">
        <f t="shared" ca="1" si="1854"/>
        <v>645721.45818448684</v>
      </c>
      <c r="AK323" s="138">
        <f t="shared" ca="1" si="1854"/>
        <v>551459.67272007256</v>
      </c>
      <c r="AL323" s="138">
        <f t="shared" ca="1" si="1854"/>
        <v>559211.27988097141</v>
      </c>
      <c r="AM323" s="138">
        <f t="shared" ca="1" si="1854"/>
        <v>753542.31421160954</v>
      </c>
      <c r="AN323" s="138">
        <f t="shared" ca="1" si="1854"/>
        <v>683499.97685186286</v>
      </c>
      <c r="AO323" s="138">
        <f t="shared" ca="1" si="1854"/>
        <v>584111.92279259639</v>
      </c>
      <c r="AP323" s="138">
        <f t="shared" ca="1" si="1854"/>
        <v>592636.95154108992</v>
      </c>
      <c r="AQ323" s="138">
        <f t="shared" ca="1" si="1854"/>
        <v>798625.9842777861</v>
      </c>
      <c r="AR323" s="138">
        <f t="shared" ca="1" si="1854"/>
        <v>724379.215675705</v>
      </c>
      <c r="AS323" s="138">
        <f t="shared" ca="1" si="1854"/>
        <v>603413.03685563116</v>
      </c>
      <c r="AT323" s="138">
        <f t="shared" ca="1" si="1854"/>
        <v>603179.45824762038</v>
      </c>
      <c r="AU323" s="138">
        <f t="shared" ca="1" si="1854"/>
        <v>821160.75626251544</v>
      </c>
      <c r="AV323" s="138">
        <f t="shared" ca="1" si="1854"/>
        <v>742086.71843148407</v>
      </c>
      <c r="AW323" s="148"/>
      <c r="AX323" s="169">
        <f ca="1">SUM(G323:AW323)</f>
        <v>21515731.569625847</v>
      </c>
    </row>
    <row r="324" spans="1:50" s="98" customFormat="1" hidden="1" outlineLevel="1" x14ac:dyDescent="0.2">
      <c r="A324" s="99" t="str">
        <f ca="1">Language!A$615</f>
        <v>Дебиторская задолженность</v>
      </c>
      <c r="B324" s="38"/>
      <c r="C324" s="124" t="str">
        <f t="shared" ca="1" si="1851"/>
        <v>тыс. руб.</v>
      </c>
      <c r="D324" s="57"/>
      <c r="E324" s="57"/>
      <c r="F324" s="57" t="s">
        <v>1101</v>
      </c>
      <c r="G324" s="138">
        <f t="shared" ref="G324:AV324" ca="1" si="1855">SUM(G$88,G$106,G$124,G$142,G$160,G$179,G$197,G$215,G$233,G$251,G$270,G$288,G$306)</f>
        <v>101086.9005988742</v>
      </c>
      <c r="H324" s="138">
        <f t="shared" ca="1" si="1855"/>
        <v>57934.054710756689</v>
      </c>
      <c r="I324" s="138">
        <f t="shared" ca="1" si="1855"/>
        <v>76441.022634688386</v>
      </c>
      <c r="J324" s="138">
        <f t="shared" ca="1" si="1855"/>
        <v>85815.277352432953</v>
      </c>
      <c r="K324" s="138">
        <f t="shared" ca="1" si="1855"/>
        <v>160127.73674455672</v>
      </c>
      <c r="L324" s="138">
        <f t="shared" ca="1" si="1855"/>
        <v>100490.15243641476</v>
      </c>
      <c r="M324" s="138">
        <f t="shared" ca="1" si="1855"/>
        <v>109411.84443841374</v>
      </c>
      <c r="N324" s="138">
        <f t="shared" ca="1" si="1855"/>
        <v>117265.71213077936</v>
      </c>
      <c r="O324" s="138">
        <f t="shared" ca="1" si="1855"/>
        <v>201290.75377557796</v>
      </c>
      <c r="P324" s="138">
        <f t="shared" ca="1" si="1855"/>
        <v>133598.6318713073</v>
      </c>
      <c r="Q324" s="138">
        <f t="shared" ca="1" si="1855"/>
        <v>141607.59855835559</v>
      </c>
      <c r="R324" s="138">
        <f t="shared" ca="1" si="1855"/>
        <v>143685.52667591415</v>
      </c>
      <c r="S324" s="138">
        <f t="shared" ca="1" si="1855"/>
        <v>226316.04019046735</v>
      </c>
      <c r="T324" s="138">
        <f t="shared" ca="1" si="1855"/>
        <v>147933.30392681336</v>
      </c>
      <c r="U324" s="138">
        <f t="shared" ca="1" si="1855"/>
        <v>157082.14823043774</v>
      </c>
      <c r="V324" s="138">
        <f t="shared" ca="1" si="1855"/>
        <v>159387.14750941371</v>
      </c>
      <c r="W324" s="138">
        <f t="shared" ca="1" si="1855"/>
        <v>247079.38984464318</v>
      </c>
      <c r="X324" s="138">
        <f t="shared" ca="1" si="1855"/>
        <v>164099.1119983861</v>
      </c>
      <c r="Y324" s="138">
        <f t="shared" ca="1" si="1855"/>
        <v>166850.09318633619</v>
      </c>
      <c r="Z324" s="138">
        <f t="shared" ca="1" si="1855"/>
        <v>169298.42578697891</v>
      </c>
      <c r="AA324" s="138">
        <f t="shared" ca="1" si="1855"/>
        <v>262257.30988607311</v>
      </c>
      <c r="AB324" s="138">
        <f t="shared" ca="1" si="1855"/>
        <v>174303.39753540713</v>
      </c>
      <c r="AC324" s="138">
        <f t="shared" ca="1" si="1855"/>
        <v>180257.64407619697</v>
      </c>
      <c r="AD324" s="138">
        <f t="shared" ca="1" si="1855"/>
        <v>182902.71701609602</v>
      </c>
      <c r="AE324" s="138">
        <f t="shared" ca="1" si="1855"/>
        <v>281489.70589446987</v>
      </c>
      <c r="AF324" s="138">
        <f t="shared" ca="1" si="1855"/>
        <v>188309.8726179334</v>
      </c>
      <c r="AG324" s="138">
        <f t="shared" ca="1" si="1855"/>
        <v>191977.87249357783</v>
      </c>
      <c r="AH324" s="138">
        <f t="shared" ca="1" si="1855"/>
        <v>194794.9262623351</v>
      </c>
      <c r="AI324" s="138">
        <f t="shared" ca="1" si="1855"/>
        <v>299310.60574249673</v>
      </c>
      <c r="AJ324" s="138">
        <f t="shared" ca="1" si="1855"/>
        <v>200553.65141378366</v>
      </c>
      <c r="AK324" s="138">
        <f t="shared" ca="1" si="1855"/>
        <v>203156.11759837778</v>
      </c>
      <c r="AL324" s="138">
        <f t="shared" ca="1" si="1855"/>
        <v>206137.19921623846</v>
      </c>
      <c r="AM324" s="138">
        <f t="shared" ca="1" si="1855"/>
        <v>316918.75078679383</v>
      </c>
      <c r="AN324" s="138">
        <f t="shared" ca="1" si="1855"/>
        <v>212231.23614293468</v>
      </c>
      <c r="AO324" s="138">
        <f t="shared" ca="1" si="1855"/>
        <v>215299.34490243575</v>
      </c>
      <c r="AP324" s="138">
        <f t="shared" ca="1" si="1855"/>
        <v>218458.61436974723</v>
      </c>
      <c r="AQ324" s="138">
        <f t="shared" ca="1" si="1855"/>
        <v>335886.37205202249</v>
      </c>
      <c r="AR324" s="138">
        <f t="shared" ca="1" si="1855"/>
        <v>224916.90946634253</v>
      </c>
      <c r="AS324" s="138">
        <f t="shared" ca="1" si="1855"/>
        <v>219129.33690958816</v>
      </c>
      <c r="AT324" s="138">
        <f t="shared" ca="1" si="1855"/>
        <v>222344.80709043978</v>
      </c>
      <c r="AU324" s="138">
        <f t="shared" ca="1" si="1855"/>
        <v>346682.91794172791</v>
      </c>
      <c r="AV324" s="138">
        <f t="shared" ca="1" si="1855"/>
        <v>228917.98975722719</v>
      </c>
      <c r="AW324" s="148"/>
      <c r="AX324" s="171"/>
    </row>
    <row r="325" spans="1:50" s="98" customFormat="1" hidden="1" outlineLevel="1" x14ac:dyDescent="0.2">
      <c r="A325" s="99" t="str">
        <f ca="1">Language!A$616</f>
        <v>Авансы полученные</v>
      </c>
      <c r="B325" s="38"/>
      <c r="C325" s="124" t="str">
        <f t="shared" ca="1" si="1851"/>
        <v>тыс. руб.</v>
      </c>
      <c r="D325" s="57"/>
      <c r="E325" s="57"/>
      <c r="F325" s="57" t="s">
        <v>1102</v>
      </c>
      <c r="G325" s="138">
        <f t="shared" ref="G325:AV325" ca="1" si="1856">SUM(G$90,G$108,G$126,G$144,G$162,G$181,G$199,G$217,G$235,G$253,G$272,G$290,G$308)</f>
        <v>0</v>
      </c>
      <c r="H325" s="138">
        <f t="shared" ca="1" si="1856"/>
        <v>0</v>
      </c>
      <c r="I325" s="138">
        <f t="shared" ca="1" si="1856"/>
        <v>0</v>
      </c>
      <c r="J325" s="138">
        <f t="shared" ca="1" si="1856"/>
        <v>0</v>
      </c>
      <c r="K325" s="138">
        <f t="shared" ca="1" si="1856"/>
        <v>0</v>
      </c>
      <c r="L325" s="138">
        <f t="shared" ca="1" si="1856"/>
        <v>0</v>
      </c>
      <c r="M325" s="138">
        <f t="shared" ca="1" si="1856"/>
        <v>0</v>
      </c>
      <c r="N325" s="138">
        <f t="shared" ca="1" si="1856"/>
        <v>0</v>
      </c>
      <c r="O325" s="138">
        <f t="shared" ca="1" si="1856"/>
        <v>0</v>
      </c>
      <c r="P325" s="138">
        <f t="shared" ca="1" si="1856"/>
        <v>0</v>
      </c>
      <c r="Q325" s="138">
        <f t="shared" ca="1" si="1856"/>
        <v>0</v>
      </c>
      <c r="R325" s="138">
        <f t="shared" ca="1" si="1856"/>
        <v>0</v>
      </c>
      <c r="S325" s="138">
        <f t="shared" ca="1" si="1856"/>
        <v>0</v>
      </c>
      <c r="T325" s="138">
        <f t="shared" ca="1" si="1856"/>
        <v>0</v>
      </c>
      <c r="U325" s="138">
        <f t="shared" ca="1" si="1856"/>
        <v>0</v>
      </c>
      <c r="V325" s="138">
        <f t="shared" ca="1" si="1856"/>
        <v>0</v>
      </c>
      <c r="W325" s="138">
        <f t="shared" ca="1" si="1856"/>
        <v>0</v>
      </c>
      <c r="X325" s="138">
        <f t="shared" ca="1" si="1856"/>
        <v>0</v>
      </c>
      <c r="Y325" s="138">
        <f t="shared" ca="1" si="1856"/>
        <v>0</v>
      </c>
      <c r="Z325" s="138">
        <f t="shared" ca="1" si="1856"/>
        <v>0</v>
      </c>
      <c r="AA325" s="138">
        <f t="shared" ca="1" si="1856"/>
        <v>0</v>
      </c>
      <c r="AB325" s="138">
        <f t="shared" ca="1" si="1856"/>
        <v>0</v>
      </c>
      <c r="AC325" s="138">
        <f t="shared" ca="1" si="1856"/>
        <v>0</v>
      </c>
      <c r="AD325" s="138">
        <f t="shared" ca="1" si="1856"/>
        <v>0</v>
      </c>
      <c r="AE325" s="138">
        <f t="shared" ca="1" si="1856"/>
        <v>0</v>
      </c>
      <c r="AF325" s="138">
        <f t="shared" ca="1" si="1856"/>
        <v>0</v>
      </c>
      <c r="AG325" s="138">
        <f t="shared" ca="1" si="1856"/>
        <v>0</v>
      </c>
      <c r="AH325" s="138">
        <f t="shared" ca="1" si="1856"/>
        <v>0</v>
      </c>
      <c r="AI325" s="138">
        <f t="shared" ca="1" si="1856"/>
        <v>0</v>
      </c>
      <c r="AJ325" s="138">
        <f t="shared" ca="1" si="1856"/>
        <v>0</v>
      </c>
      <c r="AK325" s="138">
        <f t="shared" ca="1" si="1856"/>
        <v>0</v>
      </c>
      <c r="AL325" s="138">
        <f t="shared" ca="1" si="1856"/>
        <v>0</v>
      </c>
      <c r="AM325" s="138">
        <f t="shared" ca="1" si="1856"/>
        <v>0</v>
      </c>
      <c r="AN325" s="138">
        <f t="shared" ca="1" si="1856"/>
        <v>0</v>
      </c>
      <c r="AO325" s="138">
        <f t="shared" ca="1" si="1856"/>
        <v>0</v>
      </c>
      <c r="AP325" s="138">
        <f t="shared" ca="1" si="1856"/>
        <v>0</v>
      </c>
      <c r="AQ325" s="138">
        <f t="shared" ca="1" si="1856"/>
        <v>0</v>
      </c>
      <c r="AR325" s="138">
        <f t="shared" ca="1" si="1856"/>
        <v>0</v>
      </c>
      <c r="AS325" s="138">
        <f t="shared" ca="1" si="1856"/>
        <v>0</v>
      </c>
      <c r="AT325" s="138">
        <f t="shared" ca="1" si="1856"/>
        <v>0</v>
      </c>
      <c r="AU325" s="138">
        <f t="shared" ca="1" si="1856"/>
        <v>0</v>
      </c>
      <c r="AV325" s="138">
        <f t="shared" ca="1" si="1856"/>
        <v>0</v>
      </c>
      <c r="AW325" s="148"/>
      <c r="AX325" s="171"/>
    </row>
    <row r="326" spans="1:50" s="98" customFormat="1" hidden="1" outlineLevel="1" x14ac:dyDescent="0.2">
      <c r="A326" s="99" t="str">
        <f ca="1">Language!A$617</f>
        <v>НДС полученный с авансов</v>
      </c>
      <c r="B326" s="38"/>
      <c r="C326" s="124" t="str">
        <f t="shared" ca="1" si="1851"/>
        <v>тыс. руб.</v>
      </c>
      <c r="D326" s="57"/>
      <c r="E326" s="57"/>
      <c r="F326" s="57" t="s">
        <v>1451</v>
      </c>
      <c r="G326" s="138">
        <f t="shared" ref="G326:AV326" ca="1" si="1857">SUM(G$100,G$118,G$136,G$154,G$172,G$191,G$209,G$227,G$245,G$263,G$282,G$300,G$318)</f>
        <v>0</v>
      </c>
      <c r="H326" s="138">
        <f t="shared" ca="1" si="1857"/>
        <v>0</v>
      </c>
      <c r="I326" s="138">
        <f t="shared" ca="1" si="1857"/>
        <v>0</v>
      </c>
      <c r="J326" s="138">
        <f t="shared" ca="1" si="1857"/>
        <v>0</v>
      </c>
      <c r="K326" s="138">
        <f t="shared" ca="1" si="1857"/>
        <v>0</v>
      </c>
      <c r="L326" s="138">
        <f t="shared" ca="1" si="1857"/>
        <v>0</v>
      </c>
      <c r="M326" s="138">
        <f t="shared" ca="1" si="1857"/>
        <v>0</v>
      </c>
      <c r="N326" s="138">
        <f t="shared" ca="1" si="1857"/>
        <v>0</v>
      </c>
      <c r="O326" s="138">
        <f t="shared" ca="1" si="1857"/>
        <v>0</v>
      </c>
      <c r="P326" s="138">
        <f t="shared" ca="1" si="1857"/>
        <v>0</v>
      </c>
      <c r="Q326" s="138">
        <f t="shared" ca="1" si="1857"/>
        <v>0</v>
      </c>
      <c r="R326" s="138">
        <f t="shared" ca="1" si="1857"/>
        <v>0</v>
      </c>
      <c r="S326" s="138">
        <f t="shared" ca="1" si="1857"/>
        <v>0</v>
      </c>
      <c r="T326" s="138">
        <f t="shared" ca="1" si="1857"/>
        <v>0</v>
      </c>
      <c r="U326" s="138">
        <f t="shared" ca="1" si="1857"/>
        <v>0</v>
      </c>
      <c r="V326" s="138">
        <f t="shared" ca="1" si="1857"/>
        <v>0</v>
      </c>
      <c r="W326" s="138">
        <f t="shared" ca="1" si="1857"/>
        <v>0</v>
      </c>
      <c r="X326" s="138">
        <f t="shared" ca="1" si="1857"/>
        <v>0</v>
      </c>
      <c r="Y326" s="138">
        <f t="shared" ca="1" si="1857"/>
        <v>0</v>
      </c>
      <c r="Z326" s="138">
        <f t="shared" ca="1" si="1857"/>
        <v>0</v>
      </c>
      <c r="AA326" s="138">
        <f t="shared" ca="1" si="1857"/>
        <v>0</v>
      </c>
      <c r="AB326" s="138">
        <f t="shared" ca="1" si="1857"/>
        <v>0</v>
      </c>
      <c r="AC326" s="138">
        <f t="shared" ca="1" si="1857"/>
        <v>0</v>
      </c>
      <c r="AD326" s="138">
        <f t="shared" ca="1" si="1857"/>
        <v>0</v>
      </c>
      <c r="AE326" s="138">
        <f t="shared" ca="1" si="1857"/>
        <v>0</v>
      </c>
      <c r="AF326" s="138">
        <f t="shared" ca="1" si="1857"/>
        <v>0</v>
      </c>
      <c r="AG326" s="138">
        <f t="shared" ca="1" si="1857"/>
        <v>0</v>
      </c>
      <c r="AH326" s="138">
        <f t="shared" ca="1" si="1857"/>
        <v>0</v>
      </c>
      <c r="AI326" s="138">
        <f t="shared" ca="1" si="1857"/>
        <v>0</v>
      </c>
      <c r="AJ326" s="138">
        <f t="shared" ca="1" si="1857"/>
        <v>0</v>
      </c>
      <c r="AK326" s="138">
        <f t="shared" ca="1" si="1857"/>
        <v>0</v>
      </c>
      <c r="AL326" s="138">
        <f t="shared" ca="1" si="1857"/>
        <v>0</v>
      </c>
      <c r="AM326" s="138">
        <f t="shared" ca="1" si="1857"/>
        <v>0</v>
      </c>
      <c r="AN326" s="138">
        <f t="shared" ca="1" si="1857"/>
        <v>0</v>
      </c>
      <c r="AO326" s="138">
        <f t="shared" ca="1" si="1857"/>
        <v>0</v>
      </c>
      <c r="AP326" s="138">
        <f t="shared" ca="1" si="1857"/>
        <v>0</v>
      </c>
      <c r="AQ326" s="138">
        <f t="shared" ca="1" si="1857"/>
        <v>0</v>
      </c>
      <c r="AR326" s="138">
        <f t="shared" ca="1" si="1857"/>
        <v>0</v>
      </c>
      <c r="AS326" s="138">
        <f t="shared" ca="1" si="1857"/>
        <v>0</v>
      </c>
      <c r="AT326" s="138">
        <f t="shared" ca="1" si="1857"/>
        <v>0</v>
      </c>
      <c r="AU326" s="138">
        <f t="shared" ca="1" si="1857"/>
        <v>0</v>
      </c>
      <c r="AV326" s="138">
        <f t="shared" ca="1" si="1857"/>
        <v>0</v>
      </c>
      <c r="AW326" s="148"/>
      <c r="AX326" s="169">
        <f ca="1">SUM(G326:AW326)</f>
        <v>0</v>
      </c>
    </row>
    <row r="327" spans="1:50" s="98" customFormat="1" hidden="1" outlineLevel="1" x14ac:dyDescent="0.2">
      <c r="A327" s="99" t="str">
        <f ca="1">Language!A$618</f>
        <v>Акцизы начисленные</v>
      </c>
      <c r="B327" s="38"/>
      <c r="C327" s="124" t="str">
        <f t="shared" ca="1" si="1851"/>
        <v>тыс. руб.</v>
      </c>
      <c r="D327" s="57"/>
      <c r="E327" s="57"/>
      <c r="F327" s="57" t="s">
        <v>1103</v>
      </c>
      <c r="G327" s="138">
        <f t="shared" ref="G327:AV327" ca="1" si="1858">SUM(G$98,G$116,G$134,G$152,G$170,G$189,G$207,G$225,G$243,G$261,G$280,G$298,G$316)</f>
        <v>0</v>
      </c>
      <c r="H327" s="138">
        <f t="shared" ca="1" si="1858"/>
        <v>0</v>
      </c>
      <c r="I327" s="138">
        <f t="shared" ca="1" si="1858"/>
        <v>0</v>
      </c>
      <c r="J327" s="138">
        <f t="shared" ca="1" si="1858"/>
        <v>0</v>
      </c>
      <c r="K327" s="138">
        <f t="shared" ca="1" si="1858"/>
        <v>0</v>
      </c>
      <c r="L327" s="138">
        <f t="shared" ca="1" si="1858"/>
        <v>0</v>
      </c>
      <c r="M327" s="138">
        <f t="shared" ca="1" si="1858"/>
        <v>0</v>
      </c>
      <c r="N327" s="138">
        <f t="shared" ca="1" si="1858"/>
        <v>0</v>
      </c>
      <c r="O327" s="138">
        <f t="shared" ca="1" si="1858"/>
        <v>0</v>
      </c>
      <c r="P327" s="138">
        <f t="shared" ca="1" si="1858"/>
        <v>0</v>
      </c>
      <c r="Q327" s="138">
        <f t="shared" ca="1" si="1858"/>
        <v>0</v>
      </c>
      <c r="R327" s="138">
        <f t="shared" ca="1" si="1858"/>
        <v>0</v>
      </c>
      <c r="S327" s="138">
        <f t="shared" ca="1" si="1858"/>
        <v>0</v>
      </c>
      <c r="T327" s="138">
        <f t="shared" ca="1" si="1858"/>
        <v>0</v>
      </c>
      <c r="U327" s="138">
        <f t="shared" ca="1" si="1858"/>
        <v>0</v>
      </c>
      <c r="V327" s="138">
        <f t="shared" ca="1" si="1858"/>
        <v>0</v>
      </c>
      <c r="W327" s="138">
        <f t="shared" ca="1" si="1858"/>
        <v>0</v>
      </c>
      <c r="X327" s="138">
        <f t="shared" ca="1" si="1858"/>
        <v>0</v>
      </c>
      <c r="Y327" s="138">
        <f t="shared" ca="1" si="1858"/>
        <v>0</v>
      </c>
      <c r="Z327" s="138">
        <f t="shared" ca="1" si="1858"/>
        <v>0</v>
      </c>
      <c r="AA327" s="138">
        <f t="shared" ca="1" si="1858"/>
        <v>0</v>
      </c>
      <c r="AB327" s="138">
        <f t="shared" ca="1" si="1858"/>
        <v>0</v>
      </c>
      <c r="AC327" s="138">
        <f t="shared" ca="1" si="1858"/>
        <v>0</v>
      </c>
      <c r="AD327" s="138">
        <f t="shared" ca="1" si="1858"/>
        <v>0</v>
      </c>
      <c r="AE327" s="138">
        <f t="shared" ca="1" si="1858"/>
        <v>0</v>
      </c>
      <c r="AF327" s="138">
        <f t="shared" ca="1" si="1858"/>
        <v>0</v>
      </c>
      <c r="AG327" s="138">
        <f t="shared" ca="1" si="1858"/>
        <v>0</v>
      </c>
      <c r="AH327" s="138">
        <f t="shared" ca="1" si="1858"/>
        <v>0</v>
      </c>
      <c r="AI327" s="138">
        <f t="shared" ca="1" si="1858"/>
        <v>0</v>
      </c>
      <c r="AJ327" s="138">
        <f t="shared" ca="1" si="1858"/>
        <v>0</v>
      </c>
      <c r="AK327" s="138">
        <f t="shared" ca="1" si="1858"/>
        <v>0</v>
      </c>
      <c r="AL327" s="138">
        <f t="shared" ca="1" si="1858"/>
        <v>0</v>
      </c>
      <c r="AM327" s="138">
        <f t="shared" ca="1" si="1858"/>
        <v>0</v>
      </c>
      <c r="AN327" s="138">
        <f t="shared" ca="1" si="1858"/>
        <v>0</v>
      </c>
      <c r="AO327" s="138">
        <f t="shared" ca="1" si="1858"/>
        <v>0</v>
      </c>
      <c r="AP327" s="138">
        <f t="shared" ca="1" si="1858"/>
        <v>0</v>
      </c>
      <c r="AQ327" s="138">
        <f t="shared" ca="1" si="1858"/>
        <v>0</v>
      </c>
      <c r="AR327" s="138">
        <f t="shared" ca="1" si="1858"/>
        <v>0</v>
      </c>
      <c r="AS327" s="138">
        <f t="shared" ca="1" si="1858"/>
        <v>0</v>
      </c>
      <c r="AT327" s="138">
        <f t="shared" ca="1" si="1858"/>
        <v>0</v>
      </c>
      <c r="AU327" s="138">
        <f t="shared" ca="1" si="1858"/>
        <v>0</v>
      </c>
      <c r="AV327" s="138">
        <f t="shared" ca="1" si="1858"/>
        <v>0</v>
      </c>
      <c r="AW327" s="148"/>
      <c r="AX327" s="169">
        <f ca="1">SUM(G327:AW327)</f>
        <v>0</v>
      </c>
    </row>
    <row r="328" spans="1:50" s="98" customFormat="1" hidden="1" outlineLevel="1" x14ac:dyDescent="0.2">
      <c r="A328" s="99" t="str">
        <f ca="1">Language!A$619</f>
        <v>Курсовые разницы</v>
      </c>
      <c r="B328" s="38"/>
      <c r="C328" s="124" t="str">
        <f t="shared" ca="1" si="1851"/>
        <v>тыс. руб.</v>
      </c>
      <c r="D328" s="57"/>
      <c r="E328" s="57"/>
      <c r="F328" s="57" t="s">
        <v>753</v>
      </c>
      <c r="G328" s="148">
        <f>-IF(G$2=1,0,SUM($F321:G321)+SUM($F322:G322)+SUM($F327:G327)-SUM($F323:G323)-G324+G325-(SUM($F321:F321)+SUM($F322:F322)+SUM($F327:F327)-+SUM($F323:F323)-F324+F325))</f>
        <v>0</v>
      </c>
      <c r="H328" s="148">
        <f ca="1">-IF(H$2=1,0,SUM($F321:H321)+SUM($F322:H322)+SUM($F327:H327)-SUM($F323:H323)-H324+H325-(SUM($F321:G321)+SUM($F322:G322)+SUM($F327:G327)-+SUM($F323:G323)-G324+G325))</f>
        <v>1.3824319466948509E-10</v>
      </c>
      <c r="I328" s="148">
        <f ca="1">-IF(I$2=1,0,SUM($F321:I321)+SUM($F322:I322)+SUM($F327:I327)-SUM($F323:I323)-I324+I325-(SUM($F321:H321)+SUM($F322:H322)+SUM($F327:H327)-+SUM($F323:H323)-H324+H325))</f>
        <v>-2.1827872842550278E-11</v>
      </c>
      <c r="J328" s="148">
        <f ca="1">-IF(J$2=1,0,SUM($F321:J321)+SUM($F322:J322)+SUM($F327:J327)-SUM($F323:J323)-J324+J325-(SUM($F321:I321)+SUM($F322:I322)+SUM($F327:I327)-+SUM($F323:I323)-I324+I325))</f>
        <v>2.9103830456733704E-11</v>
      </c>
      <c r="K328" s="148">
        <f ca="1">-IF(K$2=1,0,SUM($F321:K321)+SUM($F322:K322)+SUM($F327:K327)-SUM($F323:K323)-K324+K325-(SUM($F321:J321)+SUM($F322:J322)+SUM($F327:J327)-+SUM($F323:J323)-J324+J325))</f>
        <v>2.6193447411060333E-10</v>
      </c>
      <c r="L328" s="148">
        <f ca="1">-IF(L$2=1,0,SUM($F321:L321)+SUM($F322:L322)+SUM($F327:L327)-SUM($F323:L323)-L324+L325-(SUM($F321:K321)+SUM($F322:K322)+SUM($F327:K327)-+SUM($F323:K323)-K324+K325))</f>
        <v>1.1641532182693481E-10</v>
      </c>
      <c r="M328" s="148">
        <f ca="1">-IF(M$2=1,0,SUM($F321:M321)+SUM($F322:M322)+SUM($F327:M327)-SUM($F323:M323)-M324+M325-(SUM($F321:L321)+SUM($F322:L322)+SUM($F327:L327)-+SUM($F323:L323)-L324+L325))</f>
        <v>-3.7834979593753815E-10</v>
      </c>
      <c r="N328" s="148">
        <f ca="1">-IF(N$2=1,0,SUM($F321:N321)+SUM($F322:N322)+SUM($F327:N327)-SUM($F323:N323)-N324+N325-(SUM($F321:M321)+SUM($F322:M322)+SUM($F327:M327)-+SUM($F323:M323)-M324+M325))</f>
        <v>7.2759576141834259E-11</v>
      </c>
      <c r="O328" s="148">
        <f ca="1">-IF(O$2=1,0,SUM($F321:O321)+SUM($F322:O322)+SUM($F327:O327)-SUM($F323:O323)-O324+O325-(SUM($F321:N321)+SUM($F322:N322)+SUM($F327:N327)-+SUM($F323:N323)-N324+N325))</f>
        <v>2.4738255888223648E-10</v>
      </c>
      <c r="P328" s="148">
        <f ca="1">-IF(P$2=1,0,SUM($F321:P321)+SUM($F322:P322)+SUM($F327:P327)-SUM($F323:P323)-P324+P325-(SUM($F321:O321)+SUM($F322:O322)+SUM($F327:O327)-+SUM($F323:O323)-O324+O325))</f>
        <v>5.8207660913467407E-11</v>
      </c>
      <c r="Q328" s="148">
        <f ca="1">-IF(Q$2=1,0,SUM($F321:Q321)+SUM($F322:Q322)+SUM($F327:Q327)-SUM($F323:Q323)-Q324+Q325-(SUM($F321:P321)+SUM($F322:P322)+SUM($F327:P327)-+SUM($F323:P323)-P324+P325))</f>
        <v>-4.9476511776447296E-10</v>
      </c>
      <c r="R328" s="148">
        <f ca="1">-IF(R$2=1,0,SUM($F321:R321)+SUM($F322:R322)+SUM($F327:R327)-SUM($F323:R323)-R324+R325-(SUM($F321:Q321)+SUM($F322:Q322)+SUM($F327:Q327)-+SUM($F323:Q323)-Q324+Q325))</f>
        <v>2.0372681319713593E-10</v>
      </c>
      <c r="S328" s="148">
        <f ca="1">-IF(S$2=1,0,SUM($F321:S321)+SUM($F322:S322)+SUM($F327:S327)-SUM($F323:S323)-S324+S325-(SUM($F321:R321)+SUM($F322:R322)+SUM($F327:R327)-+SUM($F323:R323)-R324+R325))</f>
        <v>4.6566128730773926E-10</v>
      </c>
      <c r="T328" s="148">
        <f ca="1">-IF(T$2=1,0,SUM($F321:T321)+SUM($F322:T322)+SUM($F327:T327)-SUM($F323:T323)-T324+T325-(SUM($F321:S321)+SUM($F322:S322)+SUM($F327:S327)-+SUM($F323:S323)-S324+S325))</f>
        <v>1.1350493878126144E-9</v>
      </c>
      <c r="U328" s="148">
        <f ca="1">-IF(U$2=1,0,SUM($F321:U321)+SUM($F322:U322)+SUM($F327:U327)-SUM($F323:U323)-U324+U325-(SUM($F321:T321)+SUM($F322:T322)+SUM($F327:T327)-+SUM($F323:T323)-T324+T325))</f>
        <v>-3.2014213502407074E-10</v>
      </c>
      <c r="V328" s="148">
        <f ca="1">-IF(V$2=1,0,SUM($F321:V321)+SUM($F322:V322)+SUM($F327:V327)-SUM($F323:V323)-V324+V325-(SUM($F321:U321)+SUM($F322:U322)+SUM($F327:U327)-+SUM($F323:U323)-U324+U325))</f>
        <v>3.2014213502407074E-10</v>
      </c>
      <c r="W328" s="148">
        <f ca="1">-IF(W$2=1,0,SUM($F321:W321)+SUM($F322:W322)+SUM($F327:W327)-SUM($F323:W323)-W324+W325-(SUM($F321:V321)+SUM($F322:V322)+SUM($F327:V327)-+SUM($F323:V323)-V324+V325))</f>
        <v>-6.4028427004814148E-10</v>
      </c>
      <c r="X328" s="148">
        <f ca="1">-IF(X$2=1,0,SUM($F321:X321)+SUM($F322:X322)+SUM($F327:X327)-SUM($F323:X323)-X324+X325-(SUM($F321:W321)+SUM($F322:W322)+SUM($F327:W327)-+SUM($F323:W323)-W324+W325))</f>
        <v>-8.149072527885437E-10</v>
      </c>
      <c r="Y328" s="148">
        <f ca="1">-IF(Y$2=1,0,SUM($F321:Y321)+SUM($F322:Y322)+SUM($F327:Y327)-SUM($F323:Y323)-Y324+Y325-(SUM($F321:X321)+SUM($F322:X322)+SUM($F327:X327)-+SUM($F323:X323)-X324+X325))</f>
        <v>-7.2759576141834259E-10</v>
      </c>
      <c r="Z328" s="148">
        <f ca="1">-IF(Z$2=1,0,SUM($F321:Z321)+SUM($F322:Z322)+SUM($F327:Z327)-SUM($F323:Z323)-Z324+Z325-(SUM($F321:Y321)+SUM($F322:Y322)+SUM($F327:Y327)-+SUM($F323:Y323)-Y324+Y325))</f>
        <v>7.2759576141834259E-10</v>
      </c>
      <c r="AA328" s="148">
        <f ca="1">-IF(AA$2=1,0,SUM($F321:AA321)+SUM($F322:AA322)+SUM($F327:AA327)-SUM($F323:AA323)-AA324+AA325-(SUM($F321:Z321)+SUM($F322:Z322)+SUM($F327:Z327)-+SUM($F323:Z323)-Z324+Z325))</f>
        <v>9.3132257461547852E-10</v>
      </c>
      <c r="AB328" s="148">
        <f ca="1">-IF(AB$2=1,0,SUM($F321:AB321)+SUM($F322:AB322)+SUM($F327:AB327)-SUM($F323:AB323)-AB324+AB325-(SUM($F321:AA321)+SUM($F322:AA322)+SUM($F327:AA327)-+SUM($F323:AA323)-AA324+AA325))</f>
        <v>-2.0372681319713593E-10</v>
      </c>
      <c r="AC328" s="148">
        <f ca="1">-IF(AC$2=1,0,SUM($F321:AC321)+SUM($F322:AC322)+SUM($F327:AC327)-SUM($F323:AC323)-AC324+AC325-(SUM($F321:AB321)+SUM($F322:AB322)+SUM($F327:AB327)-+SUM($F323:AB323)-AB324+AB325))</f>
        <v>1.280568540096283E-9</v>
      </c>
      <c r="AD328" s="148">
        <f ca="1">-IF(AD$2=1,0,SUM($F321:AD321)+SUM($F322:AD322)+SUM($F327:AD327)-SUM($F323:AD323)-AD324+AD325-(SUM($F321:AC321)+SUM($F322:AC322)+SUM($F327:AC327)-+SUM($F323:AC323)-AC324+AC325))</f>
        <v>2.3283064365386963E-10</v>
      </c>
      <c r="AE328" s="148">
        <f ca="1">-IF(AE$2=1,0,SUM($F321:AE321)+SUM($F322:AE322)+SUM($F327:AE327)-SUM($F323:AE323)-AE324+AE325-(SUM($F321:AD321)+SUM($F322:AD322)+SUM($F327:AD327)-+SUM($F323:AD323)-AD324+AD325))</f>
        <v>7.8580342233181E-10</v>
      </c>
      <c r="AF328" s="148">
        <f ca="1">-IF(AF$2=1,0,SUM($F321:AF321)+SUM($F322:AF322)+SUM($F327:AF327)-SUM($F323:AF323)-AF324+AF325-(SUM($F321:AE321)+SUM($F322:AE322)+SUM($F327:AE327)-+SUM($F323:AE323)-AE324+AE325))</f>
        <v>-1.4551915228366852E-10</v>
      </c>
      <c r="AG328" s="148">
        <f ca="1">-IF(AG$2=1,0,SUM($F321:AG321)+SUM($F322:AG322)+SUM($F327:AG327)-SUM($F323:AG323)-AG324+AG325-(SUM($F321:AF321)+SUM($F322:AF322)+SUM($F327:AF327)-+SUM($F323:AF323)-AF324+AF325))</f>
        <v>2.0372681319713593E-10</v>
      </c>
      <c r="AH328" s="148">
        <f ca="1">-IF(AH$2=1,0,SUM($F321:AH321)+SUM($F322:AH322)+SUM($F327:AH327)-SUM($F323:AH323)-AH324+AH325-(SUM($F321:AG321)+SUM($F322:AG322)+SUM($F327:AG327)-+SUM($F323:AG323)-AG324+AG325))</f>
        <v>1.3969838619232178E-9</v>
      </c>
      <c r="AI328" s="148">
        <f ca="1">-IF(AI$2=1,0,SUM($F321:AI321)+SUM($F322:AI322)+SUM($F327:AI327)-SUM($F323:AI323)-AI324+AI325-(SUM($F321:AH321)+SUM($F322:AH322)+SUM($F327:AH327)-+SUM($F323:AH323)-AH324+AH325))</f>
        <v>1.1641532182693481E-10</v>
      </c>
      <c r="AJ328" s="148">
        <f ca="1">-IF(AJ$2=1,0,SUM($F321:AJ321)+SUM($F322:AJ322)+SUM($F327:AJ327)-SUM($F323:AJ323)-AJ324+AJ325-(SUM($F321:AI321)+SUM($F322:AI322)+SUM($F327:AI327)-+SUM($F323:AI323)-AI324+AI325))</f>
        <v>-9.8953023552894592E-10</v>
      </c>
      <c r="AK328" s="148">
        <f ca="1">-IF(AK$2=1,0,SUM($F321:AK321)+SUM($F322:AK322)+SUM($F327:AK327)-SUM($F323:AK323)-AK324+AK325-(SUM($F321:AJ321)+SUM($F322:AJ322)+SUM($F327:AJ327)-+SUM($F323:AJ323)-AJ324+AJ325))</f>
        <v>3.7834979593753815E-10</v>
      </c>
      <c r="AL328" s="148">
        <f ca="1">-IF(AL$2=1,0,SUM($F321:AL321)+SUM($F322:AL322)+SUM($F327:AL327)-SUM($F323:AL323)-AL324+AL325-(SUM($F321:AK321)+SUM($F322:AK322)+SUM($F327:AK327)-+SUM($F323:AK323)-AK324+AK325))</f>
        <v>-1.3096723705530167E-9</v>
      </c>
      <c r="AM328" s="148">
        <f ca="1">-IF(AM$2=1,0,SUM($F321:AM321)+SUM($F322:AM322)+SUM($F327:AM327)-SUM($F323:AM323)-AM324+AM325-(SUM($F321:AL321)+SUM($F322:AL322)+SUM($F327:AL327)-+SUM($F323:AL323)-AL324+AL325))</f>
        <v>-1.6880221664905548E-9</v>
      </c>
      <c r="AN328" s="148">
        <f ca="1">-IF(AN$2=1,0,SUM($F321:AN321)+SUM($F322:AN322)+SUM($F327:AN327)-SUM($F323:AN323)-AN324+AN325-(SUM($F321:AM321)+SUM($F322:AM322)+SUM($F327:AM327)-+SUM($F323:AM323)-AM324+AM325))</f>
        <v>-2.9103830456733704E-11</v>
      </c>
      <c r="AO328" s="148">
        <f ca="1">-IF(AO$2=1,0,SUM($F321:AO321)+SUM($F322:AO322)+SUM($F327:AO327)-SUM($F323:AO323)-AO324+AO325-(SUM($F321:AN321)+SUM($F322:AN322)+SUM($F327:AN327)-+SUM($F323:AN323)-AN324+AN325))</f>
        <v>-8.7311491370201111E-10</v>
      </c>
      <c r="AP328" s="148">
        <f ca="1">-IF(AP$2=1,0,SUM($F321:AP321)+SUM($F322:AP322)+SUM($F327:AP327)-SUM($F323:AP323)-AP324+AP325-(SUM($F321:AO321)+SUM($F322:AO322)+SUM($F327:AO327)-+SUM($F323:AO323)-AO324+AO325))</f>
        <v>4.9476511776447296E-10</v>
      </c>
      <c r="AQ328" s="148">
        <f ca="1">-IF(AQ$2=1,0,SUM($F321:AQ321)+SUM($F322:AQ322)+SUM($F327:AQ327)-SUM($F323:AQ323)-AQ324+AQ325-(SUM($F321:AP321)+SUM($F322:AP322)+SUM($F327:AP327)-+SUM($F323:AP323)-AP324+AP325))</f>
        <v>2.3283064365386963E-10</v>
      </c>
      <c r="AR328" s="148">
        <f ca="1">-IF(AR$2=1,0,SUM($F321:AR321)+SUM($F322:AR322)+SUM($F327:AR327)-SUM($F323:AR323)-AR324+AR325-(SUM($F321:AQ321)+SUM($F322:AQ322)+SUM($F327:AQ327)-+SUM($F323:AQ323)-AQ324+AQ325))</f>
        <v>-3.4924596548080444E-9</v>
      </c>
      <c r="AS328" s="148">
        <f ca="1">-IF(AS$2=1,0,SUM($F321:AS321)+SUM($F322:AS322)+SUM($F327:AS327)-SUM($F323:AS323)-AS324+AS325-(SUM($F321:AR321)+SUM($F322:AR322)+SUM($F327:AR327)-+SUM($F323:AR323)-AR324+AR325))</f>
        <v>-1.6589183360338211E-9</v>
      </c>
      <c r="AT328" s="148">
        <f ca="1">-IF(AT$2=1,0,SUM($F321:AT321)+SUM($F322:AT322)+SUM($F327:AT327)-SUM($F323:AT323)-AT324+AT325-(SUM($F321:AS321)+SUM($F322:AS322)+SUM($F327:AS327)-+SUM($F323:AS323)-AS324+AS325))</f>
        <v>1.1350493878126144E-9</v>
      </c>
      <c r="AU328" s="148">
        <f ca="1">-IF(AU$2=1,0,SUM($F321:AU321)+SUM($F322:AU322)+SUM($F327:AU327)-SUM($F323:AU323)-AU324+AU325-(SUM($F321:AT321)+SUM($F322:AT322)+SUM($F327:AT327)-+SUM($F323:AT323)-AT324+AT325))</f>
        <v>2.9103830456733704E-10</v>
      </c>
      <c r="AV328" s="148">
        <f ca="1">-IF(AV$2=1,0,SUM($F321:AV321)+SUM($F322:AV322)+SUM($F327:AV327)-SUM($F323:AV323)-AV324+AV325-(SUM($F321:AU321)+SUM($F322:AU322)+SUM($F327:AU327)-+SUM($F323:AU323)-AU324+AU325))</f>
        <v>1.1059455573558807E-9</v>
      </c>
      <c r="AW328" s="148"/>
      <c r="AX328" s="169">
        <f ca="1">SUM(G328:AW328)</f>
        <v>-1.4260876923799515E-9</v>
      </c>
    </row>
    <row r="329" spans="1:50" x14ac:dyDescent="0.2">
      <c r="A329" s="51"/>
      <c r="B329" s="51"/>
      <c r="C329" s="51"/>
      <c r="D329" s="68"/>
      <c r="E329" s="68" t="s">
        <v>851</v>
      </c>
      <c r="F329" s="68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112"/>
      <c r="AX329" s="149"/>
    </row>
    <row r="332" spans="1:50" s="64" customFormat="1" ht="25.5" customHeight="1" thickBot="1" x14ac:dyDescent="0.25">
      <c r="A332" s="118" t="str">
        <f ca="1">Language!A$620</f>
        <v>СЫРЬЕ И МАТЕРИАЛЬНЫЕ ЗАТРАТЫ</v>
      </c>
      <c r="B332" s="119"/>
      <c r="C332" s="120"/>
      <c r="D332" s="121"/>
      <c r="E332" s="121" t="s">
        <v>893</v>
      </c>
      <c r="F332" s="121"/>
      <c r="G332" s="69" t="str">
        <f ca="1">Параметры!G$34</f>
        <v>4 кв. 2022</v>
      </c>
      <c r="H332" s="140" t="str">
        <f ca="1">Параметры!H$34</f>
        <v>1 кв. 2023</v>
      </c>
      <c r="I332" s="140" t="str">
        <f ca="1">Параметры!I$34</f>
        <v>2 кв. 2023</v>
      </c>
      <c r="J332" s="140" t="str">
        <f ca="1">Параметры!J$34</f>
        <v>3 кв. 2023</v>
      </c>
      <c r="K332" s="140" t="str">
        <f ca="1">Параметры!K$34</f>
        <v>4 кв. 2023</v>
      </c>
      <c r="L332" s="140" t="str">
        <f ca="1">Параметры!L$34</f>
        <v>1 кв. 2024</v>
      </c>
      <c r="M332" s="140" t="str">
        <f ca="1">Параметры!M$34</f>
        <v>2 кв. 2024</v>
      </c>
      <c r="N332" s="140" t="str">
        <f ca="1">Параметры!N$34</f>
        <v>3 кв. 2024</v>
      </c>
      <c r="O332" s="140" t="str">
        <f ca="1">Параметры!O$34</f>
        <v>4 кв. 2024</v>
      </c>
      <c r="P332" s="140" t="str">
        <f ca="1">Параметры!P$34</f>
        <v>1 кв. 2025</v>
      </c>
      <c r="Q332" s="140" t="str">
        <f ca="1">Параметры!Q$34</f>
        <v>2 кв. 2025</v>
      </c>
      <c r="R332" s="140" t="str">
        <f ca="1">Параметры!R$34</f>
        <v>3 кв. 2025</v>
      </c>
      <c r="S332" s="140" t="str">
        <f ca="1">Параметры!S$34</f>
        <v>4 кв. 2025</v>
      </c>
      <c r="T332" s="140" t="str">
        <f ca="1">Параметры!T$34</f>
        <v>1 кв. 2026</v>
      </c>
      <c r="U332" s="140" t="str">
        <f ca="1">Параметры!U$34</f>
        <v>2 кв. 2026</v>
      </c>
      <c r="V332" s="140" t="str">
        <f ca="1">Параметры!V$34</f>
        <v>3 кв. 2026</v>
      </c>
      <c r="W332" s="140" t="str">
        <f ca="1">Параметры!W$34</f>
        <v>4 кв. 2026</v>
      </c>
      <c r="X332" s="140" t="str">
        <f ca="1">Параметры!X$34</f>
        <v>1 кв. 2027</v>
      </c>
      <c r="Y332" s="140" t="str">
        <f ca="1">Параметры!Y$34</f>
        <v>2 кв. 2027</v>
      </c>
      <c r="Z332" s="140" t="str">
        <f ca="1">Параметры!Z$34</f>
        <v>3 кв. 2027</v>
      </c>
      <c r="AA332" s="140" t="str">
        <f ca="1">Параметры!AA$34</f>
        <v>4 кв. 2027</v>
      </c>
      <c r="AB332" s="140" t="str">
        <f ca="1">Параметры!AB$34</f>
        <v>1 кв. 2028</v>
      </c>
      <c r="AC332" s="140" t="str">
        <f ca="1">Параметры!AC$34</f>
        <v>2 кв. 2028</v>
      </c>
      <c r="AD332" s="140" t="str">
        <f ca="1">Параметры!AD$34</f>
        <v>3 кв. 2028</v>
      </c>
      <c r="AE332" s="140" t="str">
        <f ca="1">Параметры!AE$34</f>
        <v>4 кв. 2028</v>
      </c>
      <c r="AF332" s="140" t="str">
        <f ca="1">Параметры!AF$34</f>
        <v>1 кв. 2029</v>
      </c>
      <c r="AG332" s="140" t="str">
        <f ca="1">Параметры!AG$34</f>
        <v>2 кв. 2029</v>
      </c>
      <c r="AH332" s="140" t="str">
        <f ca="1">Параметры!AH$34</f>
        <v>3 кв. 2029</v>
      </c>
      <c r="AI332" s="140" t="str">
        <f ca="1">Параметры!AI$34</f>
        <v>4 кв. 2029</v>
      </c>
      <c r="AJ332" s="140" t="str">
        <f ca="1">Параметры!AJ$34</f>
        <v>1 кв. 2030</v>
      </c>
      <c r="AK332" s="140" t="str">
        <f ca="1">Параметры!AK$34</f>
        <v>2 кв. 2030</v>
      </c>
      <c r="AL332" s="140" t="str">
        <f ca="1">Параметры!AL$34</f>
        <v>3 кв. 2030</v>
      </c>
      <c r="AM332" s="140" t="str">
        <f ca="1">Параметры!AM$34</f>
        <v>4 кв. 2030</v>
      </c>
      <c r="AN332" s="140" t="str">
        <f ca="1">Параметры!AN$34</f>
        <v>1 кв. 2031</v>
      </c>
      <c r="AO332" s="140" t="str">
        <f ca="1">Параметры!AO$34</f>
        <v>2 кв. 2031</v>
      </c>
      <c r="AP332" s="140" t="str">
        <f ca="1">Параметры!AP$34</f>
        <v>3 кв. 2031</v>
      </c>
      <c r="AQ332" s="140" t="str">
        <f ca="1">Параметры!AQ$34</f>
        <v>4 кв. 2031</v>
      </c>
      <c r="AR332" s="140" t="str">
        <f ca="1">Параметры!AR$34</f>
        <v>1 кв. 2032</v>
      </c>
      <c r="AS332" s="140" t="str">
        <f ca="1">Параметры!AS$34</f>
        <v>2 кв. 2032</v>
      </c>
      <c r="AT332" s="140" t="str">
        <f ca="1">Параметры!AT$34</f>
        <v>3 кв. 2032</v>
      </c>
      <c r="AU332" s="140" t="str">
        <f ca="1">Параметры!AU$34</f>
        <v>4 кв. 2032</v>
      </c>
      <c r="AV332" s="140" t="str">
        <f ca="1">Параметры!AV$34</f>
        <v>1 кв. 2033</v>
      </c>
      <c r="AW332" s="140"/>
      <c r="AX332" s="141" t="str">
        <f ca="1">Language!$A$1445</f>
        <v>ИТОГО</v>
      </c>
    </row>
    <row r="333" spans="1:50" s="98" customFormat="1" ht="13.5" thickTop="1" x14ac:dyDescent="0.2">
      <c r="A333" s="38"/>
      <c r="B333" s="38"/>
      <c r="C333" s="124"/>
      <c r="D333" s="57"/>
      <c r="E333" s="57"/>
      <c r="F333" s="57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94"/>
      <c r="AX333" s="171"/>
    </row>
    <row r="334" spans="1:50" hidden="1" x14ac:dyDescent="0.2">
      <c r="E334" s="100" t="s">
        <v>729</v>
      </c>
      <c r="F334" s="57" t="s">
        <v>2347</v>
      </c>
      <c r="AW334" s="94"/>
    </row>
    <row r="335" spans="1:50" x14ac:dyDescent="0.2">
      <c r="A335" s="317" t="s">
        <v>2323</v>
      </c>
      <c r="B335" s="186"/>
      <c r="C335" s="157"/>
      <c r="D335" s="158">
        <v>1</v>
      </c>
      <c r="F335" s="57" t="s">
        <v>2315</v>
      </c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87"/>
    </row>
    <row r="336" spans="1:50" x14ac:dyDescent="0.2">
      <c r="A336" s="172" t="str">
        <f ca="1">Language!A$643</f>
        <v>физический расход на проданные товары за период</v>
      </c>
      <c r="B336" s="345"/>
      <c r="C336" s="326" t="s">
        <v>2275</v>
      </c>
      <c r="D336" s="114"/>
      <c r="E336" s="57" t="s">
        <v>950</v>
      </c>
      <c r="F336" s="57" t="s">
        <v>753</v>
      </c>
      <c r="G336" s="311">
        <f t="shared" ref="G336:AV336" si="1859">G38/100</f>
        <v>34990.871874999997</v>
      </c>
      <c r="H336" s="311">
        <f t="shared" si="1859"/>
        <v>34990.871874999997</v>
      </c>
      <c r="I336" s="311">
        <f t="shared" ca="1" si="1859"/>
        <v>39169.055625000001</v>
      </c>
      <c r="J336" s="311">
        <f t="shared" ca="1" si="1859"/>
        <v>39169.055625000001</v>
      </c>
      <c r="K336" s="311">
        <f t="shared" ca="1" si="1859"/>
        <v>39169.055625000001</v>
      </c>
      <c r="L336" s="311">
        <f t="shared" ca="1" si="1859"/>
        <v>39169.055625000001</v>
      </c>
      <c r="M336" s="311">
        <f t="shared" ca="1" si="1859"/>
        <v>42421.254999999997</v>
      </c>
      <c r="N336" s="311">
        <f t="shared" ca="1" si="1859"/>
        <v>42421.254999999997</v>
      </c>
      <c r="O336" s="311">
        <f t="shared" ca="1" si="1859"/>
        <v>42421.254999999997</v>
      </c>
      <c r="P336" s="311">
        <f t="shared" ca="1" si="1859"/>
        <v>42421.254999999997</v>
      </c>
      <c r="Q336" s="311">
        <f t="shared" ca="1" si="1859"/>
        <v>45918.10125</v>
      </c>
      <c r="R336" s="311">
        <f t="shared" ca="1" si="1859"/>
        <v>45918.10125</v>
      </c>
      <c r="S336" s="311">
        <f t="shared" ca="1" si="1859"/>
        <v>45918.10125</v>
      </c>
      <c r="T336" s="311">
        <f t="shared" ca="1" si="1859"/>
        <v>45918.10125</v>
      </c>
      <c r="U336" s="311">
        <f t="shared" ca="1" si="1859"/>
        <v>48052.081250000003</v>
      </c>
      <c r="V336" s="311">
        <f t="shared" ca="1" si="1859"/>
        <v>48052.081250000003</v>
      </c>
      <c r="W336" s="311">
        <f t="shared" ca="1" si="1859"/>
        <v>48052.081250000003</v>
      </c>
      <c r="X336" s="311">
        <f t="shared" ca="1" si="1859"/>
        <v>48052.081250000003</v>
      </c>
      <c r="Y336" s="311">
        <f t="shared" ca="1" si="1859"/>
        <v>49171.224374999998</v>
      </c>
      <c r="Z336" s="311">
        <f t="shared" ca="1" si="1859"/>
        <v>49171.224374999998</v>
      </c>
      <c r="AA336" s="311">
        <f t="shared" ca="1" si="1859"/>
        <v>49171.224374999998</v>
      </c>
      <c r="AB336" s="311">
        <f t="shared" ca="1" si="1859"/>
        <v>49171.224374999998</v>
      </c>
      <c r="AC336" s="311">
        <f t="shared" ca="1" si="1859"/>
        <v>49982.376875000002</v>
      </c>
      <c r="AD336" s="311">
        <f t="shared" ca="1" si="1859"/>
        <v>49982.376875000002</v>
      </c>
      <c r="AE336" s="311">
        <f t="shared" ca="1" si="1859"/>
        <v>49982.376875000002</v>
      </c>
      <c r="AF336" s="311">
        <f t="shared" ca="1" si="1859"/>
        <v>49982.376875000002</v>
      </c>
      <c r="AG336" s="311">
        <f t="shared" ca="1" si="1859"/>
        <v>50111.914375</v>
      </c>
      <c r="AH336" s="311">
        <f t="shared" ca="1" si="1859"/>
        <v>50111.914375</v>
      </c>
      <c r="AI336" s="311">
        <f t="shared" ca="1" si="1859"/>
        <v>50111.914375</v>
      </c>
      <c r="AJ336" s="311">
        <f t="shared" ca="1" si="1859"/>
        <v>50111.914375</v>
      </c>
      <c r="AK336" s="311">
        <f t="shared" ca="1" si="1859"/>
        <v>50197.625</v>
      </c>
      <c r="AL336" s="311">
        <f t="shared" ca="1" si="1859"/>
        <v>50197.625</v>
      </c>
      <c r="AM336" s="311">
        <f t="shared" ca="1" si="1859"/>
        <v>50197.625</v>
      </c>
      <c r="AN336" s="311">
        <f t="shared" ca="1" si="1859"/>
        <v>50197.625</v>
      </c>
      <c r="AO336" s="311">
        <f t="shared" ca="1" si="1859"/>
        <v>50333.558125000003</v>
      </c>
      <c r="AP336" s="311">
        <f t="shared" ca="1" si="1859"/>
        <v>50333.558125000003</v>
      </c>
      <c r="AQ336" s="311">
        <f t="shared" ca="1" si="1859"/>
        <v>50333.558125000003</v>
      </c>
      <c r="AR336" s="311">
        <f t="shared" ca="1" si="1859"/>
        <v>50333.558125000003</v>
      </c>
      <c r="AS336" s="311">
        <f t="shared" ca="1" si="1859"/>
        <v>51882.035624999997</v>
      </c>
      <c r="AT336" s="311">
        <f t="shared" ca="1" si="1859"/>
        <v>51882.035624999997</v>
      </c>
      <c r="AU336" s="311">
        <f t="shared" ca="1" si="1859"/>
        <v>51882.035624999997</v>
      </c>
      <c r="AV336" s="311">
        <f t="shared" ca="1" si="1859"/>
        <v>51882.035624999997</v>
      </c>
      <c r="AW336" s="148"/>
      <c r="AX336" s="171">
        <f ca="1">SUM(G336:AW336)</f>
        <v>1978938.6537500001</v>
      </c>
    </row>
    <row r="337" spans="1:50" x14ac:dyDescent="0.2">
      <c r="A337" s="172" t="str">
        <f ca="1">Language!A$644 &amp; C336 &amp; Language!A$1457</f>
        <v>цена за единицу (ц), без НДС</v>
      </c>
      <c r="B337" s="325">
        <v>1.52</v>
      </c>
      <c r="C337" s="146" t="str">
        <f ca="1">CHOOSE(D335,CurName1,CurName2,CurName3)</f>
        <v>тыс. руб.</v>
      </c>
      <c r="E337" s="57" t="s">
        <v>848</v>
      </c>
      <c r="F337" s="57" t="s">
        <v>756</v>
      </c>
      <c r="G337" s="304">
        <f t="shared" ref="G337" ca="1" si="1860">IF(G$2=1,$B337,F337)*G354</f>
        <v>1.52</v>
      </c>
      <c r="H337" s="304">
        <f t="shared" ref="H337" ca="1" si="1861">IF(H$2=1,$B337,G337)*H354</f>
        <v>1.5423042461763621</v>
      </c>
      <c r="I337" s="304">
        <f t="shared" ref="I337" ca="1" si="1862">IF(I$2=1,$B337,H337)*I354</f>
        <v>1.564935781430024</v>
      </c>
      <c r="J337" s="304">
        <f t="shared" ref="J337" ca="1" si="1863">IF(J$2=1,$B337,I337)*J354</f>
        <v>1.5878994083505589</v>
      </c>
      <c r="K337" s="304">
        <f t="shared" ref="K337" ca="1" si="1864">IF(K$2=1,$B337,J337)*K354</f>
        <v>1.6112000000000002</v>
      </c>
      <c r="L337" s="304">
        <f t="shared" ref="L337" ca="1" si="1865">IF(L$2=1,$B337,K337)*L354</f>
        <v>1.6348425009469441</v>
      </c>
      <c r="M337" s="304">
        <f t="shared" ref="M337" ca="1" si="1866">IF(M$2=1,$B337,L337)*M354</f>
        <v>1.6588319283158257</v>
      </c>
      <c r="N337" s="304">
        <f t="shared" ref="N337" ca="1" si="1867">IF(N$2=1,$B337,M337)*N354</f>
        <v>1.6831733728515925</v>
      </c>
      <c r="O337" s="304">
        <f t="shared" ref="O337" ca="1" si="1868">IF(O$2=1,$B337,N337)*O354</f>
        <v>1.7078720000000003</v>
      </c>
      <c r="P337" s="304">
        <f t="shared" ref="P337" ca="1" si="1869">IF(P$2=1,$B337,O337)*P354</f>
        <v>1.7329330510037608</v>
      </c>
      <c r="Q337" s="304">
        <f t="shared" ref="Q337" ca="1" si="1870">IF(Q$2=1,$B337,P337)*Q354</f>
        <v>1.7583618440147755</v>
      </c>
      <c r="R337" s="304">
        <f t="shared" ref="R337" ca="1" si="1871">IF(R$2=1,$B337,Q337)*R354</f>
        <v>1.7841637752226884</v>
      </c>
      <c r="S337" s="304">
        <f t="shared" ref="S337" ca="1" si="1872">IF(S$2=1,$B337,R337)*S354</f>
        <v>1.8103443200000007</v>
      </c>
      <c r="T337" s="304">
        <f t="shared" ref="T337" ca="1" si="1873">IF(T$2=1,$B337,S337)*T354</f>
        <v>1.8369090340639869</v>
      </c>
      <c r="U337" s="304">
        <f t="shared" ref="U337" ca="1" si="1874">IF(U$2=1,$B337,T337)*U354</f>
        <v>1.8638635546556623</v>
      </c>
      <c r="V337" s="304">
        <f t="shared" ref="V337" ca="1" si="1875">IF(V$2=1,$B337,U337)*V354</f>
        <v>1.8912136017360501</v>
      </c>
      <c r="W337" s="304">
        <f t="shared" ref="W337" ca="1" si="1876">IF(W$2=1,$B337,V337)*W354</f>
        <v>1.918964979200001</v>
      </c>
      <c r="X337" s="304">
        <f t="shared" ref="X337" ca="1" si="1877">IF(X$2=1,$B337,W337)*X354</f>
        <v>1.9471235761078263</v>
      </c>
      <c r="Y337" s="304">
        <f t="shared" ref="Y337" ca="1" si="1878">IF(Y$2=1,$B337,X337)*Y354</f>
        <v>1.9756953679350022</v>
      </c>
      <c r="Z337" s="304">
        <f t="shared" ref="Z337" ca="1" si="1879">IF(Z$2=1,$B337,Y337)*Z354</f>
        <v>2.0046864178402131</v>
      </c>
      <c r="AA337" s="304">
        <f t="shared" ref="AA337" ca="1" si="1880">IF(AA$2=1,$B337,Z337)*AA354</f>
        <v>2.0341028779520012</v>
      </c>
      <c r="AB337" s="304">
        <f t="shared" ref="AB337" ca="1" si="1881">IF(AB$2=1,$B337,AA337)*AB354</f>
        <v>2.0639509906742961</v>
      </c>
      <c r="AC337" s="304">
        <f t="shared" ref="AC337" ca="1" si="1882">IF(AC$2=1,$B337,AB337)*AC354</f>
        <v>2.0942370900111027</v>
      </c>
      <c r="AD337" s="304">
        <f t="shared" ref="AD337" ca="1" si="1883">IF(AD$2=1,$B337,AC337)*AD354</f>
        <v>2.1249676029106261</v>
      </c>
      <c r="AE337" s="304">
        <f t="shared" ref="AE337" ca="1" si="1884">IF(AE$2=1,$B337,AD337)*AE354</f>
        <v>2.1561490506291214</v>
      </c>
      <c r="AF337" s="304">
        <f t="shared" ref="AF337" ca="1" si="1885">IF(AF$2=1,$B337,AE337)*AF354</f>
        <v>2.187788050114754</v>
      </c>
      <c r="AG337" s="304">
        <f t="shared" ref="AG337" ca="1" si="1886">IF(AG$2=1,$B337,AF337)*AG354</f>
        <v>2.2198913154117688</v>
      </c>
      <c r="AH337" s="304">
        <f t="shared" ref="AH337" ca="1" si="1887">IF(AH$2=1,$B337,AG337)*AH354</f>
        <v>2.2524656590852636</v>
      </c>
      <c r="AI337" s="304">
        <f t="shared" ref="AI337" ca="1" si="1888">IF(AI$2=1,$B337,AH337)*AI354</f>
        <v>2.2855179936668684</v>
      </c>
      <c r="AJ337" s="304">
        <f t="shared" ref="AJ337" ca="1" si="1889">IF(AJ$2=1,$B337,AI337)*AJ354</f>
        <v>2.3190553331216388</v>
      </c>
      <c r="AK337" s="304">
        <f t="shared" ref="AK337" ca="1" si="1890">IF(AK$2=1,$B337,AJ337)*AK354</f>
        <v>2.3530847943364748</v>
      </c>
      <c r="AL337" s="304">
        <f t="shared" ref="AL337" ca="1" si="1891">IF(AL$2=1,$B337,AK337)*AL354</f>
        <v>2.3876135986303795</v>
      </c>
      <c r="AM337" s="304">
        <f t="shared" ref="AM337" ca="1" si="1892">IF(AM$2=1,$B337,AL337)*AM354</f>
        <v>2.4226490732868808</v>
      </c>
      <c r="AN337" s="304">
        <f t="shared" ref="AN337" ca="1" si="1893">IF(AN$2=1,$B337,AM337)*AN354</f>
        <v>2.4581986531089375</v>
      </c>
      <c r="AO337" s="304">
        <f t="shared" ref="AO337" ca="1" si="1894">IF(AO$2=1,$B337,AN337)*AO354</f>
        <v>2.4942698819966633</v>
      </c>
      <c r="AP337" s="304">
        <f t="shared" ref="AP337" ca="1" si="1895">IF(AP$2=1,$B337,AO337)*AP354</f>
        <v>2.5308704145482022</v>
      </c>
      <c r="AQ337" s="304">
        <f t="shared" ref="AQ337" ca="1" si="1896">IF(AQ$2=1,$B337,AP337)*AQ354</f>
        <v>2.5680080176840936</v>
      </c>
      <c r="AR337" s="304">
        <f t="shared" ref="AR337" ca="1" si="1897">IF(AR$2=1,$B337,AQ337)*AR354</f>
        <v>2.6056905722954737</v>
      </c>
      <c r="AS337" s="304">
        <f t="shared" ref="AS337" ca="1" si="1898">IF(AS$2=1,$B337,AR337)*AS354</f>
        <v>2.6439260749164633</v>
      </c>
      <c r="AT337" s="304">
        <f t="shared" ref="AT337" ca="1" si="1899">IF(AT$2=1,$B337,AS337)*AT354</f>
        <v>2.6827226394210948</v>
      </c>
      <c r="AU337" s="304">
        <f t="shared" ref="AU337" ca="1" si="1900">IF(AU$2=1,$B337,AT337)*AU354</f>
        <v>2.7220884987451397</v>
      </c>
      <c r="AV337" s="304">
        <f t="shared" ref="AV337" ca="1" si="1901">IF(AV$2=1,$B337,AU337)*AV354</f>
        <v>2.7620320066332025</v>
      </c>
      <c r="AW337" s="148"/>
      <c r="AX337" s="187"/>
    </row>
    <row r="338" spans="1:50" collapsed="1" x14ac:dyDescent="0.2">
      <c r="A338" s="172" t="str">
        <f ca="1">Language!A$645</f>
        <v>затраты на проданный товар, без НДС</v>
      </c>
      <c r="B338" s="188"/>
      <c r="C338" s="146" t="str">
        <f t="shared" ref="C338:C339" ca="1" si="1902">CHOOSE(D338,CurName1,CurName2,CurName3)</f>
        <v>тыс. руб.</v>
      </c>
      <c r="D338" s="155">
        <f>D335</f>
        <v>1</v>
      </c>
      <c r="E338" s="57" t="s">
        <v>992</v>
      </c>
      <c r="F338" s="57" t="s">
        <v>753</v>
      </c>
      <c r="G338" s="148">
        <f t="shared" ref="G338:AV338" ca="1" si="1903">G337*G336*(1+G353)</f>
        <v>53186.125249999997</v>
      </c>
      <c r="H338" s="148">
        <f t="shared" ca="1" si="1903"/>
        <v>53966.570270225537</v>
      </c>
      <c r="I338" s="148">
        <f t="shared" ca="1" si="1903"/>
        <v>61297.05667238545</v>
      </c>
      <c r="J338" s="148">
        <f t="shared" ca="1" si="1903"/>
        <v>62196.52025258763</v>
      </c>
      <c r="K338" s="148">
        <f t="shared" ca="1" si="1903"/>
        <v>63109.182423000006</v>
      </c>
      <c r="L338" s="148">
        <f t="shared" ca="1" si="1903"/>
        <v>64035.236857704971</v>
      </c>
      <c r="M338" s="148">
        <f t="shared" ca="1" si="1903"/>
        <v>70369.732233227362</v>
      </c>
      <c r="N338" s="148">
        <f t="shared" ca="1" si="1903"/>
        <v>71402.326858947476</v>
      </c>
      <c r="O338" s="148">
        <f t="shared" ca="1" si="1903"/>
        <v>72450.073619360002</v>
      </c>
      <c r="P338" s="148">
        <f t="shared" ca="1" si="1903"/>
        <v>73513.194854558533</v>
      </c>
      <c r="Q338" s="148">
        <f t="shared" ca="1" si="1903"/>
        <v>80740.637187607164</v>
      </c>
      <c r="R338" s="148">
        <f t="shared" ca="1" si="1903"/>
        <v>81925.412877257651</v>
      </c>
      <c r="S338" s="148">
        <f t="shared" ca="1" si="1903"/>
        <v>83127.573783122425</v>
      </c>
      <c r="T338" s="148">
        <f t="shared" ca="1" si="1903"/>
        <v>84347.375013189841</v>
      </c>
      <c r="U338" s="148">
        <f t="shared" ca="1" si="1903"/>
        <v>89562.522967227706</v>
      </c>
      <c r="V338" s="148">
        <f t="shared" ca="1" si="1903"/>
        <v>90876.749651725826</v>
      </c>
      <c r="W338" s="148">
        <f t="shared" ca="1" si="1903"/>
        <v>92210.261096423012</v>
      </c>
      <c r="X338" s="148">
        <f t="shared" ca="1" si="1903"/>
        <v>93563.340282923833</v>
      </c>
      <c r="Y338" s="148">
        <f t="shared" ca="1" si="1903"/>
        <v>97147.360233380168</v>
      </c>
      <c r="Z338" s="148">
        <f t="shared" ca="1" si="1903"/>
        <v>98572.885653136109</v>
      </c>
      <c r="AA338" s="148">
        <f t="shared" ca="1" si="1903"/>
        <v>100019.32901361109</v>
      </c>
      <c r="AB338" s="148">
        <f t="shared" ca="1" si="1903"/>
        <v>101486.99726144935</v>
      </c>
      <c r="AC338" s="148">
        <f t="shared" ca="1" si="1903"/>
        <v>104674.94749853824</v>
      </c>
      <c r="AD338" s="148">
        <f t="shared" ca="1" si="1903"/>
        <v>106210.93157584427</v>
      </c>
      <c r="AE338" s="148">
        <f t="shared" ca="1" si="1903"/>
        <v>107769.4544472182</v>
      </c>
      <c r="AF338" s="148">
        <f t="shared" ca="1" si="1903"/>
        <v>109350.84684345702</v>
      </c>
      <c r="AG338" s="148">
        <f t="shared" ca="1" si="1903"/>
        <v>111243.00351972067</v>
      </c>
      <c r="AH338" s="148">
        <f t="shared" ca="1" si="1903"/>
        <v>112875.36624070867</v>
      </c>
      <c r="AI338" s="148">
        <f t="shared" ca="1" si="1903"/>
        <v>114531.6820011559</v>
      </c>
      <c r="AJ338" s="148">
        <f t="shared" ca="1" si="1903"/>
        <v>116212.30228427866</v>
      </c>
      <c r="AK338" s="148">
        <f t="shared" ca="1" si="1903"/>
        <v>118119.26809930448</v>
      </c>
      <c r="AL338" s="148">
        <f t="shared" ca="1" si="1903"/>
        <v>119852.53206894831</v>
      </c>
      <c r="AM338" s="148">
        <f t="shared" ca="1" si="1903"/>
        <v>121611.22968745236</v>
      </c>
      <c r="AN338" s="148">
        <f t="shared" ca="1" si="1903"/>
        <v>123395.73416426753</v>
      </c>
      <c r="AO338" s="148">
        <f t="shared" ca="1" si="1903"/>
        <v>125545.47808491596</v>
      </c>
      <c r="AP338" s="148">
        <f t="shared" ca="1" si="1903"/>
        <v>127387.71311750478</v>
      </c>
      <c r="AQ338" s="148">
        <f t="shared" ca="1" si="1903"/>
        <v>129256.98082356836</v>
      </c>
      <c r="AR338" s="148">
        <f t="shared" ca="1" si="1903"/>
        <v>131153.67787639875</v>
      </c>
      <c r="AS338" s="148">
        <f t="shared" ca="1" si="1903"/>
        <v>137172.26680868235</v>
      </c>
      <c r="AT338" s="148">
        <f t="shared" ca="1" si="1903"/>
        <v>139185.11155043927</v>
      </c>
      <c r="AU338" s="148">
        <f t="shared" ca="1" si="1903"/>
        <v>141227.49246629811</v>
      </c>
      <c r="AV338" s="148">
        <f t="shared" ca="1" si="1903"/>
        <v>143299.84296553404</v>
      </c>
      <c r="AW338" s="148"/>
      <c r="AX338" s="171">
        <f ca="1">SUM(G338:AW338)</f>
        <v>4179182.3264372861</v>
      </c>
    </row>
    <row r="339" spans="1:50" hidden="1" outlineLevel="1" x14ac:dyDescent="0.2">
      <c r="A339" s="179" t="str">
        <f ca="1">Language!A$646</f>
        <v>запасы сырья и материалов</v>
      </c>
      <c r="B339" s="188"/>
      <c r="C339" s="82" t="str">
        <f t="shared" ca="1" si="1902"/>
        <v>тыс. руб.</v>
      </c>
      <c r="D339" s="155">
        <f>D335</f>
        <v>1</v>
      </c>
      <c r="E339" s="57" t="s">
        <v>1012</v>
      </c>
      <c r="F339" s="57" t="s">
        <v>754</v>
      </c>
      <c r="G339" s="319">
        <f ca="1">IF(AND($B340=0,G$2&gt;1),F339,G338*$B340/Параметры!G$30)</f>
        <v>0</v>
      </c>
      <c r="H339" s="319">
        <f ca="1">IF(AND($B340=0,H$2&gt;1),G339,H338*$B340/Параметры!H$30)</f>
        <v>0</v>
      </c>
      <c r="I339" s="319">
        <f ca="1">IF(AND($B340=0,I$2&gt;1),H339,I338*$B340/Параметры!I$30)</f>
        <v>0</v>
      </c>
      <c r="J339" s="319">
        <f ca="1">IF(AND($B340=0,J$2&gt;1),I339,J338*$B340/Параметры!J$30)</f>
        <v>0</v>
      </c>
      <c r="K339" s="319">
        <f ca="1">IF(AND($B340=0,K$2&gt;1),J339,K338*$B340/Параметры!K$30)</f>
        <v>0</v>
      </c>
      <c r="L339" s="319">
        <f ca="1">IF(AND($B340=0,L$2&gt;1),K339,L338*$B340/Параметры!L$30)</f>
        <v>0</v>
      </c>
      <c r="M339" s="319">
        <f ca="1">IF(AND($B340=0,M$2&gt;1),L339,M338*$B340/Параметры!M$30)</f>
        <v>0</v>
      </c>
      <c r="N339" s="319">
        <f ca="1">IF(AND($B340=0,N$2&gt;1),M339,N338*$B340/Параметры!N$30)</f>
        <v>0</v>
      </c>
      <c r="O339" s="319">
        <f ca="1">IF(AND($B340=0,O$2&gt;1),N339,O338*$B340/Параметры!O$30)</f>
        <v>0</v>
      </c>
      <c r="P339" s="319">
        <f ca="1">IF(AND($B340=0,P$2&gt;1),O339,P338*$B340/Параметры!P$30)</f>
        <v>0</v>
      </c>
      <c r="Q339" s="319">
        <f ca="1">IF(AND($B340=0,Q$2&gt;1),P339,Q338*$B340/Параметры!Q$30)</f>
        <v>0</v>
      </c>
      <c r="R339" s="319">
        <f ca="1">IF(AND($B340=0,R$2&gt;1),Q339,R338*$B340/Параметры!R$30)</f>
        <v>0</v>
      </c>
      <c r="S339" s="319">
        <f ca="1">IF(AND($B340=0,S$2&gt;1),R339,S338*$B340/Параметры!S$30)</f>
        <v>0</v>
      </c>
      <c r="T339" s="319">
        <f ca="1">IF(AND($B340=0,T$2&gt;1),S339,T338*$B340/Параметры!T$30)</f>
        <v>0</v>
      </c>
      <c r="U339" s="319">
        <f ca="1">IF(AND($B340=0,U$2&gt;1),T339,U338*$B340/Параметры!U$30)</f>
        <v>0</v>
      </c>
      <c r="V339" s="319">
        <f ca="1">IF(AND($B340=0,V$2&gt;1),U339,V338*$B340/Параметры!V$30)</f>
        <v>0</v>
      </c>
      <c r="W339" s="319">
        <f ca="1">IF(AND($B340=0,W$2&gt;1),V339,W338*$B340/Параметры!W$30)</f>
        <v>0</v>
      </c>
      <c r="X339" s="319">
        <f ca="1">IF(AND($B340=0,X$2&gt;1),W339,X338*$B340/Параметры!X$30)</f>
        <v>0</v>
      </c>
      <c r="Y339" s="319">
        <f ca="1">IF(AND($B340=0,Y$2&gt;1),X339,Y338*$B340/Параметры!Y$30)</f>
        <v>0</v>
      </c>
      <c r="Z339" s="319">
        <f ca="1">IF(AND($B340=0,Z$2&gt;1),Y339,Z338*$B340/Параметры!Z$30)</f>
        <v>0</v>
      </c>
      <c r="AA339" s="319">
        <f ca="1">IF(AND($B340=0,AA$2&gt;1),Z339,AA338*$B340/Параметры!AA$30)</f>
        <v>0</v>
      </c>
      <c r="AB339" s="319">
        <f ca="1">IF(AND($B340=0,AB$2&gt;1),AA339,AB338*$B340/Параметры!AB$30)</f>
        <v>0</v>
      </c>
      <c r="AC339" s="319">
        <f ca="1">IF(AND($B340=0,AC$2&gt;1),AB339,AC338*$B340/Параметры!AC$30)</f>
        <v>0</v>
      </c>
      <c r="AD339" s="319">
        <f ca="1">IF(AND($B340=0,AD$2&gt;1),AC339,AD338*$B340/Параметры!AD$30)</f>
        <v>0</v>
      </c>
      <c r="AE339" s="319">
        <f ca="1">IF(AND($B340=0,AE$2&gt;1),AD339,AE338*$B340/Параметры!AE$30)</f>
        <v>0</v>
      </c>
      <c r="AF339" s="319">
        <f ca="1">IF(AND($B340=0,AF$2&gt;1),AE339,AF338*$B340/Параметры!AF$30)</f>
        <v>0</v>
      </c>
      <c r="AG339" s="319">
        <f ca="1">IF(AND($B340=0,AG$2&gt;1),AF339,AG338*$B340/Параметры!AG$30)</f>
        <v>0</v>
      </c>
      <c r="AH339" s="319">
        <f ca="1">IF(AND($B340=0,AH$2&gt;1),AG339,AH338*$B340/Параметры!AH$30)</f>
        <v>0</v>
      </c>
      <c r="AI339" s="319">
        <f ca="1">IF(AND($B340=0,AI$2&gt;1),AH339,AI338*$B340/Параметры!AI$30)</f>
        <v>0</v>
      </c>
      <c r="AJ339" s="319">
        <f ca="1">IF(AND($B340=0,AJ$2&gt;1),AI339,AJ338*$B340/Параметры!AJ$30)</f>
        <v>0</v>
      </c>
      <c r="AK339" s="319">
        <f ca="1">IF(AND($B340=0,AK$2&gt;1),AJ339,AK338*$B340/Параметры!AK$30)</f>
        <v>0</v>
      </c>
      <c r="AL339" s="319">
        <f ca="1">IF(AND($B340=0,AL$2&gt;1),AK339,AL338*$B340/Параметры!AL$30)</f>
        <v>0</v>
      </c>
      <c r="AM339" s="319">
        <f ca="1">IF(AND($B340=0,AM$2&gt;1),AL339,AM338*$B340/Параметры!AM$30)</f>
        <v>0</v>
      </c>
      <c r="AN339" s="319">
        <f ca="1">IF(AND($B340=0,AN$2&gt;1),AM339,AN338*$B340/Параметры!AN$30)</f>
        <v>0</v>
      </c>
      <c r="AO339" s="319">
        <f ca="1">IF(AND($B340=0,AO$2&gt;1),AN339,AO338*$B340/Параметры!AO$30)</f>
        <v>0</v>
      </c>
      <c r="AP339" s="319">
        <f ca="1">IF(AND($B340=0,AP$2&gt;1),AO339,AP338*$B340/Параметры!AP$30)</f>
        <v>0</v>
      </c>
      <c r="AQ339" s="319">
        <f ca="1">IF(AND($B340=0,AQ$2&gt;1),AP339,AQ338*$B340/Параметры!AQ$30)</f>
        <v>0</v>
      </c>
      <c r="AR339" s="319">
        <f ca="1">IF(AND($B340=0,AR$2&gt;1),AQ339,AR338*$B340/Параметры!AR$30)</f>
        <v>0</v>
      </c>
      <c r="AS339" s="319">
        <f ca="1">IF(AND($B340=0,AS$2&gt;1),AR339,AS338*$B340/Параметры!AS$30)</f>
        <v>0</v>
      </c>
      <c r="AT339" s="319">
        <f ca="1">IF(AND($B340=0,AT$2&gt;1),AS339,AT338*$B340/Параметры!AT$30)</f>
        <v>0</v>
      </c>
      <c r="AU339" s="319">
        <f ca="1">IF(AND($B340=0,AU$2&gt;1),AT339,AU338*$B340/Параметры!AU$30)</f>
        <v>0</v>
      </c>
      <c r="AV339" s="319">
        <f ca="1">IF(AND($B340=0,AV$2&gt;1),AU339,AV338*$B340/Параметры!AV$30)</f>
        <v>0</v>
      </c>
      <c r="AW339" s="45"/>
      <c r="AX339" s="171"/>
    </row>
    <row r="340" spans="1:50" hidden="1" outlineLevel="1" x14ac:dyDescent="0.2">
      <c r="A340" s="181" t="str">
        <f ca="1">Language!A$647</f>
        <v>периодичность закупки</v>
      </c>
      <c r="B340" s="320">
        <f>$B$630</f>
        <v>0</v>
      </c>
      <c r="C340" s="152" t="str">
        <f ca="1">Language!$A$1446</f>
        <v>дней</v>
      </c>
      <c r="D340" s="155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71"/>
    </row>
    <row r="341" spans="1:50" hidden="1" outlineLevel="1" x14ac:dyDescent="0.2">
      <c r="A341" s="179" t="str">
        <f ca="1">Language!A$648</f>
        <v>затраты в запасах готовой продукции</v>
      </c>
      <c r="B341" s="188"/>
      <c r="C341" s="82" t="str">
        <f t="shared" ref="C341" ca="1" si="1904">CHOOSE(D341,CurName1,CurName2,CurName3)</f>
        <v>тыс. руб.</v>
      </c>
      <c r="D341" s="155">
        <f>D335</f>
        <v>1</v>
      </c>
      <c r="E341" s="57" t="s">
        <v>1013</v>
      </c>
      <c r="F341" s="57" t="s">
        <v>754</v>
      </c>
      <c r="G341" s="319">
        <f ca="1">IF(AND($B342=0,G$2&gt;1),F341,G338*$B342/Параметры!G$30)</f>
        <v>0</v>
      </c>
      <c r="H341" s="319">
        <f ca="1">IF(AND($B342=0,H$2&gt;1),G341,H338*$B342/Параметры!H$30)</f>
        <v>0</v>
      </c>
      <c r="I341" s="319">
        <f ca="1">IF(AND($B342=0,I$2&gt;1),H341,I338*$B342/Параметры!I$30)</f>
        <v>0</v>
      </c>
      <c r="J341" s="319">
        <f ca="1">IF(AND($B342=0,J$2&gt;1),I341,J338*$B342/Параметры!J$30)</f>
        <v>0</v>
      </c>
      <c r="K341" s="319">
        <f ca="1">IF(AND($B342=0,K$2&gt;1),J341,K338*$B342/Параметры!K$30)</f>
        <v>0</v>
      </c>
      <c r="L341" s="319">
        <f ca="1">IF(AND($B342=0,L$2&gt;1),K341,L338*$B342/Параметры!L$30)</f>
        <v>0</v>
      </c>
      <c r="M341" s="319">
        <f ca="1">IF(AND($B342=0,M$2&gt;1),L341,M338*$B342/Параметры!M$30)</f>
        <v>0</v>
      </c>
      <c r="N341" s="319">
        <f ca="1">IF(AND($B342=0,N$2&gt;1),M341,N338*$B342/Параметры!N$30)</f>
        <v>0</v>
      </c>
      <c r="O341" s="319">
        <f ca="1">IF(AND($B342=0,O$2&gt;1),N341,O338*$B342/Параметры!O$30)</f>
        <v>0</v>
      </c>
      <c r="P341" s="319">
        <f ca="1">IF(AND($B342=0,P$2&gt;1),O341,P338*$B342/Параметры!P$30)</f>
        <v>0</v>
      </c>
      <c r="Q341" s="319">
        <f ca="1">IF(AND($B342=0,Q$2&gt;1),P341,Q338*$B342/Параметры!Q$30)</f>
        <v>0</v>
      </c>
      <c r="R341" s="319">
        <f ca="1">IF(AND($B342=0,R$2&gt;1),Q341,R338*$B342/Параметры!R$30)</f>
        <v>0</v>
      </c>
      <c r="S341" s="319">
        <f ca="1">IF(AND($B342=0,S$2&gt;1),R341,S338*$B342/Параметры!S$30)</f>
        <v>0</v>
      </c>
      <c r="T341" s="319">
        <f ca="1">IF(AND($B342=0,T$2&gt;1),S341,T338*$B342/Параметры!T$30)</f>
        <v>0</v>
      </c>
      <c r="U341" s="319">
        <f ca="1">IF(AND($B342=0,U$2&gt;1),T341,U338*$B342/Параметры!U$30)</f>
        <v>0</v>
      </c>
      <c r="V341" s="319">
        <f ca="1">IF(AND($B342=0,V$2&gt;1),U341,V338*$B342/Параметры!V$30)</f>
        <v>0</v>
      </c>
      <c r="W341" s="319">
        <f ca="1">IF(AND($B342=0,W$2&gt;1),V341,W338*$B342/Параметры!W$30)</f>
        <v>0</v>
      </c>
      <c r="X341" s="319">
        <f ca="1">IF(AND($B342=0,X$2&gt;1),W341,X338*$B342/Параметры!X$30)</f>
        <v>0</v>
      </c>
      <c r="Y341" s="319">
        <f ca="1">IF(AND($B342=0,Y$2&gt;1),X341,Y338*$B342/Параметры!Y$30)</f>
        <v>0</v>
      </c>
      <c r="Z341" s="319">
        <f ca="1">IF(AND($B342=0,Z$2&gt;1),Y341,Z338*$B342/Параметры!Z$30)</f>
        <v>0</v>
      </c>
      <c r="AA341" s="319">
        <f ca="1">IF(AND($B342=0,AA$2&gt;1),Z341,AA338*$B342/Параметры!AA$30)</f>
        <v>0</v>
      </c>
      <c r="AB341" s="319">
        <f ca="1">IF(AND($B342=0,AB$2&gt;1),AA341,AB338*$B342/Параметры!AB$30)</f>
        <v>0</v>
      </c>
      <c r="AC341" s="319">
        <f ca="1">IF(AND($B342=0,AC$2&gt;1),AB341,AC338*$B342/Параметры!AC$30)</f>
        <v>0</v>
      </c>
      <c r="AD341" s="319">
        <f ca="1">IF(AND($B342=0,AD$2&gt;1),AC341,AD338*$B342/Параметры!AD$30)</f>
        <v>0</v>
      </c>
      <c r="AE341" s="319">
        <f ca="1">IF(AND($B342=0,AE$2&gt;1),AD341,AE338*$B342/Параметры!AE$30)</f>
        <v>0</v>
      </c>
      <c r="AF341" s="319">
        <f ca="1">IF(AND($B342=0,AF$2&gt;1),AE341,AF338*$B342/Параметры!AF$30)</f>
        <v>0</v>
      </c>
      <c r="AG341" s="319">
        <f ca="1">IF(AND($B342=0,AG$2&gt;1),AF341,AG338*$B342/Параметры!AG$30)</f>
        <v>0</v>
      </c>
      <c r="AH341" s="319">
        <f ca="1">IF(AND($B342=0,AH$2&gt;1),AG341,AH338*$B342/Параметры!AH$30)</f>
        <v>0</v>
      </c>
      <c r="AI341" s="319">
        <f ca="1">IF(AND($B342=0,AI$2&gt;1),AH341,AI338*$B342/Параметры!AI$30)</f>
        <v>0</v>
      </c>
      <c r="AJ341" s="319">
        <f ca="1">IF(AND($B342=0,AJ$2&gt;1),AI341,AJ338*$B342/Параметры!AJ$30)</f>
        <v>0</v>
      </c>
      <c r="AK341" s="319">
        <f ca="1">IF(AND($B342=0,AK$2&gt;1),AJ341,AK338*$B342/Параметры!AK$30)</f>
        <v>0</v>
      </c>
      <c r="AL341" s="319">
        <f ca="1">IF(AND($B342=0,AL$2&gt;1),AK341,AL338*$B342/Параметры!AL$30)</f>
        <v>0</v>
      </c>
      <c r="AM341" s="319">
        <f ca="1">IF(AND($B342=0,AM$2&gt;1),AL341,AM338*$B342/Параметры!AM$30)</f>
        <v>0</v>
      </c>
      <c r="AN341" s="319">
        <f ca="1">IF(AND($B342=0,AN$2&gt;1),AM341,AN338*$B342/Параметры!AN$30)</f>
        <v>0</v>
      </c>
      <c r="AO341" s="319">
        <f ca="1">IF(AND($B342=0,AO$2&gt;1),AN341,AO338*$B342/Параметры!AO$30)</f>
        <v>0</v>
      </c>
      <c r="AP341" s="319">
        <f ca="1">IF(AND($B342=0,AP$2&gt;1),AO341,AP338*$B342/Параметры!AP$30)</f>
        <v>0</v>
      </c>
      <c r="AQ341" s="319">
        <f ca="1">IF(AND($B342=0,AQ$2&gt;1),AP341,AQ338*$B342/Параметры!AQ$30)</f>
        <v>0</v>
      </c>
      <c r="AR341" s="319">
        <f ca="1">IF(AND($B342=0,AR$2&gt;1),AQ341,AR338*$B342/Параметры!AR$30)</f>
        <v>0</v>
      </c>
      <c r="AS341" s="319">
        <f ca="1">IF(AND($B342=0,AS$2&gt;1),AR341,AS338*$B342/Параметры!AS$30)</f>
        <v>0</v>
      </c>
      <c r="AT341" s="319">
        <f ca="1">IF(AND($B342=0,AT$2&gt;1),AS341,AT338*$B342/Параметры!AT$30)</f>
        <v>0</v>
      </c>
      <c r="AU341" s="319">
        <f ca="1">IF(AND($B342=0,AU$2&gt;1),AT341,AU338*$B342/Параметры!AU$30)</f>
        <v>0</v>
      </c>
      <c r="AV341" s="319">
        <f ca="1">IF(AND($B342=0,AV$2&gt;1),AU341,AV338*$B342/Параметры!AV$30)</f>
        <v>0</v>
      </c>
      <c r="AW341" s="180"/>
      <c r="AX341" s="189"/>
    </row>
    <row r="342" spans="1:50" hidden="1" outlineLevel="1" x14ac:dyDescent="0.2">
      <c r="A342" s="181" t="str">
        <f ca="1">Language!A$649</f>
        <v>периодичность отгрузки</v>
      </c>
      <c r="B342" s="320">
        <f>$B$642</f>
        <v>0</v>
      </c>
      <c r="C342" s="152" t="str">
        <f ca="1">Language!$A$1446</f>
        <v>дней</v>
      </c>
      <c r="D342" s="155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71"/>
    </row>
    <row r="343" spans="1:50" hidden="1" outlineLevel="1" x14ac:dyDescent="0.2">
      <c r="A343" s="179" t="str">
        <f ca="1">Language!A$650</f>
        <v>затраты в незавершенном производстве</v>
      </c>
      <c r="B343" s="188"/>
      <c r="C343" s="82" t="str">
        <f t="shared" ref="C343" ca="1" si="1905">CHOOSE(D343,CurName1,CurName2,CurName3)</f>
        <v>тыс. руб.</v>
      </c>
      <c r="D343" s="155">
        <f>D335</f>
        <v>1</v>
      </c>
      <c r="E343" s="57" t="s">
        <v>760</v>
      </c>
      <c r="F343" s="57" t="s">
        <v>754</v>
      </c>
      <c r="G343" s="319">
        <f ca="1">IF(AND($B344=0,G$2&gt;1),F343,G338*$B344/Параметры!G$30)</f>
        <v>0</v>
      </c>
      <c r="H343" s="319">
        <f ca="1">IF(AND($B344=0,H$2&gt;1),G343,H338*$B344/Параметры!H$30)</f>
        <v>0</v>
      </c>
      <c r="I343" s="319">
        <f ca="1">IF(AND($B344=0,I$2&gt;1),H343,I338*$B344/Параметры!I$30)</f>
        <v>0</v>
      </c>
      <c r="J343" s="319">
        <f ca="1">IF(AND($B344=0,J$2&gt;1),I343,J338*$B344/Параметры!J$30)</f>
        <v>0</v>
      </c>
      <c r="K343" s="319">
        <f ca="1">IF(AND($B344=0,K$2&gt;1),J343,K338*$B344/Параметры!K$30)</f>
        <v>0</v>
      </c>
      <c r="L343" s="319">
        <f ca="1">IF(AND($B344=0,L$2&gt;1),K343,L338*$B344/Параметры!L$30)</f>
        <v>0</v>
      </c>
      <c r="M343" s="319">
        <f ca="1">IF(AND($B344=0,M$2&gt;1),L343,M338*$B344/Параметры!M$30)</f>
        <v>0</v>
      </c>
      <c r="N343" s="319">
        <f ca="1">IF(AND($B344=0,N$2&gt;1),M343,N338*$B344/Параметры!N$30)</f>
        <v>0</v>
      </c>
      <c r="O343" s="319">
        <f ca="1">IF(AND($B344=0,O$2&gt;1),N343,O338*$B344/Параметры!O$30)</f>
        <v>0</v>
      </c>
      <c r="P343" s="319">
        <f ca="1">IF(AND($B344=0,P$2&gt;1),O343,P338*$B344/Параметры!P$30)</f>
        <v>0</v>
      </c>
      <c r="Q343" s="319">
        <f ca="1">IF(AND($B344=0,Q$2&gt;1),P343,Q338*$B344/Параметры!Q$30)</f>
        <v>0</v>
      </c>
      <c r="R343" s="319">
        <f ca="1">IF(AND($B344=0,R$2&gt;1),Q343,R338*$B344/Параметры!R$30)</f>
        <v>0</v>
      </c>
      <c r="S343" s="319">
        <f ca="1">IF(AND($B344=0,S$2&gt;1),R343,S338*$B344/Параметры!S$30)</f>
        <v>0</v>
      </c>
      <c r="T343" s="319">
        <f ca="1">IF(AND($B344=0,T$2&gt;1),S343,T338*$B344/Параметры!T$30)</f>
        <v>0</v>
      </c>
      <c r="U343" s="319">
        <f ca="1">IF(AND($B344=0,U$2&gt;1),T343,U338*$B344/Параметры!U$30)</f>
        <v>0</v>
      </c>
      <c r="V343" s="319">
        <f ca="1">IF(AND($B344=0,V$2&gt;1),U343,V338*$B344/Параметры!V$30)</f>
        <v>0</v>
      </c>
      <c r="W343" s="319">
        <f ca="1">IF(AND($B344=0,W$2&gt;1),V343,W338*$B344/Параметры!W$30)</f>
        <v>0</v>
      </c>
      <c r="X343" s="319">
        <f ca="1">IF(AND($B344=0,X$2&gt;1),W343,X338*$B344/Параметры!X$30)</f>
        <v>0</v>
      </c>
      <c r="Y343" s="319">
        <f ca="1">IF(AND($B344=0,Y$2&gt;1),X343,Y338*$B344/Параметры!Y$30)</f>
        <v>0</v>
      </c>
      <c r="Z343" s="319">
        <f ca="1">IF(AND($B344=0,Z$2&gt;1),Y343,Z338*$B344/Параметры!Z$30)</f>
        <v>0</v>
      </c>
      <c r="AA343" s="319">
        <f ca="1">IF(AND($B344=0,AA$2&gt;1),Z343,AA338*$B344/Параметры!AA$30)</f>
        <v>0</v>
      </c>
      <c r="AB343" s="319">
        <f ca="1">IF(AND($B344=0,AB$2&gt;1),AA343,AB338*$B344/Параметры!AB$30)</f>
        <v>0</v>
      </c>
      <c r="AC343" s="319">
        <f ca="1">IF(AND($B344=0,AC$2&gt;1),AB343,AC338*$B344/Параметры!AC$30)</f>
        <v>0</v>
      </c>
      <c r="AD343" s="319">
        <f ca="1">IF(AND($B344=0,AD$2&gt;1),AC343,AD338*$B344/Параметры!AD$30)</f>
        <v>0</v>
      </c>
      <c r="AE343" s="319">
        <f ca="1">IF(AND($B344=0,AE$2&gt;1),AD343,AE338*$B344/Параметры!AE$30)</f>
        <v>0</v>
      </c>
      <c r="AF343" s="319">
        <f ca="1">IF(AND($B344=0,AF$2&gt;1),AE343,AF338*$B344/Параметры!AF$30)</f>
        <v>0</v>
      </c>
      <c r="AG343" s="319">
        <f ca="1">IF(AND($B344=0,AG$2&gt;1),AF343,AG338*$B344/Параметры!AG$30)</f>
        <v>0</v>
      </c>
      <c r="AH343" s="319">
        <f ca="1">IF(AND($B344=0,AH$2&gt;1),AG343,AH338*$B344/Параметры!AH$30)</f>
        <v>0</v>
      </c>
      <c r="AI343" s="319">
        <f ca="1">IF(AND($B344=0,AI$2&gt;1),AH343,AI338*$B344/Параметры!AI$30)</f>
        <v>0</v>
      </c>
      <c r="AJ343" s="319">
        <f ca="1">IF(AND($B344=0,AJ$2&gt;1),AI343,AJ338*$B344/Параметры!AJ$30)</f>
        <v>0</v>
      </c>
      <c r="AK343" s="319">
        <f ca="1">IF(AND($B344=0,AK$2&gt;1),AJ343,AK338*$B344/Параметры!AK$30)</f>
        <v>0</v>
      </c>
      <c r="AL343" s="319">
        <f ca="1">IF(AND($B344=0,AL$2&gt;1),AK343,AL338*$B344/Параметры!AL$30)</f>
        <v>0</v>
      </c>
      <c r="AM343" s="319">
        <f ca="1">IF(AND($B344=0,AM$2&gt;1),AL343,AM338*$B344/Параметры!AM$30)</f>
        <v>0</v>
      </c>
      <c r="AN343" s="319">
        <f ca="1">IF(AND($B344=0,AN$2&gt;1),AM343,AN338*$B344/Параметры!AN$30)</f>
        <v>0</v>
      </c>
      <c r="AO343" s="319">
        <f ca="1">IF(AND($B344=0,AO$2&gt;1),AN343,AO338*$B344/Параметры!AO$30)</f>
        <v>0</v>
      </c>
      <c r="AP343" s="319">
        <f ca="1">IF(AND($B344=0,AP$2&gt;1),AO343,AP338*$B344/Параметры!AP$30)</f>
        <v>0</v>
      </c>
      <c r="AQ343" s="319">
        <f ca="1">IF(AND($B344=0,AQ$2&gt;1),AP343,AQ338*$B344/Параметры!AQ$30)</f>
        <v>0</v>
      </c>
      <c r="AR343" s="319">
        <f ca="1">IF(AND($B344=0,AR$2&gt;1),AQ343,AR338*$B344/Параметры!AR$30)</f>
        <v>0</v>
      </c>
      <c r="AS343" s="319">
        <f ca="1">IF(AND($B344=0,AS$2&gt;1),AR343,AS338*$B344/Параметры!AS$30)</f>
        <v>0</v>
      </c>
      <c r="AT343" s="319">
        <f ca="1">IF(AND($B344=0,AT$2&gt;1),AS343,AT338*$B344/Параметры!AT$30)</f>
        <v>0</v>
      </c>
      <c r="AU343" s="319">
        <f ca="1">IF(AND($B344=0,AU$2&gt;1),AT343,AU338*$B344/Параметры!AU$30)</f>
        <v>0</v>
      </c>
      <c r="AV343" s="319">
        <f ca="1">IF(AND($B344=0,AV$2&gt;1),AU343,AV338*$B344/Параметры!AV$30)</f>
        <v>0</v>
      </c>
      <c r="AW343" s="180"/>
      <c r="AX343" s="189"/>
    </row>
    <row r="344" spans="1:50" hidden="1" outlineLevel="1" x14ac:dyDescent="0.2">
      <c r="A344" s="181" t="str">
        <f ca="1">Language!A$651</f>
        <v>длительность производственного цикла</v>
      </c>
      <c r="B344" s="320">
        <f>$B$636</f>
        <v>0</v>
      </c>
      <c r="C344" s="152" t="str">
        <f ca="1">Language!$A$1446</f>
        <v>дней</v>
      </c>
      <c r="D344" s="155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71"/>
    </row>
    <row r="345" spans="1:50" hidden="1" outlineLevel="1" x14ac:dyDescent="0.2">
      <c r="A345" s="179" t="str">
        <f ca="1">Language!A$652</f>
        <v>общий расход за период, без НДС</v>
      </c>
      <c r="B345" s="188"/>
      <c r="C345" s="82" t="str">
        <f t="shared" ref="C345" ca="1" si="1906">CHOOSE(D345,CurName1,CurName2,CurName3)</f>
        <v>тыс. руб.</v>
      </c>
      <c r="D345" s="155">
        <f>D335</f>
        <v>1</v>
      </c>
      <c r="F345" s="57" t="s">
        <v>753</v>
      </c>
      <c r="G345" s="190">
        <f ca="1">G338+IF(G$2=1,G339+G341+G343,G339+G341+G343-F339-F341-F343)</f>
        <v>53186.125249999997</v>
      </c>
      <c r="H345" s="190">
        <f t="shared" ref="H345" ca="1" si="1907">H338+IF(H$2=1,H339+H341+H343,H339+H341+H343-G339-G341-G343)</f>
        <v>53966.570270225537</v>
      </c>
      <c r="I345" s="190">
        <f t="shared" ref="I345" ca="1" si="1908">I338+IF(I$2=1,I339+I341+I343,I339+I341+I343-H339-H341-H343)</f>
        <v>61297.05667238545</v>
      </c>
      <c r="J345" s="190">
        <f t="shared" ref="J345" ca="1" si="1909">J338+IF(J$2=1,J339+J341+J343,J339+J341+J343-I339-I341-I343)</f>
        <v>62196.52025258763</v>
      </c>
      <c r="K345" s="190">
        <f t="shared" ref="K345" ca="1" si="1910">K338+IF(K$2=1,K339+K341+K343,K339+K341+K343-J339-J341-J343)</f>
        <v>63109.182423000006</v>
      </c>
      <c r="L345" s="190">
        <f t="shared" ref="L345" ca="1" si="1911">L338+IF(L$2=1,L339+L341+L343,L339+L341+L343-K339-K341-K343)</f>
        <v>64035.236857704971</v>
      </c>
      <c r="M345" s="190">
        <f t="shared" ref="M345" ca="1" si="1912">M338+IF(M$2=1,M339+M341+M343,M339+M341+M343-L339-L341-L343)</f>
        <v>70369.732233227362</v>
      </c>
      <c r="N345" s="190">
        <f t="shared" ref="N345" ca="1" si="1913">N338+IF(N$2=1,N339+N341+N343,N339+N341+N343-M339-M341-M343)</f>
        <v>71402.326858947476</v>
      </c>
      <c r="O345" s="190">
        <f t="shared" ref="O345" ca="1" si="1914">O338+IF(O$2=1,O339+O341+O343,O339+O341+O343-N339-N341-N343)</f>
        <v>72450.073619360002</v>
      </c>
      <c r="P345" s="190">
        <f t="shared" ref="P345" ca="1" si="1915">P338+IF(P$2=1,P339+P341+P343,P339+P341+P343-O339-O341-O343)</f>
        <v>73513.194854558533</v>
      </c>
      <c r="Q345" s="190">
        <f t="shared" ref="Q345" ca="1" si="1916">Q338+IF(Q$2=1,Q339+Q341+Q343,Q339+Q341+Q343-P339-P341-P343)</f>
        <v>80740.637187607164</v>
      </c>
      <c r="R345" s="190">
        <f t="shared" ref="R345" ca="1" si="1917">R338+IF(R$2=1,R339+R341+R343,R339+R341+R343-Q339-Q341-Q343)</f>
        <v>81925.412877257651</v>
      </c>
      <c r="S345" s="190">
        <f t="shared" ref="S345" ca="1" si="1918">S338+IF(S$2=1,S339+S341+S343,S339+S341+S343-R339-R341-R343)</f>
        <v>83127.573783122425</v>
      </c>
      <c r="T345" s="190">
        <f t="shared" ref="T345" ca="1" si="1919">T338+IF(T$2=1,T339+T341+T343,T339+T341+T343-S339-S341-S343)</f>
        <v>84347.375013189841</v>
      </c>
      <c r="U345" s="190">
        <f t="shared" ref="U345" ca="1" si="1920">U338+IF(U$2=1,U339+U341+U343,U339+U341+U343-T339-T341-T343)</f>
        <v>89562.522967227706</v>
      </c>
      <c r="V345" s="190">
        <f t="shared" ref="V345" ca="1" si="1921">V338+IF(V$2=1,V339+V341+V343,V339+V341+V343-U339-U341-U343)</f>
        <v>90876.749651725826</v>
      </c>
      <c r="W345" s="190">
        <f t="shared" ref="W345" ca="1" si="1922">W338+IF(W$2=1,W339+W341+W343,W339+W341+W343-V339-V341-V343)</f>
        <v>92210.261096423012</v>
      </c>
      <c r="X345" s="190">
        <f t="shared" ref="X345" ca="1" si="1923">X338+IF(X$2=1,X339+X341+X343,X339+X341+X343-W339-W341-W343)</f>
        <v>93563.340282923833</v>
      </c>
      <c r="Y345" s="190">
        <f t="shared" ref="Y345" ca="1" si="1924">Y338+IF(Y$2=1,Y339+Y341+Y343,Y339+Y341+Y343-X339-X341-X343)</f>
        <v>97147.360233380168</v>
      </c>
      <c r="Z345" s="190">
        <f t="shared" ref="Z345" ca="1" si="1925">Z338+IF(Z$2=1,Z339+Z341+Z343,Z339+Z341+Z343-Y339-Y341-Y343)</f>
        <v>98572.885653136109</v>
      </c>
      <c r="AA345" s="190">
        <f t="shared" ref="AA345" ca="1" si="1926">AA338+IF(AA$2=1,AA339+AA341+AA343,AA339+AA341+AA343-Z339-Z341-Z343)</f>
        <v>100019.32901361109</v>
      </c>
      <c r="AB345" s="190">
        <f t="shared" ref="AB345" ca="1" si="1927">AB338+IF(AB$2=1,AB339+AB341+AB343,AB339+AB341+AB343-AA339-AA341-AA343)</f>
        <v>101486.99726144935</v>
      </c>
      <c r="AC345" s="190">
        <f t="shared" ref="AC345" ca="1" si="1928">AC338+IF(AC$2=1,AC339+AC341+AC343,AC339+AC341+AC343-AB339-AB341-AB343)</f>
        <v>104674.94749853824</v>
      </c>
      <c r="AD345" s="190">
        <f t="shared" ref="AD345" ca="1" si="1929">AD338+IF(AD$2=1,AD339+AD341+AD343,AD339+AD341+AD343-AC339-AC341-AC343)</f>
        <v>106210.93157584427</v>
      </c>
      <c r="AE345" s="190">
        <f t="shared" ref="AE345" ca="1" si="1930">AE338+IF(AE$2=1,AE339+AE341+AE343,AE339+AE341+AE343-AD339-AD341-AD343)</f>
        <v>107769.4544472182</v>
      </c>
      <c r="AF345" s="190">
        <f t="shared" ref="AF345" ca="1" si="1931">AF338+IF(AF$2=1,AF339+AF341+AF343,AF339+AF341+AF343-AE339-AE341-AE343)</f>
        <v>109350.84684345702</v>
      </c>
      <c r="AG345" s="190">
        <f t="shared" ref="AG345" ca="1" si="1932">AG338+IF(AG$2=1,AG339+AG341+AG343,AG339+AG341+AG343-AF339-AF341-AF343)</f>
        <v>111243.00351972067</v>
      </c>
      <c r="AH345" s="190">
        <f t="shared" ref="AH345" ca="1" si="1933">AH338+IF(AH$2=1,AH339+AH341+AH343,AH339+AH341+AH343-AG339-AG341-AG343)</f>
        <v>112875.36624070867</v>
      </c>
      <c r="AI345" s="190">
        <f t="shared" ref="AI345" ca="1" si="1934">AI338+IF(AI$2=1,AI339+AI341+AI343,AI339+AI341+AI343-AH339-AH341-AH343)</f>
        <v>114531.6820011559</v>
      </c>
      <c r="AJ345" s="190">
        <f t="shared" ref="AJ345" ca="1" si="1935">AJ338+IF(AJ$2=1,AJ339+AJ341+AJ343,AJ339+AJ341+AJ343-AI339-AI341-AI343)</f>
        <v>116212.30228427866</v>
      </c>
      <c r="AK345" s="190">
        <f t="shared" ref="AK345" ca="1" si="1936">AK338+IF(AK$2=1,AK339+AK341+AK343,AK339+AK341+AK343-AJ339-AJ341-AJ343)</f>
        <v>118119.26809930448</v>
      </c>
      <c r="AL345" s="190">
        <f t="shared" ref="AL345" ca="1" si="1937">AL338+IF(AL$2=1,AL339+AL341+AL343,AL339+AL341+AL343-AK339-AK341-AK343)</f>
        <v>119852.53206894831</v>
      </c>
      <c r="AM345" s="190">
        <f t="shared" ref="AM345" ca="1" si="1938">AM338+IF(AM$2=1,AM339+AM341+AM343,AM339+AM341+AM343-AL339-AL341-AL343)</f>
        <v>121611.22968745236</v>
      </c>
      <c r="AN345" s="190">
        <f t="shared" ref="AN345" ca="1" si="1939">AN338+IF(AN$2=1,AN339+AN341+AN343,AN339+AN341+AN343-AM339-AM341-AM343)</f>
        <v>123395.73416426753</v>
      </c>
      <c r="AO345" s="190">
        <f t="shared" ref="AO345" ca="1" si="1940">AO338+IF(AO$2=1,AO339+AO341+AO343,AO339+AO341+AO343-AN339-AN341-AN343)</f>
        <v>125545.47808491596</v>
      </c>
      <c r="AP345" s="190">
        <f t="shared" ref="AP345" ca="1" si="1941">AP338+IF(AP$2=1,AP339+AP341+AP343,AP339+AP341+AP343-AO339-AO341-AO343)</f>
        <v>127387.71311750478</v>
      </c>
      <c r="AQ345" s="190">
        <f t="shared" ref="AQ345" ca="1" si="1942">AQ338+IF(AQ$2=1,AQ339+AQ341+AQ343,AQ339+AQ341+AQ343-AP339-AP341-AP343)</f>
        <v>129256.98082356836</v>
      </c>
      <c r="AR345" s="190">
        <f t="shared" ref="AR345" ca="1" si="1943">AR338+IF(AR$2=1,AR339+AR341+AR343,AR339+AR341+AR343-AQ339-AQ341-AQ343)</f>
        <v>131153.67787639875</v>
      </c>
      <c r="AS345" s="190">
        <f t="shared" ref="AS345" ca="1" si="1944">AS338+IF(AS$2=1,AS339+AS341+AS343,AS339+AS341+AS343-AR339-AR341-AR343)</f>
        <v>137172.26680868235</v>
      </c>
      <c r="AT345" s="190">
        <f t="shared" ref="AT345" ca="1" si="1945">AT338+IF(AT$2=1,AT339+AT341+AT343,AT339+AT341+AT343-AS339-AS341-AS343)</f>
        <v>139185.11155043927</v>
      </c>
      <c r="AU345" s="190">
        <f t="shared" ref="AU345" ca="1" si="1946">AU338+IF(AU$2=1,AU339+AU341+AU343,AU339+AU341+AU343-AT339-AT341-AT343)</f>
        <v>141227.49246629811</v>
      </c>
      <c r="AV345" s="190">
        <f t="shared" ref="AV345" ca="1" si="1947">AV338+IF(AV$2=1,AV339+AV341+AV343,AV339+AV341+AV343-AU339-AU341-AU343)</f>
        <v>143299.84296553404</v>
      </c>
      <c r="AW345" s="190"/>
      <c r="AX345" s="189">
        <f ca="1">SUM(G345:AW345)</f>
        <v>4179182.3264372861</v>
      </c>
    </row>
    <row r="346" spans="1:50" hidden="1" outlineLevel="1" x14ac:dyDescent="0.2">
      <c r="A346" s="179" t="str">
        <f ca="1">Language!A$653</f>
        <v>кредиторская задолженность</v>
      </c>
      <c r="B346" s="188"/>
      <c r="C346" s="82" t="str">
        <f ca="1">CHOOSE(D346,CurName1,CurName2,CurName3)</f>
        <v>тыс. руб.</v>
      </c>
      <c r="D346" s="155">
        <f>D335</f>
        <v>1</v>
      </c>
      <c r="E346" s="57" t="s">
        <v>1014</v>
      </c>
      <c r="F346" s="57" t="s">
        <v>754</v>
      </c>
      <c r="G346" s="316">
        <f ca="1">IF(AND($B347=0,G$2&gt;1),F346,(G345+G356)*$B347/Параметры!G$30)</f>
        <v>0</v>
      </c>
      <c r="H346" s="316">
        <f ca="1">IF(AND($B347=0,H$2&gt;1),G346,(H345+H356)*$B347/Параметры!H$30)</f>
        <v>0</v>
      </c>
      <c r="I346" s="316">
        <f ca="1">IF(AND($B347=0,I$2&gt;1),H346,(I345+I356)*$B347/Параметры!I$30)</f>
        <v>0</v>
      </c>
      <c r="J346" s="316">
        <f ca="1">IF(AND($B347=0,J$2&gt;1),I346,(J345+J356)*$B347/Параметры!J$30)</f>
        <v>0</v>
      </c>
      <c r="K346" s="316">
        <f ca="1">IF(AND($B347=0,K$2&gt;1),J346,(K345+K356)*$B347/Параметры!K$30)</f>
        <v>0</v>
      </c>
      <c r="L346" s="316">
        <f ca="1">IF(AND($B347=0,L$2&gt;1),K346,(L345+L356)*$B347/Параметры!L$30)</f>
        <v>0</v>
      </c>
      <c r="M346" s="316">
        <f ca="1">IF(AND($B347=0,M$2&gt;1),L346,(M345+M356)*$B347/Параметры!M$30)</f>
        <v>0</v>
      </c>
      <c r="N346" s="316">
        <f ca="1">IF(AND($B347=0,N$2&gt;1),M346,(N345+N356)*$B347/Параметры!N$30)</f>
        <v>0</v>
      </c>
      <c r="O346" s="316">
        <f ca="1">IF(AND($B347=0,O$2&gt;1),N346,(O345+O356)*$B347/Параметры!O$30)</f>
        <v>0</v>
      </c>
      <c r="P346" s="316">
        <f ca="1">IF(AND($B347=0,P$2&gt;1),O346,(P345+P356)*$B347/Параметры!P$30)</f>
        <v>0</v>
      </c>
      <c r="Q346" s="316">
        <f ca="1">IF(AND($B347=0,Q$2&gt;1),P346,(Q345+Q356)*$B347/Параметры!Q$30)</f>
        <v>0</v>
      </c>
      <c r="R346" s="316">
        <f ca="1">IF(AND($B347=0,R$2&gt;1),Q346,(R345+R356)*$B347/Параметры!R$30)</f>
        <v>0</v>
      </c>
      <c r="S346" s="316">
        <f ca="1">IF(AND($B347=0,S$2&gt;1),R346,(S345+S356)*$B347/Параметры!S$30)</f>
        <v>0</v>
      </c>
      <c r="T346" s="316">
        <f ca="1">IF(AND($B347=0,T$2&gt;1),S346,(T345+T356)*$B347/Параметры!T$30)</f>
        <v>0</v>
      </c>
      <c r="U346" s="316">
        <f ca="1">IF(AND($B347=0,U$2&gt;1),T346,(U345+U356)*$B347/Параметры!U$30)</f>
        <v>0</v>
      </c>
      <c r="V346" s="316">
        <f ca="1">IF(AND($B347=0,V$2&gt;1),U346,(V345+V356)*$B347/Параметры!V$30)</f>
        <v>0</v>
      </c>
      <c r="W346" s="316">
        <f ca="1">IF(AND($B347=0,W$2&gt;1),V346,(W345+W356)*$B347/Параметры!W$30)</f>
        <v>0</v>
      </c>
      <c r="X346" s="316">
        <f ca="1">IF(AND($B347=0,X$2&gt;1),W346,(X345+X356)*$B347/Параметры!X$30)</f>
        <v>0</v>
      </c>
      <c r="Y346" s="316">
        <f ca="1">IF(AND($B347=0,Y$2&gt;1),X346,(Y345+Y356)*$B347/Параметры!Y$30)</f>
        <v>0</v>
      </c>
      <c r="Z346" s="316">
        <f ca="1">IF(AND($B347=0,Z$2&gt;1),Y346,(Z345+Z356)*$B347/Параметры!Z$30)</f>
        <v>0</v>
      </c>
      <c r="AA346" s="316">
        <f ca="1">IF(AND($B347=0,AA$2&gt;1),Z346,(AA345+AA356)*$B347/Параметры!AA$30)</f>
        <v>0</v>
      </c>
      <c r="AB346" s="316">
        <f ca="1">IF(AND($B347=0,AB$2&gt;1),AA346,(AB345+AB356)*$B347/Параметры!AB$30)</f>
        <v>0</v>
      </c>
      <c r="AC346" s="316">
        <f ca="1">IF(AND($B347=0,AC$2&gt;1),AB346,(AC345+AC356)*$B347/Параметры!AC$30)</f>
        <v>0</v>
      </c>
      <c r="AD346" s="316">
        <f ca="1">IF(AND($B347=0,AD$2&gt;1),AC346,(AD345+AD356)*$B347/Параметры!AD$30)</f>
        <v>0</v>
      </c>
      <c r="AE346" s="316">
        <f ca="1">IF(AND($B347=0,AE$2&gt;1),AD346,(AE345+AE356)*$B347/Параметры!AE$30)</f>
        <v>0</v>
      </c>
      <c r="AF346" s="316">
        <f ca="1">IF(AND($B347=0,AF$2&gt;1),AE346,(AF345+AF356)*$B347/Параметры!AF$30)</f>
        <v>0</v>
      </c>
      <c r="AG346" s="316">
        <f ca="1">IF(AND($B347=0,AG$2&gt;1),AF346,(AG345+AG356)*$B347/Параметры!AG$30)</f>
        <v>0</v>
      </c>
      <c r="AH346" s="316">
        <f ca="1">IF(AND($B347=0,AH$2&gt;1),AG346,(AH345+AH356)*$B347/Параметры!AH$30)</f>
        <v>0</v>
      </c>
      <c r="AI346" s="316">
        <f ca="1">IF(AND($B347=0,AI$2&gt;1),AH346,(AI345+AI356)*$B347/Параметры!AI$30)</f>
        <v>0</v>
      </c>
      <c r="AJ346" s="316">
        <f ca="1">IF(AND($B347=0,AJ$2&gt;1),AI346,(AJ345+AJ356)*$B347/Параметры!AJ$30)</f>
        <v>0</v>
      </c>
      <c r="AK346" s="316">
        <f ca="1">IF(AND($B347=0,AK$2&gt;1),AJ346,(AK345+AK356)*$B347/Параметры!AK$30)</f>
        <v>0</v>
      </c>
      <c r="AL346" s="316">
        <f ca="1">IF(AND($B347=0,AL$2&gt;1),AK346,(AL345+AL356)*$B347/Параметры!AL$30)</f>
        <v>0</v>
      </c>
      <c r="AM346" s="316">
        <f ca="1">IF(AND($B347=0,AM$2&gt;1),AL346,(AM345+AM356)*$B347/Параметры!AM$30)</f>
        <v>0</v>
      </c>
      <c r="AN346" s="316">
        <f ca="1">IF(AND($B347=0,AN$2&gt;1),AM346,(AN345+AN356)*$B347/Параметры!AN$30)</f>
        <v>0</v>
      </c>
      <c r="AO346" s="316">
        <f ca="1">IF(AND($B347=0,AO$2&gt;1),AN346,(AO345+AO356)*$B347/Параметры!AO$30)</f>
        <v>0</v>
      </c>
      <c r="AP346" s="316">
        <f ca="1">IF(AND($B347=0,AP$2&gt;1),AO346,(AP345+AP356)*$B347/Параметры!AP$30)</f>
        <v>0</v>
      </c>
      <c r="AQ346" s="316">
        <f ca="1">IF(AND($B347=0,AQ$2&gt;1),AP346,(AQ345+AQ356)*$B347/Параметры!AQ$30)</f>
        <v>0</v>
      </c>
      <c r="AR346" s="316">
        <f ca="1">IF(AND($B347=0,AR$2&gt;1),AQ346,(AR345+AR356)*$B347/Параметры!AR$30)</f>
        <v>0</v>
      </c>
      <c r="AS346" s="316">
        <f ca="1">IF(AND($B347=0,AS$2&gt;1),AR346,(AS345+AS356)*$B347/Параметры!AS$30)</f>
        <v>0</v>
      </c>
      <c r="AT346" s="316">
        <f ca="1">IF(AND($B347=0,AT$2&gt;1),AS346,(AT345+AT356)*$B347/Параметры!AT$30)</f>
        <v>0</v>
      </c>
      <c r="AU346" s="316">
        <f ca="1">IF(AND($B347=0,AU$2&gt;1),AT346,(AU345+AU356)*$B347/Параметры!AU$30)</f>
        <v>0</v>
      </c>
      <c r="AV346" s="316">
        <f ca="1">IF(AND($B347=0,AV$2&gt;1),AU346,(AV345+AV356)*$B347/Параметры!AV$30)</f>
        <v>0</v>
      </c>
      <c r="AW346" s="168"/>
      <c r="AX346" s="87"/>
    </row>
    <row r="347" spans="1:50" hidden="1" outlineLevel="1" x14ac:dyDescent="0.2">
      <c r="A347" s="181" t="str">
        <f ca="1">Language!A$654</f>
        <v>период отсрочки платежа</v>
      </c>
      <c r="B347" s="320">
        <f>$B$648</f>
        <v>0</v>
      </c>
      <c r="C347" s="152" t="str">
        <f ca="1">Language!$A$1446</f>
        <v>дней</v>
      </c>
      <c r="D347" s="100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48"/>
      <c r="AX347" s="150"/>
    </row>
    <row r="348" spans="1:50" hidden="1" outlineLevel="1" x14ac:dyDescent="0.2">
      <c r="A348" s="179" t="str">
        <f ca="1">Language!A$655</f>
        <v>авансы уплаченные</v>
      </c>
      <c r="B348" s="188"/>
      <c r="C348" s="103" t="str">
        <f ca="1">CHOOSE(D348,CurName1,CurName2,CurName3)</f>
        <v>тыс. руб.</v>
      </c>
      <c r="D348" s="155">
        <f>D335</f>
        <v>1</v>
      </c>
      <c r="E348" s="57" t="s">
        <v>995</v>
      </c>
      <c r="F348" s="57" t="s">
        <v>754</v>
      </c>
      <c r="G348" s="316">
        <f ca="1">IF(AND($B349=0,G$2&gt;1),F348,(OFFSET(G345,0,1)+OFFSET(G356,0,1))*$B349/Параметры!G$30)</f>
        <v>0</v>
      </c>
      <c r="H348" s="316">
        <f ca="1">IF(AND($B349=0,H$2&gt;1),G348,(OFFSET(H345,0,1)+OFFSET(H356,0,1))*$B349/Параметры!H$30)</f>
        <v>0</v>
      </c>
      <c r="I348" s="316">
        <f ca="1">IF(AND($B349=0,I$2&gt;1),H348,(OFFSET(I345,0,1)+OFFSET(I356,0,1))*$B349/Параметры!I$30)</f>
        <v>0</v>
      </c>
      <c r="J348" s="316">
        <f ca="1">IF(AND($B349=0,J$2&gt;1),I348,(OFFSET(J345,0,1)+OFFSET(J356,0,1))*$B349/Параметры!J$30)</f>
        <v>0</v>
      </c>
      <c r="K348" s="316">
        <f ca="1">IF(AND($B349=0,K$2&gt;1),J348,(OFFSET(K345,0,1)+OFFSET(K356,0,1))*$B349/Параметры!K$30)</f>
        <v>0</v>
      </c>
      <c r="L348" s="316">
        <f ca="1">IF(AND($B349=0,L$2&gt;1),K348,(OFFSET(L345,0,1)+OFFSET(L356,0,1))*$B349/Параметры!L$30)</f>
        <v>0</v>
      </c>
      <c r="M348" s="316">
        <f ca="1">IF(AND($B349=0,M$2&gt;1),L348,(OFFSET(M345,0,1)+OFFSET(M356,0,1))*$B349/Параметры!M$30)</f>
        <v>0</v>
      </c>
      <c r="N348" s="316">
        <f ca="1">IF(AND($B349=0,N$2&gt;1),M348,(OFFSET(N345,0,1)+OFFSET(N356,0,1))*$B349/Параметры!N$30)</f>
        <v>0</v>
      </c>
      <c r="O348" s="316">
        <f ca="1">IF(AND($B349=0,O$2&gt;1),N348,(OFFSET(O345,0,1)+OFFSET(O356,0,1))*$B349/Параметры!O$30)</f>
        <v>0</v>
      </c>
      <c r="P348" s="316">
        <f ca="1">IF(AND($B349=0,P$2&gt;1),O348,(OFFSET(P345,0,1)+OFFSET(P356,0,1))*$B349/Параметры!P$30)</f>
        <v>0</v>
      </c>
      <c r="Q348" s="316">
        <f ca="1">IF(AND($B349=0,Q$2&gt;1),P348,(OFFSET(Q345,0,1)+OFFSET(Q356,0,1))*$B349/Параметры!Q$30)</f>
        <v>0</v>
      </c>
      <c r="R348" s="316">
        <f ca="1">IF(AND($B349=0,R$2&gt;1),Q348,(OFFSET(R345,0,1)+OFFSET(R356,0,1))*$B349/Параметры!R$30)</f>
        <v>0</v>
      </c>
      <c r="S348" s="316">
        <f ca="1">IF(AND($B349=0,S$2&gt;1),R348,(OFFSET(S345,0,1)+OFFSET(S356,0,1))*$B349/Параметры!S$30)</f>
        <v>0</v>
      </c>
      <c r="T348" s="316">
        <f ca="1">IF(AND($B349=0,T$2&gt;1),S348,(OFFSET(T345,0,1)+OFFSET(T356,0,1))*$B349/Параметры!T$30)</f>
        <v>0</v>
      </c>
      <c r="U348" s="316">
        <f ca="1">IF(AND($B349=0,U$2&gt;1),T348,(OFFSET(U345,0,1)+OFFSET(U356,0,1))*$B349/Параметры!U$30)</f>
        <v>0</v>
      </c>
      <c r="V348" s="316">
        <f ca="1">IF(AND($B349=0,V$2&gt;1),U348,(OFFSET(V345,0,1)+OFFSET(V356,0,1))*$B349/Параметры!V$30)</f>
        <v>0</v>
      </c>
      <c r="W348" s="316">
        <f ca="1">IF(AND($B349=0,W$2&gt;1),V348,(OFFSET(W345,0,1)+OFFSET(W356,0,1))*$B349/Параметры!W$30)</f>
        <v>0</v>
      </c>
      <c r="X348" s="316">
        <f ca="1">IF(AND($B349=0,X$2&gt;1),W348,(OFFSET(X345,0,1)+OFFSET(X356,0,1))*$B349/Параметры!X$30)</f>
        <v>0</v>
      </c>
      <c r="Y348" s="316">
        <f ca="1">IF(AND($B349=0,Y$2&gt;1),X348,(OFFSET(Y345,0,1)+OFFSET(Y356,0,1))*$B349/Параметры!Y$30)</f>
        <v>0</v>
      </c>
      <c r="Z348" s="316">
        <f ca="1">IF(AND($B349=0,Z$2&gt;1),Y348,(OFFSET(Z345,0,1)+OFFSET(Z356,0,1))*$B349/Параметры!Z$30)</f>
        <v>0</v>
      </c>
      <c r="AA348" s="316">
        <f ca="1">IF(AND($B349=0,AA$2&gt;1),Z348,(OFFSET(AA345,0,1)+OFFSET(AA356,0,1))*$B349/Параметры!AA$30)</f>
        <v>0</v>
      </c>
      <c r="AB348" s="316">
        <f ca="1">IF(AND($B349=0,AB$2&gt;1),AA348,(OFFSET(AB345,0,1)+OFFSET(AB356,0,1))*$B349/Параметры!AB$30)</f>
        <v>0</v>
      </c>
      <c r="AC348" s="316">
        <f ca="1">IF(AND($B349=0,AC$2&gt;1),AB348,(OFFSET(AC345,0,1)+OFFSET(AC356,0,1))*$B349/Параметры!AC$30)</f>
        <v>0</v>
      </c>
      <c r="AD348" s="316">
        <f ca="1">IF(AND($B349=0,AD$2&gt;1),AC348,(OFFSET(AD345,0,1)+OFFSET(AD356,0,1))*$B349/Параметры!AD$30)</f>
        <v>0</v>
      </c>
      <c r="AE348" s="316">
        <f ca="1">IF(AND($B349=0,AE$2&gt;1),AD348,(OFFSET(AE345,0,1)+OFFSET(AE356,0,1))*$B349/Параметры!AE$30)</f>
        <v>0</v>
      </c>
      <c r="AF348" s="316">
        <f ca="1">IF(AND($B349=0,AF$2&gt;1),AE348,(OFFSET(AF345,0,1)+OFFSET(AF356,0,1))*$B349/Параметры!AF$30)</f>
        <v>0</v>
      </c>
      <c r="AG348" s="316">
        <f ca="1">IF(AND($B349=0,AG$2&gt;1),AF348,(OFFSET(AG345,0,1)+OFFSET(AG356,0,1))*$B349/Параметры!AG$30)</f>
        <v>0</v>
      </c>
      <c r="AH348" s="316">
        <f ca="1">IF(AND($B349=0,AH$2&gt;1),AG348,(OFFSET(AH345,0,1)+OFFSET(AH356,0,1))*$B349/Параметры!AH$30)</f>
        <v>0</v>
      </c>
      <c r="AI348" s="316">
        <f ca="1">IF(AND($B349=0,AI$2&gt;1),AH348,(OFFSET(AI345,0,1)+OFFSET(AI356,0,1))*$B349/Параметры!AI$30)</f>
        <v>0</v>
      </c>
      <c r="AJ348" s="316">
        <f ca="1">IF(AND($B349=0,AJ$2&gt;1),AI348,(OFFSET(AJ345,0,1)+OFFSET(AJ356,0,1))*$B349/Параметры!AJ$30)</f>
        <v>0</v>
      </c>
      <c r="AK348" s="316">
        <f ca="1">IF(AND($B349=0,AK$2&gt;1),AJ348,(OFFSET(AK345,0,1)+OFFSET(AK356,0,1))*$B349/Параметры!AK$30)</f>
        <v>0</v>
      </c>
      <c r="AL348" s="316">
        <f ca="1">IF(AND($B349=0,AL$2&gt;1),AK348,(OFFSET(AL345,0,1)+OFFSET(AL356,0,1))*$B349/Параметры!AL$30)</f>
        <v>0</v>
      </c>
      <c r="AM348" s="316">
        <f ca="1">IF(AND($B349=0,AM$2&gt;1),AL348,(OFFSET(AM345,0,1)+OFFSET(AM356,0,1))*$B349/Параметры!AM$30)</f>
        <v>0</v>
      </c>
      <c r="AN348" s="316">
        <f ca="1">IF(AND($B349=0,AN$2&gt;1),AM348,(OFFSET(AN345,0,1)+OFFSET(AN356,0,1))*$B349/Параметры!AN$30)</f>
        <v>0</v>
      </c>
      <c r="AO348" s="316">
        <f ca="1">IF(AND($B349=0,AO$2&gt;1),AN348,(OFFSET(AO345,0,1)+OFFSET(AO356,0,1))*$B349/Параметры!AO$30)</f>
        <v>0</v>
      </c>
      <c r="AP348" s="316">
        <f ca="1">IF(AND($B349=0,AP$2&gt;1),AO348,(OFFSET(AP345,0,1)+OFFSET(AP356,0,1))*$B349/Параметры!AP$30)</f>
        <v>0</v>
      </c>
      <c r="AQ348" s="316">
        <f ca="1">IF(AND($B349=0,AQ$2&gt;1),AP348,(OFFSET(AQ345,0,1)+OFFSET(AQ356,0,1))*$B349/Параметры!AQ$30)</f>
        <v>0</v>
      </c>
      <c r="AR348" s="316">
        <f ca="1">IF(AND($B349=0,AR$2&gt;1),AQ348,(OFFSET(AR345,0,1)+OFFSET(AR356,0,1))*$B349/Параметры!AR$30)</f>
        <v>0</v>
      </c>
      <c r="AS348" s="316">
        <f ca="1">IF(AND($B349=0,AS$2&gt;1),AR348,(OFFSET(AS345,0,1)+OFFSET(AS356,0,1))*$B349/Параметры!AS$30)</f>
        <v>0</v>
      </c>
      <c r="AT348" s="316">
        <f ca="1">IF(AND($B349=0,AT$2&gt;1),AS348,(OFFSET(AT345,0,1)+OFFSET(AT356,0,1))*$B349/Параметры!AT$30)</f>
        <v>0</v>
      </c>
      <c r="AU348" s="316">
        <f ca="1">IF(AND($B349=0,AU$2&gt;1),AT348,(OFFSET(AU345,0,1)+OFFSET(AU356,0,1))*$B349/Параметры!AU$30)</f>
        <v>0</v>
      </c>
      <c r="AV348" s="316">
        <f ca="1">IF(AND($B349=0,AV$2&gt;1),AU348,(OFFSET(AV345,0,1)+OFFSET(AV356,0,1))*$B349/Параметры!AV$30)</f>
        <v>0</v>
      </c>
      <c r="AW348" s="168"/>
      <c r="AX348" s="182"/>
    </row>
    <row r="349" spans="1:50" hidden="1" outlineLevel="1" x14ac:dyDescent="0.2">
      <c r="A349" s="181" t="str">
        <f ca="1">Language!A$656</f>
        <v>период предоплаты</v>
      </c>
      <c r="B349" s="320">
        <f>$B$654</f>
        <v>0</v>
      </c>
      <c r="C349" s="152" t="str">
        <f ca="1">Language!$A$1446</f>
        <v>дней</v>
      </c>
      <c r="D349" s="100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48"/>
      <c r="AX349" s="150"/>
    </row>
    <row r="350" spans="1:50" hidden="1" outlineLevel="1" x14ac:dyDescent="0.2">
      <c r="A350" s="179" t="str">
        <f ca="1">Language!A$657</f>
        <v>оплата расходов, c НДС</v>
      </c>
      <c r="B350" s="57"/>
      <c r="C350" s="82" t="str">
        <f t="shared" ref="C350" ca="1" si="1948">CHOOSE(D350,CurName1,CurName2,CurName3)</f>
        <v>тыс. руб.</v>
      </c>
      <c r="D350" s="155">
        <f>D335</f>
        <v>1</v>
      </c>
      <c r="E350" s="57" t="s">
        <v>993</v>
      </c>
      <c r="F350" s="57" t="s">
        <v>753</v>
      </c>
      <c r="G350" s="180">
        <f ca="1">G345+G356-IF(G$2=1,G346,G346-F346)+IF(G$2=1,G348,G348-F348)</f>
        <v>58504.737774999994</v>
      </c>
      <c r="H350" s="180">
        <f t="shared" ref="H350" ca="1" si="1949">H345+H356-IF(H$2=1,H346,H346-G346)+IF(H$2=1,H348,H348-G348)</f>
        <v>59363.227297248086</v>
      </c>
      <c r="I350" s="180">
        <f t="shared" ref="I350" ca="1" si="1950">I345+I356-IF(I$2=1,I346,I346-H346)+IF(I$2=1,I348,I348-H348)</f>
        <v>67426.762339623994</v>
      </c>
      <c r="J350" s="180">
        <f t="shared" ref="J350" ca="1" si="1951">J345+J356-IF(J$2=1,J346,J346-I346)+IF(J$2=1,J348,J348-I348)</f>
        <v>68416.172277846388</v>
      </c>
      <c r="K350" s="180">
        <f t="shared" ref="K350" ca="1" si="1952">K345+K356-IF(K$2=1,K346,K346-J346)+IF(K$2=1,K348,K348-J348)</f>
        <v>69420.100665300008</v>
      </c>
      <c r="L350" s="180">
        <f t="shared" ref="L350" ca="1" si="1953">L345+L356-IF(L$2=1,L346,L346-K346)+IF(L$2=1,L348,L348-K348)</f>
        <v>70438.760543475466</v>
      </c>
      <c r="M350" s="180">
        <f t="shared" ref="M350" ca="1" si="1954">M345+M356-IF(M$2=1,M346,M346-L346)+IF(M$2=1,M348,M348-L348)</f>
        <v>77406.705456550102</v>
      </c>
      <c r="N350" s="180">
        <f t="shared" ref="N350" ca="1" si="1955">N345+N356-IF(N$2=1,N346,N346-M346)+IF(N$2=1,N348,N348-M348)</f>
        <v>78542.559544842225</v>
      </c>
      <c r="O350" s="180">
        <f t="shared" ref="O350" ca="1" si="1956">O345+O356-IF(O$2=1,O346,O346-N346)+IF(O$2=1,O348,O348-N348)</f>
        <v>79695.080981296007</v>
      </c>
      <c r="P350" s="180">
        <f t="shared" ref="P350" ca="1" si="1957">P345+P356-IF(P$2=1,P346,P346-O346)+IF(P$2=1,P348,P348-O348)</f>
        <v>80864.514340014386</v>
      </c>
      <c r="Q350" s="180">
        <f t="shared" ref="Q350" ca="1" si="1958">Q345+Q356-IF(Q$2=1,Q346,Q346-P346)+IF(Q$2=1,Q348,Q348-P348)</f>
        <v>88814.700906367885</v>
      </c>
      <c r="R350" s="180">
        <f t="shared" ref="R350" ca="1" si="1959">R345+R356-IF(R$2=1,R346,R346-Q346)+IF(R$2=1,R348,R348-Q348)</f>
        <v>90117.954164983414</v>
      </c>
      <c r="S350" s="180">
        <f t="shared" ref="S350" ca="1" si="1960">S345+S356-IF(S$2=1,S346,S346-R346)+IF(S$2=1,S348,S348-R348)</f>
        <v>91440.331161434675</v>
      </c>
      <c r="T350" s="180">
        <f t="shared" ref="T350" ca="1" si="1961">T345+T356-IF(T$2=1,T346,T346-S346)+IF(T$2=1,T348,T348-S348)</f>
        <v>92782.11251450883</v>
      </c>
      <c r="U350" s="180">
        <f t="shared" ref="U350" ca="1" si="1962">U345+U356-IF(U$2=1,U346,U346-T346)+IF(U$2=1,U348,U348-T348)</f>
        <v>98518.775263950476</v>
      </c>
      <c r="V350" s="180">
        <f t="shared" ref="V350" ca="1" si="1963">V345+V356-IF(V$2=1,V346,V346-U346)+IF(V$2=1,V348,V348-U348)</f>
        <v>99964.42461689841</v>
      </c>
      <c r="W350" s="180">
        <f t="shared" ref="W350" ca="1" si="1964">W345+W356-IF(W$2=1,W346,W346-V346)+IF(W$2=1,W348,W348-V348)</f>
        <v>101431.28720606532</v>
      </c>
      <c r="X350" s="180">
        <f t="shared" ref="X350" ca="1" si="1965">X345+X356-IF(X$2=1,X346,X346-W346)+IF(X$2=1,X348,X348-W348)</f>
        <v>102919.67431121622</v>
      </c>
      <c r="Y350" s="180">
        <f t="shared" ref="Y350" ca="1" si="1966">Y345+Y356-IF(Y$2=1,Y346,Y346-X346)+IF(Y$2=1,Y348,Y348-X348)</f>
        <v>106862.09625671819</v>
      </c>
      <c r="Z350" s="180">
        <f t="shared" ref="Z350" ca="1" si="1967">Z345+Z356-IF(Z$2=1,Z346,Z346-Y346)+IF(Z$2=1,Z348,Z348-Y348)</f>
        <v>108430.17421844971</v>
      </c>
      <c r="AA350" s="180">
        <f t="shared" ref="AA350" ca="1" si="1968">AA345+AA356-IF(AA$2=1,AA346,AA346-Z346)+IF(AA$2=1,AA348,AA348-Z348)</f>
        <v>110021.2619149722</v>
      </c>
      <c r="AB350" s="180">
        <f t="shared" ref="AB350" ca="1" si="1969">AB345+AB356-IF(AB$2=1,AB346,AB346-AA346)+IF(AB$2=1,AB348,AB348-AA348)</f>
        <v>111635.69698759427</v>
      </c>
      <c r="AC350" s="180">
        <f t="shared" ref="AC350" ca="1" si="1970">AC345+AC356-IF(AC$2=1,AC346,AC346-AB346)+IF(AC$2=1,AC348,AC348-AB348)</f>
        <v>115142.44224839206</v>
      </c>
      <c r="AD350" s="180">
        <f t="shared" ref="AD350" ca="1" si="1971">AD345+AD356-IF(AD$2=1,AD346,AD346-AC346)+IF(AD$2=1,AD348,AD348-AC348)</f>
        <v>116832.0247334287</v>
      </c>
      <c r="AE350" s="180">
        <f t="shared" ref="AE350" ca="1" si="1972">AE345+AE356-IF(AE$2=1,AE346,AE346-AD346)+IF(AE$2=1,AE348,AE348-AD348)</f>
        <v>118546.39989194002</v>
      </c>
      <c r="AF350" s="180">
        <f t="shared" ref="AF350" ca="1" si="1973">AF345+AF356-IF(AF$2=1,AF346,AF346-AE346)+IF(AF$2=1,AF348,AF348-AE348)</f>
        <v>120285.93152780272</v>
      </c>
      <c r="AG350" s="180">
        <f t="shared" ref="AG350" ca="1" si="1974">AG345+AG356-IF(AG$2=1,AG346,AG346-AF346)+IF(AG$2=1,AG348,AG348-AF348)</f>
        <v>122367.30387169274</v>
      </c>
      <c r="AH350" s="180">
        <f t="shared" ref="AH350" ca="1" si="1975">AH345+AH356-IF(AH$2=1,AH346,AH346-AG346)+IF(AH$2=1,AH348,AH348-AG348)</f>
        <v>124162.90286477953</v>
      </c>
      <c r="AI350" s="180">
        <f t="shared" ref="AI350" ca="1" si="1976">AI345+AI356-IF(AI$2=1,AI346,AI346-AH346)+IF(AI$2=1,AI348,AI348-AH348)</f>
        <v>125984.85020127149</v>
      </c>
      <c r="AJ350" s="180">
        <f t="shared" ref="AJ350" ca="1" si="1977">AJ345+AJ356-IF(AJ$2=1,AJ346,AJ346-AI346)+IF(AJ$2=1,AJ348,AJ348-AI348)</f>
        <v>127833.53251270653</v>
      </c>
      <c r="AK350" s="180">
        <f t="shared" ref="AK350" ca="1" si="1978">AK345+AK356-IF(AK$2=1,AK346,AK346-AJ346)+IF(AK$2=1,AK348,AK348-AJ348)</f>
        <v>129931.19490923492</v>
      </c>
      <c r="AL350" s="180">
        <f t="shared" ref="AL350" ca="1" si="1979">AL345+AL356-IF(AL$2=1,AL346,AL346-AK346)+IF(AL$2=1,AL348,AL348-AK348)</f>
        <v>131837.78527584314</v>
      </c>
      <c r="AM350" s="180">
        <f t="shared" ref="AM350" ca="1" si="1980">AM345+AM356-IF(AM$2=1,AM346,AM346-AL346)+IF(AM$2=1,AM348,AM348-AL348)</f>
        <v>133772.35265619759</v>
      </c>
      <c r="AN350" s="180">
        <f t="shared" ref="AN350" ca="1" si="1981">AN345+AN356-IF(AN$2=1,AN346,AN346-AM346)+IF(AN$2=1,AN348,AN348-AM348)</f>
        <v>135735.30758069429</v>
      </c>
      <c r="AO350" s="180">
        <f t="shared" ref="AO350" ca="1" si="1982">AO345+AO356-IF(AO$2=1,AO346,AO346-AN346)+IF(AO$2=1,AO348,AO348-AN348)</f>
        <v>138100.02589340755</v>
      </c>
      <c r="AP350" s="180">
        <f t="shared" ref="AP350" ca="1" si="1983">AP345+AP356-IF(AP$2=1,AP346,AP346-AO346)+IF(AP$2=1,AP348,AP348-AO348)</f>
        <v>140126.48442925527</v>
      </c>
      <c r="AQ350" s="180">
        <f t="shared" ref="AQ350" ca="1" si="1984">AQ345+AQ356-IF(AQ$2=1,AQ346,AQ346-AP346)+IF(AQ$2=1,AQ348,AQ348-AP348)</f>
        <v>142182.67890592519</v>
      </c>
      <c r="AR350" s="180">
        <f t="shared" ref="AR350" ca="1" si="1985">AR345+AR356-IF(AR$2=1,AR346,AR346-AQ346)+IF(AR$2=1,AR348,AR348-AQ348)</f>
        <v>144269.04566403863</v>
      </c>
      <c r="AS350" s="180">
        <f t="shared" ref="AS350" ca="1" si="1986">AS345+AS356-IF(AS$2=1,AS346,AS346-AR346)+IF(AS$2=1,AS348,AS348-AR348)</f>
        <v>150889.4934895506</v>
      </c>
      <c r="AT350" s="180">
        <f t="shared" ref="AT350" ca="1" si="1987">AT345+AT356-IF(AT$2=1,AT346,AT346-AS346)+IF(AT$2=1,AT348,AT348-AS348)</f>
        <v>153103.6227054832</v>
      </c>
      <c r="AU350" s="180">
        <f t="shared" ref="AU350" ca="1" si="1988">AU345+AU356-IF(AU$2=1,AU346,AU346-AT346)+IF(AU$2=1,AU348,AU348-AT348)</f>
        <v>155350.24171292791</v>
      </c>
      <c r="AV350" s="180">
        <f t="shared" ref="AV350" ca="1" si="1989">AV345+AV356-IF(AV$2=1,AV346,AV346-AU346)+IF(AV$2=1,AV348,AV348-AU348)</f>
        <v>157629.82726208743</v>
      </c>
      <c r="AW350" s="180"/>
      <c r="AX350" s="169">
        <f ca="1">SUM(G350:AW350)</f>
        <v>4597100.5590810152</v>
      </c>
    </row>
    <row r="351" spans="1:50" hidden="1" outlineLevel="1" x14ac:dyDescent="0.2">
      <c r="A351" s="167" t="str">
        <f ca="1">Language!A$658</f>
        <v>темп изменения цен</v>
      </c>
      <c r="B351" s="191"/>
      <c r="C351" s="103" t="str">
        <f ca="1">Language!$A$471</f>
        <v>% в год</v>
      </c>
      <c r="D351" s="153"/>
      <c r="F351" s="57" t="s">
        <v>756</v>
      </c>
      <c r="G351" s="324">
        <f>CHOOSE($D335,Параметры!G$48,Параметры!G$56,Параметры!G$62)</f>
        <v>0.06</v>
      </c>
      <c r="H351" s="324">
        <f>CHOOSE($D335,Параметры!H$48,Параметры!H$56,Параметры!H$62)</f>
        <v>0.06</v>
      </c>
      <c r="I351" s="324">
        <f>CHOOSE($D335,Параметры!I$48,Параметры!I$56,Параметры!I$62)</f>
        <v>0.06</v>
      </c>
      <c r="J351" s="324">
        <f>CHOOSE($D335,Параметры!J$48,Параметры!J$56,Параметры!J$62)</f>
        <v>0.06</v>
      </c>
      <c r="K351" s="324">
        <f>CHOOSE($D335,Параметры!K$48,Параметры!K$56,Параметры!K$62)</f>
        <v>0.06</v>
      </c>
      <c r="L351" s="324">
        <f>CHOOSE($D335,Параметры!L$48,Параметры!L$56,Параметры!L$62)</f>
        <v>0.06</v>
      </c>
      <c r="M351" s="324">
        <f>CHOOSE($D335,Параметры!M$48,Параметры!M$56,Параметры!M$62)</f>
        <v>0.06</v>
      </c>
      <c r="N351" s="324">
        <f>CHOOSE($D335,Параметры!N$48,Параметры!N$56,Параметры!N$62)</f>
        <v>0.06</v>
      </c>
      <c r="O351" s="324">
        <f>CHOOSE($D335,Параметры!O$48,Параметры!O$56,Параметры!O$62)</f>
        <v>0.06</v>
      </c>
      <c r="P351" s="324">
        <f>CHOOSE($D335,Параметры!P$48,Параметры!P$56,Параметры!P$62)</f>
        <v>0.06</v>
      </c>
      <c r="Q351" s="324">
        <f>CHOOSE($D335,Параметры!Q$48,Параметры!Q$56,Параметры!Q$62)</f>
        <v>0.06</v>
      </c>
      <c r="R351" s="324">
        <f>CHOOSE($D335,Параметры!R$48,Параметры!R$56,Параметры!R$62)</f>
        <v>0.06</v>
      </c>
      <c r="S351" s="324">
        <f>CHOOSE($D335,Параметры!S$48,Параметры!S$56,Параметры!S$62)</f>
        <v>0.06</v>
      </c>
      <c r="T351" s="324">
        <f>CHOOSE($D335,Параметры!T$48,Параметры!T$56,Параметры!T$62)</f>
        <v>0.06</v>
      </c>
      <c r="U351" s="324">
        <f>CHOOSE($D335,Параметры!U$48,Параметры!U$56,Параметры!U$62)</f>
        <v>0.06</v>
      </c>
      <c r="V351" s="324">
        <f>CHOOSE($D335,Параметры!V$48,Параметры!V$56,Параметры!V$62)</f>
        <v>0.06</v>
      </c>
      <c r="W351" s="324">
        <f>CHOOSE($D335,Параметры!W$48,Параметры!W$56,Параметры!W$62)</f>
        <v>0.06</v>
      </c>
      <c r="X351" s="324">
        <f>CHOOSE($D335,Параметры!X$48,Параметры!X$56,Параметры!X$62)</f>
        <v>0.06</v>
      </c>
      <c r="Y351" s="324">
        <f>CHOOSE($D335,Параметры!Y$48,Параметры!Y$56,Параметры!Y$62)</f>
        <v>0.06</v>
      </c>
      <c r="Z351" s="324">
        <f>CHOOSE($D335,Параметры!Z$48,Параметры!Z$56,Параметры!Z$62)</f>
        <v>0.06</v>
      </c>
      <c r="AA351" s="324">
        <f>CHOOSE($D335,Параметры!AA$48,Параметры!AA$56,Параметры!AA$62)</f>
        <v>0.06</v>
      </c>
      <c r="AB351" s="324">
        <f>CHOOSE($D335,Параметры!AB$48,Параметры!AB$56,Параметры!AB$62)</f>
        <v>0.06</v>
      </c>
      <c r="AC351" s="324">
        <f>CHOOSE($D335,Параметры!AC$48,Параметры!AC$56,Параметры!AC$62)</f>
        <v>0.06</v>
      </c>
      <c r="AD351" s="324">
        <f>CHOOSE($D335,Параметры!AD$48,Параметры!AD$56,Параметры!AD$62)</f>
        <v>0.06</v>
      </c>
      <c r="AE351" s="324">
        <f>CHOOSE($D335,Параметры!AE$48,Параметры!AE$56,Параметры!AE$62)</f>
        <v>0.06</v>
      </c>
      <c r="AF351" s="324">
        <f>CHOOSE($D335,Параметры!AF$48,Параметры!AF$56,Параметры!AF$62)</f>
        <v>0.06</v>
      </c>
      <c r="AG351" s="324">
        <f>CHOOSE($D335,Параметры!AG$48,Параметры!AG$56,Параметры!AG$62)</f>
        <v>0.06</v>
      </c>
      <c r="AH351" s="324">
        <f>CHOOSE($D335,Параметры!AH$48,Параметры!AH$56,Параметры!AH$62)</f>
        <v>0.06</v>
      </c>
      <c r="AI351" s="324">
        <f>CHOOSE($D335,Параметры!AI$48,Параметры!AI$56,Параметры!AI$62)</f>
        <v>0.06</v>
      </c>
      <c r="AJ351" s="324">
        <f>CHOOSE($D335,Параметры!AJ$48,Параметры!AJ$56,Параметры!AJ$62)</f>
        <v>0.06</v>
      </c>
      <c r="AK351" s="324">
        <f>CHOOSE($D335,Параметры!AK$48,Параметры!AK$56,Параметры!AK$62)</f>
        <v>0.06</v>
      </c>
      <c r="AL351" s="324">
        <f>CHOOSE($D335,Параметры!AL$48,Параметры!AL$56,Параметры!AL$62)</f>
        <v>0.06</v>
      </c>
      <c r="AM351" s="324">
        <f>CHOOSE($D335,Параметры!AM$48,Параметры!AM$56,Параметры!AM$62)</f>
        <v>0.06</v>
      </c>
      <c r="AN351" s="324">
        <f>CHOOSE($D335,Параметры!AN$48,Параметры!AN$56,Параметры!AN$62)</f>
        <v>0.06</v>
      </c>
      <c r="AO351" s="324">
        <f>CHOOSE($D335,Параметры!AO$48,Параметры!AO$56,Параметры!AO$62)</f>
        <v>0.06</v>
      </c>
      <c r="AP351" s="324">
        <f>CHOOSE($D335,Параметры!AP$48,Параметры!AP$56,Параметры!AP$62)</f>
        <v>0.06</v>
      </c>
      <c r="AQ351" s="324">
        <f>CHOOSE($D335,Параметры!AQ$48,Параметры!AQ$56,Параметры!AQ$62)</f>
        <v>0.06</v>
      </c>
      <c r="AR351" s="324">
        <f>CHOOSE($D335,Параметры!AR$48,Параметры!AR$56,Параметры!AR$62)</f>
        <v>0.06</v>
      </c>
      <c r="AS351" s="324">
        <f>CHOOSE($D335,Параметры!AS$48,Параметры!AS$56,Параметры!AS$62)</f>
        <v>0.06</v>
      </c>
      <c r="AT351" s="324">
        <f>CHOOSE($D335,Параметры!AT$48,Параметры!AT$56,Параметры!AT$62)</f>
        <v>0.06</v>
      </c>
      <c r="AU351" s="324">
        <f>CHOOSE($D335,Параметры!AU$48,Параметры!AU$56,Параметры!AU$62)</f>
        <v>0.06</v>
      </c>
      <c r="AV351" s="324">
        <f>CHOOSE($D335,Параметры!AV$48,Параметры!AV$56,Параметры!AV$62)</f>
        <v>0.06</v>
      </c>
      <c r="AW351" s="192"/>
      <c r="AX351" s="184"/>
    </row>
    <row r="352" spans="1:50" hidden="1" outlineLevel="1" x14ac:dyDescent="0.2">
      <c r="A352" s="167" t="str">
        <f ca="1">Language!A$659</f>
        <v>ставка НДС</v>
      </c>
      <c r="B352" s="191"/>
      <c r="C352" s="103" t="s">
        <v>1</v>
      </c>
      <c r="D352" s="155"/>
      <c r="F352" s="57" t="s">
        <v>756</v>
      </c>
      <c r="G352" s="321">
        <f>Параметры!G$72*10/18</f>
        <v>9.9999999999999992E-2</v>
      </c>
      <c r="H352" s="321">
        <f>Параметры!H$72*10/18</f>
        <v>9.9999999999999992E-2</v>
      </c>
      <c r="I352" s="321">
        <f>Параметры!I$72*10/18</f>
        <v>9.9999999999999992E-2</v>
      </c>
      <c r="J352" s="321">
        <f>Параметры!J$72*10/18</f>
        <v>9.9999999999999992E-2</v>
      </c>
      <c r="K352" s="321">
        <f>Параметры!K$72*10/18</f>
        <v>9.9999999999999992E-2</v>
      </c>
      <c r="L352" s="321">
        <f>Параметры!L$72*10/18</f>
        <v>9.9999999999999992E-2</v>
      </c>
      <c r="M352" s="321">
        <f>Параметры!M$72*10/18</f>
        <v>9.9999999999999992E-2</v>
      </c>
      <c r="N352" s="321">
        <f>Параметры!N$72*10/18</f>
        <v>9.9999999999999992E-2</v>
      </c>
      <c r="O352" s="321">
        <f>Параметры!O$72*10/18</f>
        <v>9.9999999999999992E-2</v>
      </c>
      <c r="P352" s="321">
        <f>Параметры!P$72*10/18</f>
        <v>9.9999999999999992E-2</v>
      </c>
      <c r="Q352" s="321">
        <f>Параметры!Q$72*10/18</f>
        <v>9.9999999999999992E-2</v>
      </c>
      <c r="R352" s="321">
        <f>Параметры!R$72*10/18</f>
        <v>9.9999999999999992E-2</v>
      </c>
      <c r="S352" s="321">
        <f>Параметры!S$72*10/18</f>
        <v>9.9999999999999992E-2</v>
      </c>
      <c r="T352" s="321">
        <f>Параметры!T$72*10/18</f>
        <v>9.9999999999999992E-2</v>
      </c>
      <c r="U352" s="321">
        <f>Параметры!U$72*10/18</f>
        <v>9.9999999999999992E-2</v>
      </c>
      <c r="V352" s="321">
        <f>Параметры!V$72*10/18</f>
        <v>9.9999999999999992E-2</v>
      </c>
      <c r="W352" s="321">
        <f>Параметры!W$72*10/18</f>
        <v>9.9999999999999992E-2</v>
      </c>
      <c r="X352" s="321">
        <f>Параметры!X$72*10/18</f>
        <v>9.9999999999999992E-2</v>
      </c>
      <c r="Y352" s="321">
        <f>Параметры!Y$72*10/18</f>
        <v>9.9999999999999992E-2</v>
      </c>
      <c r="Z352" s="321">
        <f>Параметры!Z$72*10/18</f>
        <v>9.9999999999999992E-2</v>
      </c>
      <c r="AA352" s="321">
        <f>Параметры!AA$72*10/18</f>
        <v>9.9999999999999992E-2</v>
      </c>
      <c r="AB352" s="321">
        <f>Параметры!AB$72*10/18</f>
        <v>9.9999999999999992E-2</v>
      </c>
      <c r="AC352" s="321">
        <f>Параметры!AC$72*10/18</f>
        <v>9.9999999999999992E-2</v>
      </c>
      <c r="AD352" s="321">
        <f>Параметры!AD$72*10/18</f>
        <v>9.9999999999999992E-2</v>
      </c>
      <c r="AE352" s="321">
        <f>Параметры!AE$72*10/18</f>
        <v>9.9999999999999992E-2</v>
      </c>
      <c r="AF352" s="321">
        <f>Параметры!AF$72*10/18</f>
        <v>9.9999999999999992E-2</v>
      </c>
      <c r="AG352" s="321">
        <f>Параметры!AG$72*10/18</f>
        <v>9.9999999999999992E-2</v>
      </c>
      <c r="AH352" s="321">
        <f>Параметры!AH$72*10/18</f>
        <v>9.9999999999999992E-2</v>
      </c>
      <c r="AI352" s="321">
        <f>Параметры!AI$72*10/18</f>
        <v>9.9999999999999992E-2</v>
      </c>
      <c r="AJ352" s="321">
        <f>Параметры!AJ$72*10/18</f>
        <v>9.9999999999999992E-2</v>
      </c>
      <c r="AK352" s="321">
        <f>Параметры!AK$72*10/18</f>
        <v>9.9999999999999992E-2</v>
      </c>
      <c r="AL352" s="321">
        <f>Параметры!AL$72*10/18</f>
        <v>9.9999999999999992E-2</v>
      </c>
      <c r="AM352" s="321">
        <f>Параметры!AM$72*10/18</f>
        <v>9.9999999999999992E-2</v>
      </c>
      <c r="AN352" s="321">
        <f>Параметры!AN$72*10/18</f>
        <v>9.9999999999999992E-2</v>
      </c>
      <c r="AO352" s="321">
        <f>Параметры!AO$72*10/18</f>
        <v>9.9999999999999992E-2</v>
      </c>
      <c r="AP352" s="321">
        <f>Параметры!AP$72*10/18</f>
        <v>9.9999999999999992E-2</v>
      </c>
      <c r="AQ352" s="321">
        <f>Параметры!AQ$72*10/18</f>
        <v>9.9999999999999992E-2</v>
      </c>
      <c r="AR352" s="321">
        <f>Параметры!AR$72*10/18</f>
        <v>9.9999999999999992E-2</v>
      </c>
      <c r="AS352" s="321">
        <f>Параметры!AS$72*10/18</f>
        <v>9.9999999999999992E-2</v>
      </c>
      <c r="AT352" s="321">
        <f>Параметры!AT$72*10/18</f>
        <v>9.9999999999999992E-2</v>
      </c>
      <c r="AU352" s="321">
        <f>Параметры!AU$72*10/18</f>
        <v>9.9999999999999992E-2</v>
      </c>
      <c r="AV352" s="321">
        <f>Параметры!AV$72*10/18</f>
        <v>9.9999999999999992E-2</v>
      </c>
      <c r="AW352" s="192"/>
      <c r="AX352" s="182"/>
    </row>
    <row r="353" spans="1:50" hidden="1" outlineLevel="1" x14ac:dyDescent="0.2">
      <c r="A353" s="167" t="str">
        <f ca="1">Language!A$660</f>
        <v>ставка импортной пошлины</v>
      </c>
      <c r="B353" s="191"/>
      <c r="C353" s="103" t="s">
        <v>1</v>
      </c>
      <c r="D353" s="155"/>
      <c r="F353" s="57" t="s">
        <v>756</v>
      </c>
      <c r="G353" s="324">
        <v>0</v>
      </c>
      <c r="H353" s="324">
        <f t="shared" ref="H353" si="1990">G353</f>
        <v>0</v>
      </c>
      <c r="I353" s="324">
        <f t="shared" ref="I353" si="1991">H353</f>
        <v>0</v>
      </c>
      <c r="J353" s="324">
        <f t="shared" ref="J353" si="1992">I353</f>
        <v>0</v>
      </c>
      <c r="K353" s="324">
        <f t="shared" ref="K353" si="1993">J353</f>
        <v>0</v>
      </c>
      <c r="L353" s="324">
        <f t="shared" ref="L353" si="1994">K353</f>
        <v>0</v>
      </c>
      <c r="M353" s="324">
        <f t="shared" ref="M353" si="1995">L353</f>
        <v>0</v>
      </c>
      <c r="N353" s="324">
        <f t="shared" ref="N353" si="1996">M353</f>
        <v>0</v>
      </c>
      <c r="O353" s="324">
        <f t="shared" ref="O353" si="1997">N353</f>
        <v>0</v>
      </c>
      <c r="P353" s="324">
        <f t="shared" ref="P353" si="1998">O353</f>
        <v>0</v>
      </c>
      <c r="Q353" s="324">
        <f t="shared" ref="Q353" si="1999">P353</f>
        <v>0</v>
      </c>
      <c r="R353" s="324">
        <f t="shared" ref="R353" si="2000">Q353</f>
        <v>0</v>
      </c>
      <c r="S353" s="324">
        <f t="shared" ref="S353" si="2001">R353</f>
        <v>0</v>
      </c>
      <c r="T353" s="324">
        <f t="shared" ref="T353" si="2002">S353</f>
        <v>0</v>
      </c>
      <c r="U353" s="324">
        <f t="shared" ref="U353" si="2003">T353</f>
        <v>0</v>
      </c>
      <c r="V353" s="324">
        <f t="shared" ref="V353" si="2004">U353</f>
        <v>0</v>
      </c>
      <c r="W353" s="324">
        <f t="shared" ref="W353" si="2005">V353</f>
        <v>0</v>
      </c>
      <c r="X353" s="324">
        <f t="shared" ref="X353" si="2006">W353</f>
        <v>0</v>
      </c>
      <c r="Y353" s="324">
        <f t="shared" ref="Y353" si="2007">X353</f>
        <v>0</v>
      </c>
      <c r="Z353" s="324">
        <f t="shared" ref="Z353" si="2008">Y353</f>
        <v>0</v>
      </c>
      <c r="AA353" s="324">
        <f t="shared" ref="AA353" si="2009">Z353</f>
        <v>0</v>
      </c>
      <c r="AB353" s="324">
        <f t="shared" ref="AB353" si="2010">AA353</f>
        <v>0</v>
      </c>
      <c r="AC353" s="324">
        <f t="shared" ref="AC353" si="2011">AB353</f>
        <v>0</v>
      </c>
      <c r="AD353" s="324">
        <f t="shared" ref="AD353" si="2012">AC353</f>
        <v>0</v>
      </c>
      <c r="AE353" s="324">
        <f t="shared" ref="AE353" si="2013">AD353</f>
        <v>0</v>
      </c>
      <c r="AF353" s="324">
        <f t="shared" ref="AF353" si="2014">AE353</f>
        <v>0</v>
      </c>
      <c r="AG353" s="324">
        <f t="shared" ref="AG353" si="2015">AF353</f>
        <v>0</v>
      </c>
      <c r="AH353" s="324">
        <f t="shared" ref="AH353" si="2016">AG353</f>
        <v>0</v>
      </c>
      <c r="AI353" s="324">
        <f t="shared" ref="AI353" si="2017">AH353</f>
        <v>0</v>
      </c>
      <c r="AJ353" s="324">
        <f t="shared" ref="AJ353" si="2018">AI353</f>
        <v>0</v>
      </c>
      <c r="AK353" s="324">
        <f t="shared" ref="AK353" si="2019">AJ353</f>
        <v>0</v>
      </c>
      <c r="AL353" s="324">
        <f t="shared" ref="AL353" si="2020">AK353</f>
        <v>0</v>
      </c>
      <c r="AM353" s="324">
        <f t="shared" ref="AM353" si="2021">AL353</f>
        <v>0</v>
      </c>
      <c r="AN353" s="324">
        <f t="shared" ref="AN353" si="2022">AM353</f>
        <v>0</v>
      </c>
      <c r="AO353" s="324">
        <f t="shared" ref="AO353" si="2023">AN353</f>
        <v>0</v>
      </c>
      <c r="AP353" s="324">
        <f t="shared" ref="AP353" si="2024">AO353</f>
        <v>0</v>
      </c>
      <c r="AQ353" s="324">
        <f t="shared" ref="AQ353" si="2025">AP353</f>
        <v>0</v>
      </c>
      <c r="AR353" s="324">
        <f t="shared" ref="AR353" si="2026">AQ353</f>
        <v>0</v>
      </c>
      <c r="AS353" s="324">
        <f t="shared" ref="AS353" si="2027">AR353</f>
        <v>0</v>
      </c>
      <c r="AT353" s="324">
        <f t="shared" ref="AT353" si="2028">AS353</f>
        <v>0</v>
      </c>
      <c r="AU353" s="324">
        <f t="shared" ref="AU353" si="2029">AT353</f>
        <v>0</v>
      </c>
      <c r="AV353" s="324">
        <f t="shared" ref="AV353" si="2030">AU353</f>
        <v>0</v>
      </c>
      <c r="AW353" s="192"/>
      <c r="AX353" s="182"/>
    </row>
    <row r="354" spans="1:50" hidden="1" outlineLevel="1" x14ac:dyDescent="0.2">
      <c r="A354" s="179" t="str">
        <f ca="1">Language!A$661</f>
        <v>коэффициент прироста цен к предыдущему периоду</v>
      </c>
      <c r="B354" s="191"/>
      <c r="C354" s="103" t="str">
        <f ca="1">Language!$A$1449</f>
        <v>раз</v>
      </c>
      <c r="D354" s="155"/>
      <c r="F354" s="57" t="s">
        <v>754</v>
      </c>
      <c r="G354" s="193">
        <f ca="1">IF(G$2=1,1,IF(Prj_Inflation=1,POWER(1+OFFSET(G351,0,-1),Параметры!G$30/360),1))</f>
        <v>1</v>
      </c>
      <c r="H354" s="193">
        <f ca="1">IF(H$2=1,1,IF(Prj_Inflation=1,POWER(1+OFFSET(H351,0,-1),Параметры!H$30/360),1))</f>
        <v>1.0146738461686593</v>
      </c>
      <c r="I354" s="193">
        <f ca="1">IF(I$2=1,1,IF(Prj_Inflation=1,POWER(1+OFFSET(I351,0,-1),Параметры!I$30/360),1))</f>
        <v>1.0146738461686593</v>
      </c>
      <c r="J354" s="193">
        <f ca="1">IF(J$2=1,1,IF(Prj_Inflation=1,POWER(1+OFFSET(J351,0,-1),Параметры!J$30/360),1))</f>
        <v>1.0146738461686593</v>
      </c>
      <c r="K354" s="193">
        <f ca="1">IF(K$2=1,1,IF(Prj_Inflation=1,POWER(1+OFFSET(K351,0,-1),Параметры!K$30/360),1))</f>
        <v>1.0146738461686593</v>
      </c>
      <c r="L354" s="193">
        <f ca="1">IF(L$2=1,1,IF(Prj_Inflation=1,POWER(1+OFFSET(L351,0,-1),Параметры!L$30/360),1))</f>
        <v>1.0146738461686593</v>
      </c>
      <c r="M354" s="193">
        <f ca="1">IF(M$2=1,1,IF(Prj_Inflation=1,POWER(1+OFFSET(M351,0,-1),Параметры!M$30/360),1))</f>
        <v>1.0146738461686593</v>
      </c>
      <c r="N354" s="193">
        <f ca="1">IF(N$2=1,1,IF(Prj_Inflation=1,POWER(1+OFFSET(N351,0,-1),Параметры!N$30/360),1))</f>
        <v>1.0146738461686593</v>
      </c>
      <c r="O354" s="193">
        <f ca="1">IF(O$2=1,1,IF(Prj_Inflation=1,POWER(1+OFFSET(O351,0,-1),Параметры!O$30/360),1))</f>
        <v>1.0146738461686593</v>
      </c>
      <c r="P354" s="193">
        <f ca="1">IF(P$2=1,1,IF(Prj_Inflation=1,POWER(1+OFFSET(P351,0,-1),Параметры!P$30/360),1))</f>
        <v>1.0146738461686593</v>
      </c>
      <c r="Q354" s="193">
        <f ca="1">IF(Q$2=1,1,IF(Prj_Inflation=1,POWER(1+OFFSET(Q351,0,-1),Параметры!Q$30/360),1))</f>
        <v>1.0146738461686593</v>
      </c>
      <c r="R354" s="193">
        <f ca="1">IF(R$2=1,1,IF(Prj_Inflation=1,POWER(1+OFFSET(R351,0,-1),Параметры!R$30/360),1))</f>
        <v>1.0146738461686593</v>
      </c>
      <c r="S354" s="193">
        <f ca="1">IF(S$2=1,1,IF(Prj_Inflation=1,POWER(1+OFFSET(S351,0,-1),Параметры!S$30/360),1))</f>
        <v>1.0146738461686593</v>
      </c>
      <c r="T354" s="193">
        <f ca="1">IF(T$2=1,1,IF(Prj_Inflation=1,POWER(1+OFFSET(T351,0,-1),Параметры!T$30/360),1))</f>
        <v>1.0146738461686593</v>
      </c>
      <c r="U354" s="193">
        <f ca="1">IF(U$2=1,1,IF(Prj_Inflation=1,POWER(1+OFFSET(U351,0,-1),Параметры!U$30/360),1))</f>
        <v>1.0146738461686593</v>
      </c>
      <c r="V354" s="193">
        <f ca="1">IF(V$2=1,1,IF(Prj_Inflation=1,POWER(1+OFFSET(V351,0,-1),Параметры!V$30/360),1))</f>
        <v>1.0146738461686593</v>
      </c>
      <c r="W354" s="193">
        <f ca="1">IF(W$2=1,1,IF(Prj_Inflation=1,POWER(1+OFFSET(W351,0,-1),Параметры!W$30/360),1))</f>
        <v>1.0146738461686593</v>
      </c>
      <c r="X354" s="193">
        <f ca="1">IF(X$2=1,1,IF(Prj_Inflation=1,POWER(1+OFFSET(X351,0,-1),Параметры!X$30/360),1))</f>
        <v>1.0146738461686593</v>
      </c>
      <c r="Y354" s="193">
        <f ca="1">IF(Y$2=1,1,IF(Prj_Inflation=1,POWER(1+OFFSET(Y351,0,-1),Параметры!Y$30/360),1))</f>
        <v>1.0146738461686593</v>
      </c>
      <c r="Z354" s="193">
        <f ca="1">IF(Z$2=1,1,IF(Prj_Inflation=1,POWER(1+OFFSET(Z351,0,-1),Параметры!Z$30/360),1))</f>
        <v>1.0146738461686593</v>
      </c>
      <c r="AA354" s="193">
        <f ca="1">IF(AA$2=1,1,IF(Prj_Inflation=1,POWER(1+OFFSET(AA351,0,-1),Параметры!AA$30/360),1))</f>
        <v>1.0146738461686593</v>
      </c>
      <c r="AB354" s="193">
        <f ca="1">IF(AB$2=1,1,IF(Prj_Inflation=1,POWER(1+OFFSET(AB351,0,-1),Параметры!AB$30/360),1))</f>
        <v>1.0146738461686593</v>
      </c>
      <c r="AC354" s="193">
        <f ca="1">IF(AC$2=1,1,IF(Prj_Inflation=1,POWER(1+OFFSET(AC351,0,-1),Параметры!AC$30/360),1))</f>
        <v>1.0146738461686593</v>
      </c>
      <c r="AD354" s="193">
        <f ca="1">IF(AD$2=1,1,IF(Prj_Inflation=1,POWER(1+OFFSET(AD351,0,-1),Параметры!AD$30/360),1))</f>
        <v>1.0146738461686593</v>
      </c>
      <c r="AE354" s="193">
        <f ca="1">IF(AE$2=1,1,IF(Prj_Inflation=1,POWER(1+OFFSET(AE351,0,-1),Параметры!AE$30/360),1))</f>
        <v>1.0146738461686593</v>
      </c>
      <c r="AF354" s="193">
        <f ca="1">IF(AF$2=1,1,IF(Prj_Inflation=1,POWER(1+OFFSET(AF351,0,-1),Параметры!AF$30/360),1))</f>
        <v>1.0146738461686593</v>
      </c>
      <c r="AG354" s="193">
        <f ca="1">IF(AG$2=1,1,IF(Prj_Inflation=1,POWER(1+OFFSET(AG351,0,-1),Параметры!AG$30/360),1))</f>
        <v>1.0146738461686593</v>
      </c>
      <c r="AH354" s="193">
        <f ca="1">IF(AH$2=1,1,IF(Prj_Inflation=1,POWER(1+OFFSET(AH351,0,-1),Параметры!AH$30/360),1))</f>
        <v>1.0146738461686593</v>
      </c>
      <c r="AI354" s="193">
        <f ca="1">IF(AI$2=1,1,IF(Prj_Inflation=1,POWER(1+OFFSET(AI351,0,-1),Параметры!AI$30/360),1))</f>
        <v>1.0146738461686593</v>
      </c>
      <c r="AJ354" s="193">
        <f ca="1">IF(AJ$2=1,1,IF(Prj_Inflation=1,POWER(1+OFFSET(AJ351,0,-1),Параметры!AJ$30/360),1))</f>
        <v>1.0146738461686593</v>
      </c>
      <c r="AK354" s="193">
        <f ca="1">IF(AK$2=1,1,IF(Prj_Inflation=1,POWER(1+OFFSET(AK351,0,-1),Параметры!AK$30/360),1))</f>
        <v>1.0146738461686593</v>
      </c>
      <c r="AL354" s="193">
        <f ca="1">IF(AL$2=1,1,IF(Prj_Inflation=1,POWER(1+OFFSET(AL351,0,-1),Параметры!AL$30/360),1))</f>
        <v>1.0146738461686593</v>
      </c>
      <c r="AM354" s="193">
        <f ca="1">IF(AM$2=1,1,IF(Prj_Inflation=1,POWER(1+OFFSET(AM351,0,-1),Параметры!AM$30/360),1))</f>
        <v>1.0146738461686593</v>
      </c>
      <c r="AN354" s="193">
        <f ca="1">IF(AN$2=1,1,IF(Prj_Inflation=1,POWER(1+OFFSET(AN351,0,-1),Параметры!AN$30/360),1))</f>
        <v>1.0146738461686593</v>
      </c>
      <c r="AO354" s="193">
        <f ca="1">IF(AO$2=1,1,IF(Prj_Inflation=1,POWER(1+OFFSET(AO351,0,-1),Параметры!AO$30/360),1))</f>
        <v>1.0146738461686593</v>
      </c>
      <c r="AP354" s="193">
        <f ca="1">IF(AP$2=1,1,IF(Prj_Inflation=1,POWER(1+OFFSET(AP351,0,-1),Параметры!AP$30/360),1))</f>
        <v>1.0146738461686593</v>
      </c>
      <c r="AQ354" s="193">
        <f ca="1">IF(AQ$2=1,1,IF(Prj_Inflation=1,POWER(1+OFFSET(AQ351,0,-1),Параметры!AQ$30/360),1))</f>
        <v>1.0146738461686593</v>
      </c>
      <c r="AR354" s="193">
        <f ca="1">IF(AR$2=1,1,IF(Prj_Inflation=1,POWER(1+OFFSET(AR351,0,-1),Параметры!AR$30/360),1))</f>
        <v>1.0146738461686593</v>
      </c>
      <c r="AS354" s="193">
        <f ca="1">IF(AS$2=1,1,IF(Prj_Inflation=1,POWER(1+OFFSET(AS351,0,-1),Параметры!AS$30/360),1))</f>
        <v>1.0146738461686593</v>
      </c>
      <c r="AT354" s="193">
        <f ca="1">IF(AT$2=1,1,IF(Prj_Inflation=1,POWER(1+OFFSET(AT351,0,-1),Параметры!AT$30/360),1))</f>
        <v>1.0146738461686593</v>
      </c>
      <c r="AU354" s="193">
        <f ca="1">IF(AU$2=1,1,IF(Prj_Inflation=1,POWER(1+OFFSET(AU351,0,-1),Параметры!AU$30/360),1))</f>
        <v>1.0146738461686593</v>
      </c>
      <c r="AV354" s="193">
        <f ca="1">IF(AV$2=1,1,IF(Prj_Inflation=1,POWER(1+OFFSET(AV351,0,-1),Параметры!AV$30/360),1))</f>
        <v>1.0146738461686593</v>
      </c>
      <c r="AW354" s="193"/>
      <c r="AX354" s="182"/>
    </row>
    <row r="355" spans="1:50" hidden="1" outlineLevel="1" x14ac:dyDescent="0.2">
      <c r="A355" s="167" t="str">
        <f ca="1">Language!A$662</f>
        <v>пошлины начисленные</v>
      </c>
      <c r="B355" s="153"/>
      <c r="C355" s="103" t="str">
        <f ca="1">CHOOSE(D355,CurName1,CurName2,CurName3)</f>
        <v>тыс. руб.</v>
      </c>
      <c r="D355" s="155">
        <f>D335</f>
        <v>1</v>
      </c>
      <c r="E355" s="57" t="s">
        <v>1011</v>
      </c>
      <c r="F355" s="57" t="s">
        <v>753</v>
      </c>
      <c r="G355" s="194">
        <f ca="1">G345*G353</f>
        <v>0</v>
      </c>
      <c r="H355" s="194">
        <f t="shared" ref="H355:AV355" ca="1" si="2031">H345*H353</f>
        <v>0</v>
      </c>
      <c r="I355" s="194">
        <f t="shared" ca="1" si="2031"/>
        <v>0</v>
      </c>
      <c r="J355" s="194">
        <f t="shared" ca="1" si="2031"/>
        <v>0</v>
      </c>
      <c r="K355" s="194">
        <f t="shared" ca="1" si="2031"/>
        <v>0</v>
      </c>
      <c r="L355" s="194">
        <f t="shared" ca="1" si="2031"/>
        <v>0</v>
      </c>
      <c r="M355" s="194">
        <f t="shared" ca="1" si="2031"/>
        <v>0</v>
      </c>
      <c r="N355" s="194">
        <f t="shared" ca="1" si="2031"/>
        <v>0</v>
      </c>
      <c r="O355" s="194">
        <f t="shared" ca="1" si="2031"/>
        <v>0</v>
      </c>
      <c r="P355" s="194">
        <f t="shared" ca="1" si="2031"/>
        <v>0</v>
      </c>
      <c r="Q355" s="194">
        <f t="shared" ca="1" si="2031"/>
        <v>0</v>
      </c>
      <c r="R355" s="194">
        <f t="shared" ca="1" si="2031"/>
        <v>0</v>
      </c>
      <c r="S355" s="194">
        <f t="shared" ca="1" si="2031"/>
        <v>0</v>
      </c>
      <c r="T355" s="194">
        <f t="shared" ca="1" si="2031"/>
        <v>0</v>
      </c>
      <c r="U355" s="194">
        <f t="shared" ca="1" si="2031"/>
        <v>0</v>
      </c>
      <c r="V355" s="194">
        <f t="shared" ca="1" si="2031"/>
        <v>0</v>
      </c>
      <c r="W355" s="194">
        <f t="shared" ca="1" si="2031"/>
        <v>0</v>
      </c>
      <c r="X355" s="194">
        <f t="shared" ca="1" si="2031"/>
        <v>0</v>
      </c>
      <c r="Y355" s="194">
        <f t="shared" ca="1" si="2031"/>
        <v>0</v>
      </c>
      <c r="Z355" s="194">
        <f t="shared" ca="1" si="2031"/>
        <v>0</v>
      </c>
      <c r="AA355" s="194">
        <f t="shared" ca="1" si="2031"/>
        <v>0</v>
      </c>
      <c r="AB355" s="194">
        <f t="shared" ca="1" si="2031"/>
        <v>0</v>
      </c>
      <c r="AC355" s="194">
        <f t="shared" ca="1" si="2031"/>
        <v>0</v>
      </c>
      <c r="AD355" s="194">
        <f t="shared" ca="1" si="2031"/>
        <v>0</v>
      </c>
      <c r="AE355" s="194">
        <f t="shared" ca="1" si="2031"/>
        <v>0</v>
      </c>
      <c r="AF355" s="194">
        <f t="shared" ca="1" si="2031"/>
        <v>0</v>
      </c>
      <c r="AG355" s="194">
        <f t="shared" ca="1" si="2031"/>
        <v>0</v>
      </c>
      <c r="AH355" s="194">
        <f t="shared" ca="1" si="2031"/>
        <v>0</v>
      </c>
      <c r="AI355" s="194">
        <f t="shared" ca="1" si="2031"/>
        <v>0</v>
      </c>
      <c r="AJ355" s="194">
        <f t="shared" ca="1" si="2031"/>
        <v>0</v>
      </c>
      <c r="AK355" s="194">
        <f t="shared" ca="1" si="2031"/>
        <v>0</v>
      </c>
      <c r="AL355" s="194">
        <f t="shared" ca="1" si="2031"/>
        <v>0</v>
      </c>
      <c r="AM355" s="194">
        <f t="shared" ca="1" si="2031"/>
        <v>0</v>
      </c>
      <c r="AN355" s="194">
        <f t="shared" ca="1" si="2031"/>
        <v>0</v>
      </c>
      <c r="AO355" s="194">
        <f t="shared" ca="1" si="2031"/>
        <v>0</v>
      </c>
      <c r="AP355" s="194">
        <f t="shared" ca="1" si="2031"/>
        <v>0</v>
      </c>
      <c r="AQ355" s="194">
        <f t="shared" ca="1" si="2031"/>
        <v>0</v>
      </c>
      <c r="AR355" s="194">
        <f t="shared" ca="1" si="2031"/>
        <v>0</v>
      </c>
      <c r="AS355" s="194">
        <f t="shared" ca="1" si="2031"/>
        <v>0</v>
      </c>
      <c r="AT355" s="194">
        <f t="shared" ca="1" si="2031"/>
        <v>0</v>
      </c>
      <c r="AU355" s="194">
        <f t="shared" ca="1" si="2031"/>
        <v>0</v>
      </c>
      <c r="AV355" s="194">
        <f t="shared" ca="1" si="2031"/>
        <v>0</v>
      </c>
      <c r="AW355" s="194"/>
      <c r="AX355" s="169">
        <f ca="1">SUM(G355:AW355)</f>
        <v>0</v>
      </c>
    </row>
    <row r="356" spans="1:50" hidden="1" outlineLevel="1" x14ac:dyDescent="0.2">
      <c r="A356" s="167" t="str">
        <f ca="1">Language!A$663</f>
        <v>НДС начисленный</v>
      </c>
      <c r="B356" s="153"/>
      <c r="C356" s="103" t="str">
        <f ca="1">CHOOSE(D356,CurName1,CurName2,CurName3)</f>
        <v>тыс. руб.</v>
      </c>
      <c r="D356" s="155">
        <f>D335</f>
        <v>1</v>
      </c>
      <c r="E356" s="57" t="s">
        <v>789</v>
      </c>
      <c r="F356" s="57" t="s">
        <v>753</v>
      </c>
      <c r="G356" s="194">
        <f ca="1">(G345+G355)*G352</f>
        <v>5318.6125249999996</v>
      </c>
      <c r="H356" s="194">
        <f t="shared" ref="H356:AV356" ca="1" si="2032">(H345+H355)*H352</f>
        <v>5396.6570270225529</v>
      </c>
      <c r="I356" s="194">
        <f t="shared" ca="1" si="2032"/>
        <v>6129.7056672385443</v>
      </c>
      <c r="J356" s="194">
        <f t="shared" ca="1" si="2032"/>
        <v>6219.6520252587625</v>
      </c>
      <c r="K356" s="194">
        <f t="shared" ca="1" si="2032"/>
        <v>6310.9182423000002</v>
      </c>
      <c r="L356" s="194">
        <f t="shared" ca="1" si="2032"/>
        <v>6403.5236857704967</v>
      </c>
      <c r="M356" s="194">
        <f t="shared" ca="1" si="2032"/>
        <v>7036.973223322736</v>
      </c>
      <c r="N356" s="194">
        <f t="shared" ca="1" si="2032"/>
        <v>7140.2326858947472</v>
      </c>
      <c r="O356" s="194">
        <f t="shared" ca="1" si="2032"/>
        <v>7245.0073619360001</v>
      </c>
      <c r="P356" s="194">
        <f t="shared" ca="1" si="2032"/>
        <v>7351.3194854558524</v>
      </c>
      <c r="Q356" s="194">
        <f t="shared" ca="1" si="2032"/>
        <v>8074.0637187607153</v>
      </c>
      <c r="R356" s="194">
        <f t="shared" ca="1" si="2032"/>
        <v>8192.5412877257641</v>
      </c>
      <c r="S356" s="194">
        <f t="shared" ca="1" si="2032"/>
        <v>8312.7573783122425</v>
      </c>
      <c r="T356" s="194">
        <f t="shared" ca="1" si="2032"/>
        <v>8434.737501318983</v>
      </c>
      <c r="U356" s="194">
        <f t="shared" ca="1" si="2032"/>
        <v>8956.2522967227706</v>
      </c>
      <c r="V356" s="194">
        <f t="shared" ca="1" si="2032"/>
        <v>9087.6749651725822</v>
      </c>
      <c r="W356" s="194">
        <f t="shared" ca="1" si="2032"/>
        <v>9221.0261096423001</v>
      </c>
      <c r="X356" s="194">
        <f t="shared" ca="1" si="2032"/>
        <v>9356.3340282923818</v>
      </c>
      <c r="Y356" s="194">
        <f t="shared" ca="1" si="2032"/>
        <v>9714.7360233380168</v>
      </c>
      <c r="Z356" s="194">
        <f t="shared" ca="1" si="2032"/>
        <v>9857.2885653136109</v>
      </c>
      <c r="AA356" s="194">
        <f t="shared" ca="1" si="2032"/>
        <v>10001.932901361108</v>
      </c>
      <c r="AB356" s="194">
        <f t="shared" ca="1" si="2032"/>
        <v>10148.699726144934</v>
      </c>
      <c r="AC356" s="194">
        <f t="shared" ca="1" si="2032"/>
        <v>10467.494749853824</v>
      </c>
      <c r="AD356" s="194">
        <f t="shared" ca="1" si="2032"/>
        <v>10621.093157584426</v>
      </c>
      <c r="AE356" s="194">
        <f t="shared" ca="1" si="2032"/>
        <v>10776.94544472182</v>
      </c>
      <c r="AF356" s="194">
        <f t="shared" ca="1" si="2032"/>
        <v>10935.084684345702</v>
      </c>
      <c r="AG356" s="194">
        <f t="shared" ca="1" si="2032"/>
        <v>11124.300351972066</v>
      </c>
      <c r="AH356" s="194">
        <f t="shared" ca="1" si="2032"/>
        <v>11287.536624070866</v>
      </c>
      <c r="AI356" s="194">
        <f t="shared" ca="1" si="2032"/>
        <v>11453.16820011559</v>
      </c>
      <c r="AJ356" s="194">
        <f t="shared" ca="1" si="2032"/>
        <v>11621.230228427865</v>
      </c>
      <c r="AK356" s="194">
        <f t="shared" ca="1" si="2032"/>
        <v>11811.926809930446</v>
      </c>
      <c r="AL356" s="194">
        <f t="shared" ca="1" si="2032"/>
        <v>11985.253206894829</v>
      </c>
      <c r="AM356" s="194">
        <f t="shared" ca="1" si="2032"/>
        <v>12161.122968745234</v>
      </c>
      <c r="AN356" s="194">
        <f t="shared" ca="1" si="2032"/>
        <v>12339.573416426752</v>
      </c>
      <c r="AO356" s="194">
        <f t="shared" ca="1" si="2032"/>
        <v>12554.547808491594</v>
      </c>
      <c r="AP356" s="194">
        <f t="shared" ca="1" si="2032"/>
        <v>12738.771311750477</v>
      </c>
      <c r="AQ356" s="194">
        <f t="shared" ca="1" si="2032"/>
        <v>12925.698082356836</v>
      </c>
      <c r="AR356" s="194">
        <f t="shared" ca="1" si="2032"/>
        <v>13115.367787639874</v>
      </c>
      <c r="AS356" s="194">
        <f t="shared" ca="1" si="2032"/>
        <v>13717.226680868234</v>
      </c>
      <c r="AT356" s="194">
        <f t="shared" ca="1" si="2032"/>
        <v>13918.511155043925</v>
      </c>
      <c r="AU356" s="194">
        <f t="shared" ca="1" si="2032"/>
        <v>14122.74924662981</v>
      </c>
      <c r="AV356" s="194">
        <f t="shared" ca="1" si="2032"/>
        <v>14329.984296553403</v>
      </c>
      <c r="AW356" s="194"/>
      <c r="AX356" s="169">
        <f ca="1">SUM(G356:AW356)</f>
        <v>417918.23264372878</v>
      </c>
    </row>
    <row r="357" spans="1:50" x14ac:dyDescent="0.2">
      <c r="A357" s="317" t="s">
        <v>2308</v>
      </c>
      <c r="B357" s="186"/>
      <c r="C357" s="157"/>
      <c r="D357" s="158">
        <v>1</v>
      </c>
      <c r="F357" s="57" t="s">
        <v>2314</v>
      </c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87"/>
    </row>
    <row r="358" spans="1:50" collapsed="1" x14ac:dyDescent="0.2">
      <c r="A358" s="172" t="str">
        <f ca="1">Language!A$622</f>
        <v>расход за период, без учета инфляции, без НДС</v>
      </c>
      <c r="B358" s="342"/>
      <c r="C358" s="146" t="str">
        <f ca="1">CHOOSE(D357,CurName1,CurName2,CurName3)</f>
        <v>тыс. руб.</v>
      </c>
      <c r="F358" s="57" t="s">
        <v>753</v>
      </c>
      <c r="G358" s="343">
        <f t="shared" ref="G358:AV358" si="2033">SUM(G359:G363)</f>
        <v>1700</v>
      </c>
      <c r="H358" s="343">
        <f t="shared" si="2033"/>
        <v>7650</v>
      </c>
      <c r="I358" s="343">
        <f t="shared" si="2033"/>
        <v>15300</v>
      </c>
      <c r="J358" s="343">
        <f t="shared" si="2033"/>
        <v>21250</v>
      </c>
      <c r="K358" s="343">
        <f t="shared" si="2033"/>
        <v>25500</v>
      </c>
      <c r="L358" s="343">
        <f t="shared" si="2033"/>
        <v>29750</v>
      </c>
      <c r="M358" s="343">
        <f t="shared" si="2033"/>
        <v>34000</v>
      </c>
      <c r="N358" s="343">
        <f t="shared" si="2033"/>
        <v>38250</v>
      </c>
      <c r="O358" s="343">
        <f t="shared" si="2033"/>
        <v>42500</v>
      </c>
      <c r="P358" s="343">
        <f t="shared" si="2033"/>
        <v>46750</v>
      </c>
      <c r="Q358" s="343">
        <f t="shared" si="2033"/>
        <v>46750</v>
      </c>
      <c r="R358" s="343">
        <f t="shared" si="2033"/>
        <v>46750</v>
      </c>
      <c r="S358" s="343">
        <f t="shared" si="2033"/>
        <v>46750</v>
      </c>
      <c r="T358" s="343">
        <f t="shared" si="2033"/>
        <v>46750</v>
      </c>
      <c r="U358" s="343">
        <f t="shared" si="2033"/>
        <v>46750</v>
      </c>
      <c r="V358" s="343">
        <f t="shared" si="2033"/>
        <v>46750</v>
      </c>
      <c r="W358" s="343">
        <f t="shared" si="2033"/>
        <v>46750</v>
      </c>
      <c r="X358" s="343">
        <f t="shared" si="2033"/>
        <v>46750</v>
      </c>
      <c r="Y358" s="343">
        <f t="shared" si="2033"/>
        <v>46750</v>
      </c>
      <c r="Z358" s="343">
        <f t="shared" si="2033"/>
        <v>46750</v>
      </c>
      <c r="AA358" s="343">
        <f t="shared" si="2033"/>
        <v>46750</v>
      </c>
      <c r="AB358" s="343">
        <f t="shared" si="2033"/>
        <v>46750</v>
      </c>
      <c r="AC358" s="343">
        <f t="shared" si="2033"/>
        <v>46750</v>
      </c>
      <c r="AD358" s="343">
        <f t="shared" si="2033"/>
        <v>46750</v>
      </c>
      <c r="AE358" s="343">
        <f t="shared" si="2033"/>
        <v>46750</v>
      </c>
      <c r="AF358" s="343">
        <f t="shared" si="2033"/>
        <v>46750</v>
      </c>
      <c r="AG358" s="343">
        <f t="shared" si="2033"/>
        <v>46750</v>
      </c>
      <c r="AH358" s="343">
        <f t="shared" si="2033"/>
        <v>46750</v>
      </c>
      <c r="AI358" s="343">
        <f t="shared" si="2033"/>
        <v>46750</v>
      </c>
      <c r="AJ358" s="343">
        <f t="shared" si="2033"/>
        <v>46750</v>
      </c>
      <c r="AK358" s="343">
        <f t="shared" si="2033"/>
        <v>46750</v>
      </c>
      <c r="AL358" s="343">
        <f t="shared" si="2033"/>
        <v>46750</v>
      </c>
      <c r="AM358" s="343">
        <f t="shared" si="2033"/>
        <v>46750</v>
      </c>
      <c r="AN358" s="343">
        <f t="shared" si="2033"/>
        <v>46750</v>
      </c>
      <c r="AO358" s="343">
        <f t="shared" si="2033"/>
        <v>46750</v>
      </c>
      <c r="AP358" s="343">
        <f t="shared" si="2033"/>
        <v>46750</v>
      </c>
      <c r="AQ358" s="343">
        <f t="shared" si="2033"/>
        <v>46750</v>
      </c>
      <c r="AR358" s="343">
        <f t="shared" si="2033"/>
        <v>46750</v>
      </c>
      <c r="AS358" s="343">
        <f t="shared" si="2033"/>
        <v>46750</v>
      </c>
      <c r="AT358" s="343">
        <f t="shared" si="2033"/>
        <v>46750</v>
      </c>
      <c r="AU358" s="343">
        <f t="shared" si="2033"/>
        <v>46750</v>
      </c>
      <c r="AV358" s="343">
        <f t="shared" si="2033"/>
        <v>46750</v>
      </c>
      <c r="AW358" s="148"/>
      <c r="AX358" s="171">
        <f t="shared" ref="AX358:AX364" si="2034">SUM(G358:AW358)</f>
        <v>1758650</v>
      </c>
    </row>
    <row r="359" spans="1:50" hidden="1" outlineLevel="1" x14ac:dyDescent="0.2">
      <c r="A359" s="206" t="str">
        <f>A$174</f>
        <v>МОЛОКОЗАВОД: Молоко</v>
      </c>
      <c r="B359" s="313">
        <v>6</v>
      </c>
      <c r="C359" s="341" t="str">
        <f ca="1">C$358</f>
        <v>тыс. руб.</v>
      </c>
      <c r="F359" s="57" t="s">
        <v>2309</v>
      </c>
      <c r="G359" s="311">
        <f t="shared" ref="G359:AV359" si="2035">G$176*$B359</f>
        <v>936</v>
      </c>
      <c r="H359" s="311">
        <f t="shared" si="2035"/>
        <v>4212</v>
      </c>
      <c r="I359" s="311">
        <f t="shared" si="2035"/>
        <v>8424</v>
      </c>
      <c r="J359" s="311">
        <f t="shared" si="2035"/>
        <v>11700</v>
      </c>
      <c r="K359" s="311">
        <f t="shared" si="2035"/>
        <v>14040</v>
      </c>
      <c r="L359" s="311">
        <f t="shared" si="2035"/>
        <v>16380</v>
      </c>
      <c r="M359" s="311">
        <f t="shared" si="2035"/>
        <v>18720</v>
      </c>
      <c r="N359" s="311">
        <f t="shared" si="2035"/>
        <v>21060</v>
      </c>
      <c r="O359" s="311">
        <f t="shared" si="2035"/>
        <v>23400</v>
      </c>
      <c r="P359" s="311">
        <f t="shared" si="2035"/>
        <v>25740</v>
      </c>
      <c r="Q359" s="311">
        <f t="shared" si="2035"/>
        <v>25740</v>
      </c>
      <c r="R359" s="311">
        <f t="shared" si="2035"/>
        <v>25740</v>
      </c>
      <c r="S359" s="311">
        <f t="shared" si="2035"/>
        <v>25740</v>
      </c>
      <c r="T359" s="311">
        <f t="shared" si="2035"/>
        <v>25740</v>
      </c>
      <c r="U359" s="311">
        <f t="shared" si="2035"/>
        <v>25740</v>
      </c>
      <c r="V359" s="311">
        <f t="shared" si="2035"/>
        <v>25740</v>
      </c>
      <c r="W359" s="311">
        <f t="shared" si="2035"/>
        <v>25740</v>
      </c>
      <c r="X359" s="311">
        <f t="shared" si="2035"/>
        <v>25740</v>
      </c>
      <c r="Y359" s="311">
        <f t="shared" si="2035"/>
        <v>25740</v>
      </c>
      <c r="Z359" s="311">
        <f t="shared" si="2035"/>
        <v>25740</v>
      </c>
      <c r="AA359" s="311">
        <f t="shared" si="2035"/>
        <v>25740</v>
      </c>
      <c r="AB359" s="311">
        <f t="shared" si="2035"/>
        <v>25740</v>
      </c>
      <c r="AC359" s="311">
        <f t="shared" si="2035"/>
        <v>25740</v>
      </c>
      <c r="AD359" s="311">
        <f t="shared" si="2035"/>
        <v>25740</v>
      </c>
      <c r="AE359" s="311">
        <f t="shared" si="2035"/>
        <v>25740</v>
      </c>
      <c r="AF359" s="311">
        <f t="shared" si="2035"/>
        <v>25740</v>
      </c>
      <c r="AG359" s="311">
        <f t="shared" si="2035"/>
        <v>25740</v>
      </c>
      <c r="AH359" s="311">
        <f t="shared" si="2035"/>
        <v>25740</v>
      </c>
      <c r="AI359" s="311">
        <f t="shared" si="2035"/>
        <v>25740</v>
      </c>
      <c r="AJ359" s="311">
        <f t="shared" si="2035"/>
        <v>25740</v>
      </c>
      <c r="AK359" s="311">
        <f t="shared" si="2035"/>
        <v>25740</v>
      </c>
      <c r="AL359" s="311">
        <f t="shared" si="2035"/>
        <v>25740</v>
      </c>
      <c r="AM359" s="311">
        <f t="shared" si="2035"/>
        <v>25740</v>
      </c>
      <c r="AN359" s="311">
        <f t="shared" si="2035"/>
        <v>25740</v>
      </c>
      <c r="AO359" s="311">
        <f t="shared" si="2035"/>
        <v>25740</v>
      </c>
      <c r="AP359" s="311">
        <f t="shared" si="2035"/>
        <v>25740</v>
      </c>
      <c r="AQ359" s="311">
        <f t="shared" si="2035"/>
        <v>25740</v>
      </c>
      <c r="AR359" s="311">
        <f t="shared" si="2035"/>
        <v>25740</v>
      </c>
      <c r="AS359" s="311">
        <f t="shared" si="2035"/>
        <v>25740</v>
      </c>
      <c r="AT359" s="311">
        <f t="shared" si="2035"/>
        <v>25740</v>
      </c>
      <c r="AU359" s="311">
        <f t="shared" si="2035"/>
        <v>25740</v>
      </c>
      <c r="AV359" s="311">
        <f t="shared" si="2035"/>
        <v>25740</v>
      </c>
      <c r="AW359" s="148"/>
      <c r="AX359" s="171">
        <f t="shared" si="2034"/>
        <v>968292</v>
      </c>
    </row>
    <row r="360" spans="1:50" hidden="1" outlineLevel="1" x14ac:dyDescent="0.2">
      <c r="A360" s="206" t="str">
        <f>A$192</f>
        <v>МОЛОКОЗАВОД: Сливки</v>
      </c>
      <c r="B360" s="313">
        <v>11</v>
      </c>
      <c r="C360" s="341" t="str">
        <f ca="1">C$358</f>
        <v>тыс. руб.</v>
      </c>
      <c r="F360" s="57" t="s">
        <v>2310</v>
      </c>
      <c r="G360" s="311">
        <f t="shared" ref="G360:AV360" si="2036">G$194*$B360</f>
        <v>44</v>
      </c>
      <c r="H360" s="311">
        <f t="shared" si="2036"/>
        <v>198</v>
      </c>
      <c r="I360" s="311">
        <f t="shared" si="2036"/>
        <v>396</v>
      </c>
      <c r="J360" s="311">
        <f t="shared" si="2036"/>
        <v>550</v>
      </c>
      <c r="K360" s="311">
        <f t="shared" si="2036"/>
        <v>660</v>
      </c>
      <c r="L360" s="311">
        <f t="shared" si="2036"/>
        <v>770</v>
      </c>
      <c r="M360" s="311">
        <f t="shared" si="2036"/>
        <v>880</v>
      </c>
      <c r="N360" s="311">
        <f t="shared" si="2036"/>
        <v>990</v>
      </c>
      <c r="O360" s="311">
        <f t="shared" si="2036"/>
        <v>1100</v>
      </c>
      <c r="P360" s="311">
        <f t="shared" si="2036"/>
        <v>1210</v>
      </c>
      <c r="Q360" s="311">
        <f t="shared" si="2036"/>
        <v>1210</v>
      </c>
      <c r="R360" s="311">
        <f t="shared" si="2036"/>
        <v>1210</v>
      </c>
      <c r="S360" s="311">
        <f t="shared" si="2036"/>
        <v>1210</v>
      </c>
      <c r="T360" s="311">
        <f t="shared" si="2036"/>
        <v>1210</v>
      </c>
      <c r="U360" s="311">
        <f t="shared" si="2036"/>
        <v>1210</v>
      </c>
      <c r="V360" s="311">
        <f t="shared" si="2036"/>
        <v>1210</v>
      </c>
      <c r="W360" s="311">
        <f t="shared" si="2036"/>
        <v>1210</v>
      </c>
      <c r="X360" s="311">
        <f t="shared" si="2036"/>
        <v>1210</v>
      </c>
      <c r="Y360" s="311">
        <f t="shared" si="2036"/>
        <v>1210</v>
      </c>
      <c r="Z360" s="311">
        <f t="shared" si="2036"/>
        <v>1210</v>
      </c>
      <c r="AA360" s="311">
        <f t="shared" si="2036"/>
        <v>1210</v>
      </c>
      <c r="AB360" s="311">
        <f t="shared" si="2036"/>
        <v>1210</v>
      </c>
      <c r="AC360" s="311">
        <f t="shared" si="2036"/>
        <v>1210</v>
      </c>
      <c r="AD360" s="311">
        <f t="shared" si="2036"/>
        <v>1210</v>
      </c>
      <c r="AE360" s="311">
        <f t="shared" si="2036"/>
        <v>1210</v>
      </c>
      <c r="AF360" s="311">
        <f t="shared" si="2036"/>
        <v>1210</v>
      </c>
      <c r="AG360" s="311">
        <f t="shared" si="2036"/>
        <v>1210</v>
      </c>
      <c r="AH360" s="311">
        <f t="shared" si="2036"/>
        <v>1210</v>
      </c>
      <c r="AI360" s="311">
        <f t="shared" si="2036"/>
        <v>1210</v>
      </c>
      <c r="AJ360" s="311">
        <f t="shared" si="2036"/>
        <v>1210</v>
      </c>
      <c r="AK360" s="311">
        <f t="shared" si="2036"/>
        <v>1210</v>
      </c>
      <c r="AL360" s="311">
        <f t="shared" si="2036"/>
        <v>1210</v>
      </c>
      <c r="AM360" s="311">
        <f t="shared" si="2036"/>
        <v>1210</v>
      </c>
      <c r="AN360" s="311">
        <f t="shared" si="2036"/>
        <v>1210</v>
      </c>
      <c r="AO360" s="311">
        <f t="shared" si="2036"/>
        <v>1210</v>
      </c>
      <c r="AP360" s="311">
        <f t="shared" si="2036"/>
        <v>1210</v>
      </c>
      <c r="AQ360" s="311">
        <f t="shared" si="2036"/>
        <v>1210</v>
      </c>
      <c r="AR360" s="311">
        <f t="shared" si="2036"/>
        <v>1210</v>
      </c>
      <c r="AS360" s="311">
        <f t="shared" si="2036"/>
        <v>1210</v>
      </c>
      <c r="AT360" s="311">
        <f t="shared" si="2036"/>
        <v>1210</v>
      </c>
      <c r="AU360" s="311">
        <f t="shared" si="2036"/>
        <v>1210</v>
      </c>
      <c r="AV360" s="311">
        <f t="shared" si="2036"/>
        <v>1210</v>
      </c>
      <c r="AW360" s="148"/>
      <c r="AX360" s="171">
        <f t="shared" si="2034"/>
        <v>45518</v>
      </c>
    </row>
    <row r="361" spans="1:50" hidden="1" outlineLevel="1" x14ac:dyDescent="0.2">
      <c r="A361" s="206" t="str">
        <f>A$210</f>
        <v>МОЛОКОЗАВОД: Сметана</v>
      </c>
      <c r="B361" s="313">
        <v>30</v>
      </c>
      <c r="C361" s="341" t="str">
        <f ca="1">C$358</f>
        <v>тыс. руб.</v>
      </c>
      <c r="F361" s="57" t="s">
        <v>2311</v>
      </c>
      <c r="G361" s="311">
        <f t="shared" ref="G361:AV361" si="2037">G$212*$B361</f>
        <v>300</v>
      </c>
      <c r="H361" s="311">
        <f t="shared" si="2037"/>
        <v>1350</v>
      </c>
      <c r="I361" s="311">
        <f t="shared" si="2037"/>
        <v>2700</v>
      </c>
      <c r="J361" s="311">
        <f t="shared" si="2037"/>
        <v>3750</v>
      </c>
      <c r="K361" s="311">
        <f t="shared" si="2037"/>
        <v>4500</v>
      </c>
      <c r="L361" s="311">
        <f t="shared" si="2037"/>
        <v>5250</v>
      </c>
      <c r="M361" s="311">
        <f t="shared" si="2037"/>
        <v>6000</v>
      </c>
      <c r="N361" s="311">
        <f t="shared" si="2037"/>
        <v>6750</v>
      </c>
      <c r="O361" s="311">
        <f t="shared" si="2037"/>
        <v>7500</v>
      </c>
      <c r="P361" s="311">
        <f t="shared" si="2037"/>
        <v>8250</v>
      </c>
      <c r="Q361" s="311">
        <f t="shared" si="2037"/>
        <v>8250</v>
      </c>
      <c r="R361" s="311">
        <f t="shared" si="2037"/>
        <v>8250</v>
      </c>
      <c r="S361" s="311">
        <f t="shared" si="2037"/>
        <v>8250</v>
      </c>
      <c r="T361" s="311">
        <f t="shared" si="2037"/>
        <v>8250</v>
      </c>
      <c r="U361" s="311">
        <f t="shared" si="2037"/>
        <v>8250</v>
      </c>
      <c r="V361" s="311">
        <f t="shared" si="2037"/>
        <v>8250</v>
      </c>
      <c r="W361" s="311">
        <f t="shared" si="2037"/>
        <v>8250</v>
      </c>
      <c r="X361" s="311">
        <f t="shared" si="2037"/>
        <v>8250</v>
      </c>
      <c r="Y361" s="311">
        <f t="shared" si="2037"/>
        <v>8250</v>
      </c>
      <c r="Z361" s="311">
        <f t="shared" si="2037"/>
        <v>8250</v>
      </c>
      <c r="AA361" s="311">
        <f t="shared" si="2037"/>
        <v>8250</v>
      </c>
      <c r="AB361" s="311">
        <f t="shared" si="2037"/>
        <v>8250</v>
      </c>
      <c r="AC361" s="311">
        <f t="shared" si="2037"/>
        <v>8250</v>
      </c>
      <c r="AD361" s="311">
        <f t="shared" si="2037"/>
        <v>8250</v>
      </c>
      <c r="AE361" s="311">
        <f t="shared" si="2037"/>
        <v>8250</v>
      </c>
      <c r="AF361" s="311">
        <f t="shared" si="2037"/>
        <v>8250</v>
      </c>
      <c r="AG361" s="311">
        <f t="shared" si="2037"/>
        <v>8250</v>
      </c>
      <c r="AH361" s="311">
        <f t="shared" si="2037"/>
        <v>8250</v>
      </c>
      <c r="AI361" s="311">
        <f t="shared" si="2037"/>
        <v>8250</v>
      </c>
      <c r="AJ361" s="311">
        <f t="shared" si="2037"/>
        <v>8250</v>
      </c>
      <c r="AK361" s="311">
        <f t="shared" si="2037"/>
        <v>8250</v>
      </c>
      <c r="AL361" s="311">
        <f t="shared" si="2037"/>
        <v>8250</v>
      </c>
      <c r="AM361" s="311">
        <f t="shared" si="2037"/>
        <v>8250</v>
      </c>
      <c r="AN361" s="311">
        <f t="shared" si="2037"/>
        <v>8250</v>
      </c>
      <c r="AO361" s="311">
        <f t="shared" si="2037"/>
        <v>8250</v>
      </c>
      <c r="AP361" s="311">
        <f t="shared" si="2037"/>
        <v>8250</v>
      </c>
      <c r="AQ361" s="311">
        <f t="shared" si="2037"/>
        <v>8250</v>
      </c>
      <c r="AR361" s="311">
        <f t="shared" si="2037"/>
        <v>8250</v>
      </c>
      <c r="AS361" s="311">
        <f t="shared" si="2037"/>
        <v>8250</v>
      </c>
      <c r="AT361" s="311">
        <f t="shared" si="2037"/>
        <v>8250</v>
      </c>
      <c r="AU361" s="311">
        <f t="shared" si="2037"/>
        <v>8250</v>
      </c>
      <c r="AV361" s="311">
        <f t="shared" si="2037"/>
        <v>8250</v>
      </c>
      <c r="AW361" s="148"/>
      <c r="AX361" s="171">
        <f t="shared" si="2034"/>
        <v>310350</v>
      </c>
    </row>
    <row r="362" spans="1:50" hidden="1" outlineLevel="1" x14ac:dyDescent="0.2">
      <c r="A362" s="206" t="str">
        <f>A$228</f>
        <v>МОЛОКОЗАВОД: Кефир</v>
      </c>
      <c r="B362" s="313">
        <v>6</v>
      </c>
      <c r="C362" s="341" t="str">
        <f ca="1">C$358</f>
        <v>тыс. руб.</v>
      </c>
      <c r="F362" s="57" t="s">
        <v>2312</v>
      </c>
      <c r="G362" s="311">
        <f t="shared" ref="G362:AV362" si="2038">G$230*$B362</f>
        <v>120</v>
      </c>
      <c r="H362" s="311">
        <f t="shared" si="2038"/>
        <v>540</v>
      </c>
      <c r="I362" s="311">
        <f t="shared" si="2038"/>
        <v>1080</v>
      </c>
      <c r="J362" s="311">
        <f t="shared" si="2038"/>
        <v>1500</v>
      </c>
      <c r="K362" s="311">
        <f t="shared" si="2038"/>
        <v>1800</v>
      </c>
      <c r="L362" s="311">
        <f t="shared" si="2038"/>
        <v>2100</v>
      </c>
      <c r="M362" s="311">
        <f t="shared" si="2038"/>
        <v>2400</v>
      </c>
      <c r="N362" s="311">
        <f t="shared" si="2038"/>
        <v>2700</v>
      </c>
      <c r="O362" s="311">
        <f t="shared" si="2038"/>
        <v>3000</v>
      </c>
      <c r="P362" s="311">
        <f t="shared" si="2038"/>
        <v>3300</v>
      </c>
      <c r="Q362" s="311">
        <f t="shared" si="2038"/>
        <v>3300</v>
      </c>
      <c r="R362" s="311">
        <f t="shared" si="2038"/>
        <v>3300</v>
      </c>
      <c r="S362" s="311">
        <f t="shared" si="2038"/>
        <v>3300</v>
      </c>
      <c r="T362" s="311">
        <f t="shared" si="2038"/>
        <v>3300</v>
      </c>
      <c r="U362" s="311">
        <f t="shared" si="2038"/>
        <v>3300</v>
      </c>
      <c r="V362" s="311">
        <f t="shared" si="2038"/>
        <v>3300</v>
      </c>
      <c r="W362" s="311">
        <f t="shared" si="2038"/>
        <v>3300</v>
      </c>
      <c r="X362" s="311">
        <f t="shared" si="2038"/>
        <v>3300</v>
      </c>
      <c r="Y362" s="311">
        <f t="shared" si="2038"/>
        <v>3300</v>
      </c>
      <c r="Z362" s="311">
        <f t="shared" si="2038"/>
        <v>3300</v>
      </c>
      <c r="AA362" s="311">
        <f t="shared" si="2038"/>
        <v>3300</v>
      </c>
      <c r="AB362" s="311">
        <f t="shared" si="2038"/>
        <v>3300</v>
      </c>
      <c r="AC362" s="311">
        <f t="shared" si="2038"/>
        <v>3300</v>
      </c>
      <c r="AD362" s="311">
        <f t="shared" si="2038"/>
        <v>3300</v>
      </c>
      <c r="AE362" s="311">
        <f t="shared" si="2038"/>
        <v>3300</v>
      </c>
      <c r="AF362" s="311">
        <f t="shared" si="2038"/>
        <v>3300</v>
      </c>
      <c r="AG362" s="311">
        <f t="shared" si="2038"/>
        <v>3300</v>
      </c>
      <c r="AH362" s="311">
        <f t="shared" si="2038"/>
        <v>3300</v>
      </c>
      <c r="AI362" s="311">
        <f t="shared" si="2038"/>
        <v>3300</v>
      </c>
      <c r="AJ362" s="311">
        <f t="shared" si="2038"/>
        <v>3300</v>
      </c>
      <c r="AK362" s="311">
        <f t="shared" si="2038"/>
        <v>3300</v>
      </c>
      <c r="AL362" s="311">
        <f t="shared" si="2038"/>
        <v>3300</v>
      </c>
      <c r="AM362" s="311">
        <f t="shared" si="2038"/>
        <v>3300</v>
      </c>
      <c r="AN362" s="311">
        <f t="shared" si="2038"/>
        <v>3300</v>
      </c>
      <c r="AO362" s="311">
        <f t="shared" si="2038"/>
        <v>3300</v>
      </c>
      <c r="AP362" s="311">
        <f t="shared" si="2038"/>
        <v>3300</v>
      </c>
      <c r="AQ362" s="311">
        <f t="shared" si="2038"/>
        <v>3300</v>
      </c>
      <c r="AR362" s="311">
        <f t="shared" si="2038"/>
        <v>3300</v>
      </c>
      <c r="AS362" s="311">
        <f t="shared" si="2038"/>
        <v>3300</v>
      </c>
      <c r="AT362" s="311">
        <f t="shared" si="2038"/>
        <v>3300</v>
      </c>
      <c r="AU362" s="311">
        <f t="shared" si="2038"/>
        <v>3300</v>
      </c>
      <c r="AV362" s="311">
        <f t="shared" si="2038"/>
        <v>3300</v>
      </c>
      <c r="AW362" s="148"/>
      <c r="AX362" s="171">
        <f t="shared" si="2034"/>
        <v>124140</v>
      </c>
    </row>
    <row r="363" spans="1:50" hidden="1" outlineLevel="1" x14ac:dyDescent="0.2">
      <c r="A363" s="206" t="str">
        <f>A$246</f>
        <v>МОЛОКОЗАВОД: Йогурт</v>
      </c>
      <c r="B363" s="313">
        <v>30</v>
      </c>
      <c r="C363" s="341" t="str">
        <f ca="1">C$358</f>
        <v>тыс. руб.</v>
      </c>
      <c r="F363" s="57" t="s">
        <v>2313</v>
      </c>
      <c r="G363" s="311">
        <f t="shared" ref="G363:AV363" si="2039">G$248*$B363</f>
        <v>300</v>
      </c>
      <c r="H363" s="311">
        <f t="shared" si="2039"/>
        <v>1350</v>
      </c>
      <c r="I363" s="311">
        <f t="shared" si="2039"/>
        <v>2700</v>
      </c>
      <c r="J363" s="311">
        <f t="shared" si="2039"/>
        <v>3750</v>
      </c>
      <c r="K363" s="311">
        <f t="shared" si="2039"/>
        <v>4500</v>
      </c>
      <c r="L363" s="311">
        <f t="shared" si="2039"/>
        <v>5250</v>
      </c>
      <c r="M363" s="311">
        <f t="shared" si="2039"/>
        <v>6000</v>
      </c>
      <c r="N363" s="311">
        <f t="shared" si="2039"/>
        <v>6750</v>
      </c>
      <c r="O363" s="311">
        <f t="shared" si="2039"/>
        <v>7500</v>
      </c>
      <c r="P363" s="311">
        <f t="shared" si="2039"/>
        <v>8250</v>
      </c>
      <c r="Q363" s="311">
        <f t="shared" si="2039"/>
        <v>8250</v>
      </c>
      <c r="R363" s="311">
        <f t="shared" si="2039"/>
        <v>8250</v>
      </c>
      <c r="S363" s="311">
        <f t="shared" si="2039"/>
        <v>8250</v>
      </c>
      <c r="T363" s="311">
        <f t="shared" si="2039"/>
        <v>8250</v>
      </c>
      <c r="U363" s="311">
        <f t="shared" si="2039"/>
        <v>8250</v>
      </c>
      <c r="V363" s="311">
        <f t="shared" si="2039"/>
        <v>8250</v>
      </c>
      <c r="W363" s="311">
        <f t="shared" si="2039"/>
        <v>8250</v>
      </c>
      <c r="X363" s="311">
        <f t="shared" si="2039"/>
        <v>8250</v>
      </c>
      <c r="Y363" s="311">
        <f t="shared" si="2039"/>
        <v>8250</v>
      </c>
      <c r="Z363" s="311">
        <f t="shared" si="2039"/>
        <v>8250</v>
      </c>
      <c r="AA363" s="311">
        <f t="shared" si="2039"/>
        <v>8250</v>
      </c>
      <c r="AB363" s="311">
        <f t="shared" si="2039"/>
        <v>8250</v>
      </c>
      <c r="AC363" s="311">
        <f t="shared" si="2039"/>
        <v>8250</v>
      </c>
      <c r="AD363" s="311">
        <f t="shared" si="2039"/>
        <v>8250</v>
      </c>
      <c r="AE363" s="311">
        <f t="shared" si="2039"/>
        <v>8250</v>
      </c>
      <c r="AF363" s="311">
        <f t="shared" si="2039"/>
        <v>8250</v>
      </c>
      <c r="AG363" s="311">
        <f t="shared" si="2039"/>
        <v>8250</v>
      </c>
      <c r="AH363" s="311">
        <f t="shared" si="2039"/>
        <v>8250</v>
      </c>
      <c r="AI363" s="311">
        <f t="shared" si="2039"/>
        <v>8250</v>
      </c>
      <c r="AJ363" s="311">
        <f t="shared" si="2039"/>
        <v>8250</v>
      </c>
      <c r="AK363" s="311">
        <f t="shared" si="2039"/>
        <v>8250</v>
      </c>
      <c r="AL363" s="311">
        <f t="shared" si="2039"/>
        <v>8250</v>
      </c>
      <c r="AM363" s="311">
        <f t="shared" si="2039"/>
        <v>8250</v>
      </c>
      <c r="AN363" s="311">
        <f t="shared" si="2039"/>
        <v>8250</v>
      </c>
      <c r="AO363" s="311">
        <f t="shared" si="2039"/>
        <v>8250</v>
      </c>
      <c r="AP363" s="311">
        <f t="shared" si="2039"/>
        <v>8250</v>
      </c>
      <c r="AQ363" s="311">
        <f t="shared" si="2039"/>
        <v>8250</v>
      </c>
      <c r="AR363" s="311">
        <f t="shared" si="2039"/>
        <v>8250</v>
      </c>
      <c r="AS363" s="311">
        <f t="shared" si="2039"/>
        <v>8250</v>
      </c>
      <c r="AT363" s="311">
        <f t="shared" si="2039"/>
        <v>8250</v>
      </c>
      <c r="AU363" s="311">
        <f t="shared" si="2039"/>
        <v>8250</v>
      </c>
      <c r="AV363" s="311">
        <f t="shared" si="2039"/>
        <v>8250</v>
      </c>
      <c r="AW363" s="148"/>
      <c r="AX363" s="171">
        <f t="shared" si="2034"/>
        <v>310350</v>
      </c>
    </row>
    <row r="364" spans="1:50" collapsed="1" x14ac:dyDescent="0.2">
      <c r="A364" s="172" t="str">
        <f ca="1">Language!A$623</f>
        <v>затраты на проданный товар, без НДС</v>
      </c>
      <c r="B364" s="188"/>
      <c r="C364" s="146" t="str">
        <f t="shared" ref="C364:C365" ca="1" si="2040">CHOOSE(D364,CurName1,CurName2,CurName3)</f>
        <v>тыс. руб.</v>
      </c>
      <c r="D364" s="155">
        <f>D357</f>
        <v>1</v>
      </c>
      <c r="E364" s="57" t="s">
        <v>992</v>
      </c>
      <c r="F364" s="57" t="s">
        <v>753</v>
      </c>
      <c r="G364" s="148">
        <f ca="1">G358*G380*(1+G379)</f>
        <v>1700</v>
      </c>
      <c r="H364" s="148">
        <f t="shared" ref="H364:AV364" ca="1" si="2041">H358*H380*(1+H379)</f>
        <v>7762.254923190244</v>
      </c>
      <c r="I364" s="148">
        <f t="shared" ca="1" si="2041"/>
        <v>15752.314115710109</v>
      </c>
      <c r="J364" s="148">
        <f t="shared" ca="1" si="2041"/>
        <v>22199.251597006165</v>
      </c>
      <c r="K364" s="148">
        <f t="shared" ca="1" si="2041"/>
        <v>27029.999999999996</v>
      </c>
      <c r="L364" s="148">
        <f t="shared" ca="1" si="2041"/>
        <v>31997.739738928667</v>
      </c>
      <c r="M364" s="148">
        <f t="shared" ca="1" si="2041"/>
        <v>37105.451028117146</v>
      </c>
      <c r="N364" s="148">
        <f t="shared" ca="1" si="2041"/>
        <v>42356.17204708777</v>
      </c>
      <c r="O364" s="148">
        <f t="shared" ca="1" si="2041"/>
        <v>47753.000000000007</v>
      </c>
      <c r="P364" s="148">
        <f t="shared" ca="1" si="2041"/>
        <v>53299.092193701195</v>
      </c>
      <c r="Q364" s="148">
        <f t="shared" ca="1" si="2041"/>
        <v>54081.194873480759</v>
      </c>
      <c r="R364" s="148">
        <f t="shared" ca="1" si="2041"/>
        <v>54874.774007671498</v>
      </c>
      <c r="S364" s="148">
        <f t="shared" ca="1" si="2041"/>
        <v>55679.998000000014</v>
      </c>
      <c r="T364" s="148">
        <f t="shared" ca="1" si="2041"/>
        <v>56497.037725323273</v>
      </c>
      <c r="U364" s="148">
        <f t="shared" ca="1" si="2041"/>
        <v>57326.066565889603</v>
      </c>
      <c r="V364" s="148">
        <f t="shared" ca="1" si="2041"/>
        <v>58167.26044813179</v>
      </c>
      <c r="W364" s="148">
        <f t="shared" ca="1" si="2041"/>
        <v>59020.797880000013</v>
      </c>
      <c r="X364" s="148">
        <f t="shared" ca="1" si="2041"/>
        <v>59886.859988842669</v>
      </c>
      <c r="Y364" s="148">
        <f t="shared" ca="1" si="2041"/>
        <v>60765.630559842983</v>
      </c>
      <c r="Z364" s="148">
        <f t="shared" ca="1" si="2041"/>
        <v>61657.296075019702</v>
      </c>
      <c r="AA364" s="148">
        <f t="shared" ca="1" si="2041"/>
        <v>62562.045752800026</v>
      </c>
      <c r="AB364" s="148">
        <f t="shared" ca="1" si="2041"/>
        <v>63480.071588173239</v>
      </c>
      <c r="AC364" s="148">
        <f t="shared" ca="1" si="2041"/>
        <v>64411.568393433568</v>
      </c>
      <c r="AD364" s="148">
        <f t="shared" ca="1" si="2041"/>
        <v>65356.733839520886</v>
      </c>
      <c r="AE364" s="148">
        <f t="shared" ca="1" si="2041"/>
        <v>66315.768497968034</v>
      </c>
      <c r="AF364" s="148">
        <f t="shared" ca="1" si="2041"/>
        <v>67288.875883463639</v>
      </c>
      <c r="AG364" s="148">
        <f t="shared" ca="1" si="2041"/>
        <v>68276.262497039585</v>
      </c>
      <c r="AH364" s="148">
        <f t="shared" ca="1" si="2041"/>
        <v>69278.137869892147</v>
      </c>
      <c r="AI364" s="148">
        <f t="shared" ca="1" si="2041"/>
        <v>70294.714607846123</v>
      </c>
      <c r="AJ364" s="148">
        <f t="shared" ca="1" si="2041"/>
        <v>71326.208436471468</v>
      </c>
      <c r="AK364" s="148">
        <f t="shared" ca="1" si="2041"/>
        <v>72372.838246861982</v>
      </c>
      <c r="AL364" s="148">
        <f t="shared" ca="1" si="2041"/>
        <v>73434.826142085702</v>
      </c>
      <c r="AM364" s="148">
        <f t="shared" ca="1" si="2041"/>
        <v>74512.397484316898</v>
      </c>
      <c r="AN364" s="148">
        <f t="shared" ca="1" si="2041"/>
        <v>75605.780942659752</v>
      </c>
      <c r="AO364" s="148">
        <f t="shared" ca="1" si="2041"/>
        <v>76715.208541673695</v>
      </c>
      <c r="AP364" s="148">
        <f t="shared" ca="1" si="2041"/>
        <v>77840.915710610832</v>
      </c>
      <c r="AQ364" s="148">
        <f t="shared" ca="1" si="2041"/>
        <v>78983.141333375912</v>
      </c>
      <c r="AR364" s="148">
        <f t="shared" ca="1" si="2041"/>
        <v>80142.12779921935</v>
      </c>
      <c r="AS364" s="148">
        <f t="shared" ca="1" si="2041"/>
        <v>81318.121054174117</v>
      </c>
      <c r="AT364" s="148">
        <f t="shared" ca="1" si="2041"/>
        <v>82511.37065324749</v>
      </c>
      <c r="AU364" s="148">
        <f t="shared" ca="1" si="2041"/>
        <v>83722.129813378473</v>
      </c>
      <c r="AV364" s="148">
        <f t="shared" ca="1" si="2041"/>
        <v>84950.655467172517</v>
      </c>
      <c r="AW364" s="148"/>
      <c r="AX364" s="171">
        <f t="shared" ca="1" si="2034"/>
        <v>2475612.0923233293</v>
      </c>
    </row>
    <row r="365" spans="1:50" hidden="1" outlineLevel="1" x14ac:dyDescent="0.2">
      <c r="A365" s="179" t="str">
        <f ca="1">Language!A$624</f>
        <v>запасы сырья и материалов</v>
      </c>
      <c r="B365" s="188"/>
      <c r="C365" s="82" t="str">
        <f t="shared" ca="1" si="2040"/>
        <v>тыс. руб.</v>
      </c>
      <c r="D365" s="155">
        <f>D357</f>
        <v>1</v>
      </c>
      <c r="E365" s="57" t="s">
        <v>1012</v>
      </c>
      <c r="F365" s="57" t="s">
        <v>754</v>
      </c>
      <c r="G365" s="319">
        <f ca="1">IF(AND($B366=0,G$2&gt;1),F365,G364*$B366/Параметры!G$30)</f>
        <v>0</v>
      </c>
      <c r="H365" s="319">
        <f ca="1">IF(AND($B366=0,H$2&gt;1),G365,H364*$B366/Параметры!H$30)</f>
        <v>0</v>
      </c>
      <c r="I365" s="319">
        <f ca="1">IF(AND($B366=0,I$2&gt;1),H365,I364*$B366/Параметры!I$30)</f>
        <v>0</v>
      </c>
      <c r="J365" s="319">
        <f ca="1">IF(AND($B366=0,J$2&gt;1),I365,J364*$B366/Параметры!J$30)</f>
        <v>0</v>
      </c>
      <c r="K365" s="319">
        <f ca="1">IF(AND($B366=0,K$2&gt;1),J365,K364*$B366/Параметры!K$30)</f>
        <v>0</v>
      </c>
      <c r="L365" s="319">
        <f ca="1">IF(AND($B366=0,L$2&gt;1),K365,L364*$B366/Параметры!L$30)</f>
        <v>0</v>
      </c>
      <c r="M365" s="319">
        <f ca="1">IF(AND($B366=0,M$2&gt;1),L365,M364*$B366/Параметры!M$30)</f>
        <v>0</v>
      </c>
      <c r="N365" s="319">
        <f ca="1">IF(AND($B366=0,N$2&gt;1),M365,N364*$B366/Параметры!N$30)</f>
        <v>0</v>
      </c>
      <c r="O365" s="319">
        <f ca="1">IF(AND($B366=0,O$2&gt;1),N365,O364*$B366/Параметры!O$30)</f>
        <v>0</v>
      </c>
      <c r="P365" s="319">
        <f ca="1">IF(AND($B366=0,P$2&gt;1),O365,P364*$B366/Параметры!P$30)</f>
        <v>0</v>
      </c>
      <c r="Q365" s="319">
        <f ca="1">IF(AND($B366=0,Q$2&gt;1),P365,Q364*$B366/Параметры!Q$30)</f>
        <v>0</v>
      </c>
      <c r="R365" s="319">
        <f ca="1">IF(AND($B366=0,R$2&gt;1),Q365,R364*$B366/Параметры!R$30)</f>
        <v>0</v>
      </c>
      <c r="S365" s="319">
        <f ca="1">IF(AND($B366=0,S$2&gt;1),R365,S364*$B366/Параметры!S$30)</f>
        <v>0</v>
      </c>
      <c r="T365" s="319">
        <f ca="1">IF(AND($B366=0,T$2&gt;1),S365,T364*$B366/Параметры!T$30)</f>
        <v>0</v>
      </c>
      <c r="U365" s="319">
        <f ca="1">IF(AND($B366=0,U$2&gt;1),T365,U364*$B366/Параметры!U$30)</f>
        <v>0</v>
      </c>
      <c r="V365" s="319">
        <f ca="1">IF(AND($B366=0,V$2&gt;1),U365,V364*$B366/Параметры!V$30)</f>
        <v>0</v>
      </c>
      <c r="W365" s="319">
        <f ca="1">IF(AND($B366=0,W$2&gt;1),V365,W364*$B366/Параметры!W$30)</f>
        <v>0</v>
      </c>
      <c r="X365" s="319">
        <f ca="1">IF(AND($B366=0,X$2&gt;1),W365,X364*$B366/Параметры!X$30)</f>
        <v>0</v>
      </c>
      <c r="Y365" s="319">
        <f ca="1">IF(AND($B366=0,Y$2&gt;1),X365,Y364*$B366/Параметры!Y$30)</f>
        <v>0</v>
      </c>
      <c r="Z365" s="319">
        <f ca="1">IF(AND($B366=0,Z$2&gt;1),Y365,Z364*$B366/Параметры!Z$30)</f>
        <v>0</v>
      </c>
      <c r="AA365" s="319">
        <f ca="1">IF(AND($B366=0,AA$2&gt;1),Z365,AA364*$B366/Параметры!AA$30)</f>
        <v>0</v>
      </c>
      <c r="AB365" s="319">
        <f ca="1">IF(AND($B366=0,AB$2&gt;1),AA365,AB364*$B366/Параметры!AB$30)</f>
        <v>0</v>
      </c>
      <c r="AC365" s="319">
        <f ca="1">IF(AND($B366=0,AC$2&gt;1),AB365,AC364*$B366/Параметры!AC$30)</f>
        <v>0</v>
      </c>
      <c r="AD365" s="319">
        <f ca="1">IF(AND($B366=0,AD$2&gt;1),AC365,AD364*$B366/Параметры!AD$30)</f>
        <v>0</v>
      </c>
      <c r="AE365" s="319">
        <f ca="1">IF(AND($B366=0,AE$2&gt;1),AD365,AE364*$B366/Параметры!AE$30)</f>
        <v>0</v>
      </c>
      <c r="AF365" s="319">
        <f ca="1">IF(AND($B366=0,AF$2&gt;1),AE365,AF364*$B366/Параметры!AF$30)</f>
        <v>0</v>
      </c>
      <c r="AG365" s="319">
        <f ca="1">IF(AND($B366=0,AG$2&gt;1),AF365,AG364*$B366/Параметры!AG$30)</f>
        <v>0</v>
      </c>
      <c r="AH365" s="319">
        <f ca="1">IF(AND($B366=0,AH$2&gt;1),AG365,AH364*$B366/Параметры!AH$30)</f>
        <v>0</v>
      </c>
      <c r="AI365" s="319">
        <f ca="1">IF(AND($B366=0,AI$2&gt;1),AH365,AI364*$B366/Параметры!AI$30)</f>
        <v>0</v>
      </c>
      <c r="AJ365" s="319">
        <f ca="1">IF(AND($B366=0,AJ$2&gt;1),AI365,AJ364*$B366/Параметры!AJ$30)</f>
        <v>0</v>
      </c>
      <c r="AK365" s="319">
        <f ca="1">IF(AND($B366=0,AK$2&gt;1),AJ365,AK364*$B366/Параметры!AK$30)</f>
        <v>0</v>
      </c>
      <c r="AL365" s="319">
        <f ca="1">IF(AND($B366=0,AL$2&gt;1),AK365,AL364*$B366/Параметры!AL$30)</f>
        <v>0</v>
      </c>
      <c r="AM365" s="319">
        <f ca="1">IF(AND($B366=0,AM$2&gt;1),AL365,AM364*$B366/Параметры!AM$30)</f>
        <v>0</v>
      </c>
      <c r="AN365" s="319">
        <f ca="1">IF(AND($B366=0,AN$2&gt;1),AM365,AN364*$B366/Параметры!AN$30)</f>
        <v>0</v>
      </c>
      <c r="AO365" s="319">
        <f ca="1">IF(AND($B366=0,AO$2&gt;1),AN365,AO364*$B366/Параметры!AO$30)</f>
        <v>0</v>
      </c>
      <c r="AP365" s="319">
        <f ca="1">IF(AND($B366=0,AP$2&gt;1),AO365,AP364*$B366/Параметры!AP$30)</f>
        <v>0</v>
      </c>
      <c r="AQ365" s="319">
        <f ca="1">IF(AND($B366=0,AQ$2&gt;1),AP365,AQ364*$B366/Параметры!AQ$30)</f>
        <v>0</v>
      </c>
      <c r="AR365" s="319">
        <f ca="1">IF(AND($B366=0,AR$2&gt;1),AQ365,AR364*$B366/Параметры!AR$30)</f>
        <v>0</v>
      </c>
      <c r="AS365" s="319">
        <f ca="1">IF(AND($B366=0,AS$2&gt;1),AR365,AS364*$B366/Параметры!AS$30)</f>
        <v>0</v>
      </c>
      <c r="AT365" s="319">
        <f ca="1">IF(AND($B366=0,AT$2&gt;1),AS365,AT364*$B366/Параметры!AT$30)</f>
        <v>0</v>
      </c>
      <c r="AU365" s="319">
        <f ca="1">IF(AND($B366=0,AU$2&gt;1),AT365,AU364*$B366/Параметры!AU$30)</f>
        <v>0</v>
      </c>
      <c r="AV365" s="319">
        <f ca="1">IF(AND($B366=0,AV$2&gt;1),AU365,AV364*$B366/Параметры!AV$30)</f>
        <v>0</v>
      </c>
      <c r="AW365" s="45"/>
      <c r="AX365" s="171"/>
    </row>
    <row r="366" spans="1:50" hidden="1" outlineLevel="1" x14ac:dyDescent="0.2">
      <c r="A366" s="181" t="str">
        <f ca="1">Language!A$625</f>
        <v>периодичность закупки</v>
      </c>
      <c r="B366" s="320">
        <f>$B$630</f>
        <v>0</v>
      </c>
      <c r="C366" s="152" t="str">
        <f ca="1">Language!$A$1446</f>
        <v>дней</v>
      </c>
      <c r="D366" s="155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71"/>
    </row>
    <row r="367" spans="1:50" hidden="1" outlineLevel="1" x14ac:dyDescent="0.2">
      <c r="A367" s="179" t="str">
        <f ca="1">Language!A$626</f>
        <v>затраты в запасах готовой продукции</v>
      </c>
      <c r="B367" s="188"/>
      <c r="C367" s="82" t="str">
        <f t="shared" ref="C367" ca="1" si="2042">CHOOSE(D367,CurName1,CurName2,CurName3)</f>
        <v>тыс. руб.</v>
      </c>
      <c r="D367" s="155">
        <f>D357</f>
        <v>1</v>
      </c>
      <c r="E367" s="57" t="s">
        <v>1013</v>
      </c>
      <c r="F367" s="57" t="s">
        <v>754</v>
      </c>
      <c r="G367" s="319">
        <f ca="1">IF(AND($B368=0,G$2&gt;1),F367,G364*$B368/Параметры!G$30)</f>
        <v>0</v>
      </c>
      <c r="H367" s="319">
        <f ca="1">IF(AND($B368=0,H$2&gt;1),G367,H364*$B368/Параметры!H$30)</f>
        <v>0</v>
      </c>
      <c r="I367" s="319">
        <f ca="1">IF(AND($B368=0,I$2&gt;1),H367,I364*$B368/Параметры!I$30)</f>
        <v>0</v>
      </c>
      <c r="J367" s="319">
        <f ca="1">IF(AND($B368=0,J$2&gt;1),I367,J364*$B368/Параметры!J$30)</f>
        <v>0</v>
      </c>
      <c r="K367" s="319">
        <f ca="1">IF(AND($B368=0,K$2&gt;1),J367,K364*$B368/Параметры!K$30)</f>
        <v>0</v>
      </c>
      <c r="L367" s="319">
        <f ca="1">IF(AND($B368=0,L$2&gt;1),K367,L364*$B368/Параметры!L$30)</f>
        <v>0</v>
      </c>
      <c r="M367" s="319">
        <f ca="1">IF(AND($B368=0,M$2&gt;1),L367,M364*$B368/Параметры!M$30)</f>
        <v>0</v>
      </c>
      <c r="N367" s="319">
        <f ca="1">IF(AND($B368=0,N$2&gt;1),M367,N364*$B368/Параметры!N$30)</f>
        <v>0</v>
      </c>
      <c r="O367" s="319">
        <f ca="1">IF(AND($B368=0,O$2&gt;1),N367,O364*$B368/Параметры!O$30)</f>
        <v>0</v>
      </c>
      <c r="P367" s="319">
        <f ca="1">IF(AND($B368=0,P$2&gt;1),O367,P364*$B368/Параметры!P$30)</f>
        <v>0</v>
      </c>
      <c r="Q367" s="319">
        <f ca="1">IF(AND($B368=0,Q$2&gt;1),P367,Q364*$B368/Параметры!Q$30)</f>
        <v>0</v>
      </c>
      <c r="R367" s="319">
        <f ca="1">IF(AND($B368=0,R$2&gt;1),Q367,R364*$B368/Параметры!R$30)</f>
        <v>0</v>
      </c>
      <c r="S367" s="319">
        <f ca="1">IF(AND($B368=0,S$2&gt;1),R367,S364*$B368/Параметры!S$30)</f>
        <v>0</v>
      </c>
      <c r="T367" s="319">
        <f ca="1">IF(AND($B368=0,T$2&gt;1),S367,T364*$B368/Параметры!T$30)</f>
        <v>0</v>
      </c>
      <c r="U367" s="319">
        <f ca="1">IF(AND($B368=0,U$2&gt;1),T367,U364*$B368/Параметры!U$30)</f>
        <v>0</v>
      </c>
      <c r="V367" s="319">
        <f ca="1">IF(AND($B368=0,V$2&gt;1),U367,V364*$B368/Параметры!V$30)</f>
        <v>0</v>
      </c>
      <c r="W367" s="319">
        <f ca="1">IF(AND($B368=0,W$2&gt;1),V367,W364*$B368/Параметры!W$30)</f>
        <v>0</v>
      </c>
      <c r="X367" s="319">
        <f ca="1">IF(AND($B368=0,X$2&gt;1),W367,X364*$B368/Параметры!X$30)</f>
        <v>0</v>
      </c>
      <c r="Y367" s="319">
        <f ca="1">IF(AND($B368=0,Y$2&gt;1),X367,Y364*$B368/Параметры!Y$30)</f>
        <v>0</v>
      </c>
      <c r="Z367" s="319">
        <f ca="1">IF(AND($B368=0,Z$2&gt;1),Y367,Z364*$B368/Параметры!Z$30)</f>
        <v>0</v>
      </c>
      <c r="AA367" s="319">
        <f ca="1">IF(AND($B368=0,AA$2&gt;1),Z367,AA364*$B368/Параметры!AA$30)</f>
        <v>0</v>
      </c>
      <c r="AB367" s="319">
        <f ca="1">IF(AND($B368=0,AB$2&gt;1),AA367,AB364*$B368/Параметры!AB$30)</f>
        <v>0</v>
      </c>
      <c r="AC367" s="319">
        <f ca="1">IF(AND($B368=0,AC$2&gt;1),AB367,AC364*$B368/Параметры!AC$30)</f>
        <v>0</v>
      </c>
      <c r="AD367" s="319">
        <f ca="1">IF(AND($B368=0,AD$2&gt;1),AC367,AD364*$B368/Параметры!AD$30)</f>
        <v>0</v>
      </c>
      <c r="AE367" s="319">
        <f ca="1">IF(AND($B368=0,AE$2&gt;1),AD367,AE364*$B368/Параметры!AE$30)</f>
        <v>0</v>
      </c>
      <c r="AF367" s="319">
        <f ca="1">IF(AND($B368=0,AF$2&gt;1),AE367,AF364*$B368/Параметры!AF$30)</f>
        <v>0</v>
      </c>
      <c r="AG367" s="319">
        <f ca="1">IF(AND($B368=0,AG$2&gt;1),AF367,AG364*$B368/Параметры!AG$30)</f>
        <v>0</v>
      </c>
      <c r="AH367" s="319">
        <f ca="1">IF(AND($B368=0,AH$2&gt;1),AG367,AH364*$B368/Параметры!AH$30)</f>
        <v>0</v>
      </c>
      <c r="AI367" s="319">
        <f ca="1">IF(AND($B368=0,AI$2&gt;1),AH367,AI364*$B368/Параметры!AI$30)</f>
        <v>0</v>
      </c>
      <c r="AJ367" s="319">
        <f ca="1">IF(AND($B368=0,AJ$2&gt;1),AI367,AJ364*$B368/Параметры!AJ$30)</f>
        <v>0</v>
      </c>
      <c r="AK367" s="319">
        <f ca="1">IF(AND($B368=0,AK$2&gt;1),AJ367,AK364*$B368/Параметры!AK$30)</f>
        <v>0</v>
      </c>
      <c r="AL367" s="319">
        <f ca="1">IF(AND($B368=0,AL$2&gt;1),AK367,AL364*$B368/Параметры!AL$30)</f>
        <v>0</v>
      </c>
      <c r="AM367" s="319">
        <f ca="1">IF(AND($B368=0,AM$2&gt;1),AL367,AM364*$B368/Параметры!AM$30)</f>
        <v>0</v>
      </c>
      <c r="AN367" s="319">
        <f ca="1">IF(AND($B368=0,AN$2&gt;1),AM367,AN364*$B368/Параметры!AN$30)</f>
        <v>0</v>
      </c>
      <c r="AO367" s="319">
        <f ca="1">IF(AND($B368=0,AO$2&gt;1),AN367,AO364*$B368/Параметры!AO$30)</f>
        <v>0</v>
      </c>
      <c r="AP367" s="319">
        <f ca="1">IF(AND($B368=0,AP$2&gt;1),AO367,AP364*$B368/Параметры!AP$30)</f>
        <v>0</v>
      </c>
      <c r="AQ367" s="319">
        <f ca="1">IF(AND($B368=0,AQ$2&gt;1),AP367,AQ364*$B368/Параметры!AQ$30)</f>
        <v>0</v>
      </c>
      <c r="AR367" s="319">
        <f ca="1">IF(AND($B368=0,AR$2&gt;1),AQ367,AR364*$B368/Параметры!AR$30)</f>
        <v>0</v>
      </c>
      <c r="AS367" s="319">
        <f ca="1">IF(AND($B368=0,AS$2&gt;1),AR367,AS364*$B368/Параметры!AS$30)</f>
        <v>0</v>
      </c>
      <c r="AT367" s="319">
        <f ca="1">IF(AND($B368=0,AT$2&gt;1),AS367,AT364*$B368/Параметры!AT$30)</f>
        <v>0</v>
      </c>
      <c r="AU367" s="319">
        <f ca="1">IF(AND($B368=0,AU$2&gt;1),AT367,AU364*$B368/Параметры!AU$30)</f>
        <v>0</v>
      </c>
      <c r="AV367" s="319">
        <f ca="1">IF(AND($B368=0,AV$2&gt;1),AU367,AV364*$B368/Параметры!AV$30)</f>
        <v>0</v>
      </c>
      <c r="AW367" s="180"/>
      <c r="AX367" s="189"/>
    </row>
    <row r="368" spans="1:50" hidden="1" outlineLevel="1" x14ac:dyDescent="0.2">
      <c r="A368" s="181" t="str">
        <f ca="1">Language!A$627</f>
        <v>периодичность отгрузки</v>
      </c>
      <c r="B368" s="320">
        <f>$B$642</f>
        <v>0</v>
      </c>
      <c r="C368" s="152" t="str">
        <f ca="1">Language!$A$1446</f>
        <v>дней</v>
      </c>
      <c r="D368" s="155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71"/>
    </row>
    <row r="369" spans="1:50" hidden="1" outlineLevel="1" x14ac:dyDescent="0.2">
      <c r="A369" s="179" t="str">
        <f ca="1">Language!A$628</f>
        <v>затраты в незавершенном производстве</v>
      </c>
      <c r="B369" s="188"/>
      <c r="C369" s="82" t="str">
        <f t="shared" ref="C369" ca="1" si="2043">CHOOSE(D369,CurName1,CurName2,CurName3)</f>
        <v>тыс. руб.</v>
      </c>
      <c r="D369" s="155">
        <f>D357</f>
        <v>1</v>
      </c>
      <c r="E369" s="57" t="s">
        <v>760</v>
      </c>
      <c r="F369" s="57" t="s">
        <v>754</v>
      </c>
      <c r="G369" s="319">
        <f ca="1">IF(AND($B370=0,G$2&gt;1),F369,G364*$B370/Параметры!G$30)</f>
        <v>0</v>
      </c>
      <c r="H369" s="319">
        <f ca="1">IF(AND($B370=0,H$2&gt;1),G369,H364*$B370/Параметры!H$30)</f>
        <v>0</v>
      </c>
      <c r="I369" s="319">
        <f ca="1">IF(AND($B370=0,I$2&gt;1),H369,I364*$B370/Параметры!I$30)</f>
        <v>0</v>
      </c>
      <c r="J369" s="319">
        <f ca="1">IF(AND($B370=0,J$2&gt;1),I369,J364*$B370/Параметры!J$30)</f>
        <v>0</v>
      </c>
      <c r="K369" s="319">
        <f ca="1">IF(AND($B370=0,K$2&gt;1),J369,K364*$B370/Параметры!K$30)</f>
        <v>0</v>
      </c>
      <c r="L369" s="319">
        <f ca="1">IF(AND($B370=0,L$2&gt;1),K369,L364*$B370/Параметры!L$30)</f>
        <v>0</v>
      </c>
      <c r="M369" s="319">
        <f ca="1">IF(AND($B370=0,M$2&gt;1),L369,M364*$B370/Параметры!M$30)</f>
        <v>0</v>
      </c>
      <c r="N369" s="319">
        <f ca="1">IF(AND($B370=0,N$2&gt;1),M369,N364*$B370/Параметры!N$30)</f>
        <v>0</v>
      </c>
      <c r="O369" s="319">
        <f ca="1">IF(AND($B370=0,O$2&gt;1),N369,O364*$B370/Параметры!O$30)</f>
        <v>0</v>
      </c>
      <c r="P369" s="319">
        <f ca="1">IF(AND($B370=0,P$2&gt;1),O369,P364*$B370/Параметры!P$30)</f>
        <v>0</v>
      </c>
      <c r="Q369" s="319">
        <f ca="1">IF(AND($B370=0,Q$2&gt;1),P369,Q364*$B370/Параметры!Q$30)</f>
        <v>0</v>
      </c>
      <c r="R369" s="319">
        <f ca="1">IF(AND($B370=0,R$2&gt;1),Q369,R364*$B370/Параметры!R$30)</f>
        <v>0</v>
      </c>
      <c r="S369" s="319">
        <f ca="1">IF(AND($B370=0,S$2&gt;1),R369,S364*$B370/Параметры!S$30)</f>
        <v>0</v>
      </c>
      <c r="T369" s="319">
        <f ca="1">IF(AND($B370=0,T$2&gt;1),S369,T364*$B370/Параметры!T$30)</f>
        <v>0</v>
      </c>
      <c r="U369" s="319">
        <f ca="1">IF(AND($B370=0,U$2&gt;1),T369,U364*$B370/Параметры!U$30)</f>
        <v>0</v>
      </c>
      <c r="V369" s="319">
        <f ca="1">IF(AND($B370=0,V$2&gt;1),U369,V364*$B370/Параметры!V$30)</f>
        <v>0</v>
      </c>
      <c r="W369" s="319">
        <f ca="1">IF(AND($B370=0,W$2&gt;1),V369,W364*$B370/Параметры!W$30)</f>
        <v>0</v>
      </c>
      <c r="X369" s="319">
        <f ca="1">IF(AND($B370=0,X$2&gt;1),W369,X364*$B370/Параметры!X$30)</f>
        <v>0</v>
      </c>
      <c r="Y369" s="319">
        <f ca="1">IF(AND($B370=0,Y$2&gt;1),X369,Y364*$B370/Параметры!Y$30)</f>
        <v>0</v>
      </c>
      <c r="Z369" s="319">
        <f ca="1">IF(AND($B370=0,Z$2&gt;1),Y369,Z364*$B370/Параметры!Z$30)</f>
        <v>0</v>
      </c>
      <c r="AA369" s="319">
        <f ca="1">IF(AND($B370=0,AA$2&gt;1),Z369,AA364*$B370/Параметры!AA$30)</f>
        <v>0</v>
      </c>
      <c r="AB369" s="319">
        <f ca="1">IF(AND($B370=0,AB$2&gt;1),AA369,AB364*$B370/Параметры!AB$30)</f>
        <v>0</v>
      </c>
      <c r="AC369" s="319">
        <f ca="1">IF(AND($B370=0,AC$2&gt;1),AB369,AC364*$B370/Параметры!AC$30)</f>
        <v>0</v>
      </c>
      <c r="AD369" s="319">
        <f ca="1">IF(AND($B370=0,AD$2&gt;1),AC369,AD364*$B370/Параметры!AD$30)</f>
        <v>0</v>
      </c>
      <c r="AE369" s="319">
        <f ca="1">IF(AND($B370=0,AE$2&gt;1),AD369,AE364*$B370/Параметры!AE$30)</f>
        <v>0</v>
      </c>
      <c r="AF369" s="319">
        <f ca="1">IF(AND($B370=0,AF$2&gt;1),AE369,AF364*$B370/Параметры!AF$30)</f>
        <v>0</v>
      </c>
      <c r="AG369" s="319">
        <f ca="1">IF(AND($B370=0,AG$2&gt;1),AF369,AG364*$B370/Параметры!AG$30)</f>
        <v>0</v>
      </c>
      <c r="AH369" s="319">
        <f ca="1">IF(AND($B370=0,AH$2&gt;1),AG369,AH364*$B370/Параметры!AH$30)</f>
        <v>0</v>
      </c>
      <c r="AI369" s="319">
        <f ca="1">IF(AND($B370=0,AI$2&gt;1),AH369,AI364*$B370/Параметры!AI$30)</f>
        <v>0</v>
      </c>
      <c r="AJ369" s="319">
        <f ca="1">IF(AND($B370=0,AJ$2&gt;1),AI369,AJ364*$B370/Параметры!AJ$30)</f>
        <v>0</v>
      </c>
      <c r="AK369" s="319">
        <f ca="1">IF(AND($B370=0,AK$2&gt;1),AJ369,AK364*$B370/Параметры!AK$30)</f>
        <v>0</v>
      </c>
      <c r="AL369" s="319">
        <f ca="1">IF(AND($B370=0,AL$2&gt;1),AK369,AL364*$B370/Параметры!AL$30)</f>
        <v>0</v>
      </c>
      <c r="AM369" s="319">
        <f ca="1">IF(AND($B370=0,AM$2&gt;1),AL369,AM364*$B370/Параметры!AM$30)</f>
        <v>0</v>
      </c>
      <c r="AN369" s="319">
        <f ca="1">IF(AND($B370=0,AN$2&gt;1),AM369,AN364*$B370/Параметры!AN$30)</f>
        <v>0</v>
      </c>
      <c r="AO369" s="319">
        <f ca="1">IF(AND($B370=0,AO$2&gt;1),AN369,AO364*$B370/Параметры!AO$30)</f>
        <v>0</v>
      </c>
      <c r="AP369" s="319">
        <f ca="1">IF(AND($B370=0,AP$2&gt;1),AO369,AP364*$B370/Параметры!AP$30)</f>
        <v>0</v>
      </c>
      <c r="AQ369" s="319">
        <f ca="1">IF(AND($B370=0,AQ$2&gt;1),AP369,AQ364*$B370/Параметры!AQ$30)</f>
        <v>0</v>
      </c>
      <c r="AR369" s="319">
        <f ca="1">IF(AND($B370=0,AR$2&gt;1),AQ369,AR364*$B370/Параметры!AR$30)</f>
        <v>0</v>
      </c>
      <c r="AS369" s="319">
        <f ca="1">IF(AND($B370=0,AS$2&gt;1),AR369,AS364*$B370/Параметры!AS$30)</f>
        <v>0</v>
      </c>
      <c r="AT369" s="319">
        <f ca="1">IF(AND($B370=0,AT$2&gt;1),AS369,AT364*$B370/Параметры!AT$30)</f>
        <v>0</v>
      </c>
      <c r="AU369" s="319">
        <f ca="1">IF(AND($B370=0,AU$2&gt;1),AT369,AU364*$B370/Параметры!AU$30)</f>
        <v>0</v>
      </c>
      <c r="AV369" s="319">
        <f ca="1">IF(AND($B370=0,AV$2&gt;1),AU369,AV364*$B370/Параметры!AV$30)</f>
        <v>0</v>
      </c>
      <c r="AW369" s="180"/>
      <c r="AX369" s="189"/>
    </row>
    <row r="370" spans="1:50" hidden="1" outlineLevel="1" x14ac:dyDescent="0.2">
      <c r="A370" s="181" t="str">
        <f ca="1">Language!A$629</f>
        <v>длительность производственного цикла</v>
      </c>
      <c r="B370" s="320">
        <f>$B$636</f>
        <v>0</v>
      </c>
      <c r="C370" s="152" t="str">
        <f ca="1">Language!$A$1446</f>
        <v>дней</v>
      </c>
      <c r="D370" s="155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71"/>
    </row>
    <row r="371" spans="1:50" hidden="1" outlineLevel="1" x14ac:dyDescent="0.2">
      <c r="A371" s="179" t="str">
        <f ca="1">Language!A$630</f>
        <v>общий расход за период, без НДС</v>
      </c>
      <c r="B371" s="188"/>
      <c r="C371" s="82" t="str">
        <f t="shared" ref="C371" ca="1" si="2044">CHOOSE(D371,CurName1,CurName2,CurName3)</f>
        <v>тыс. руб.</v>
      </c>
      <c r="D371" s="155">
        <f>D357</f>
        <v>1</v>
      </c>
      <c r="F371" s="57" t="s">
        <v>753</v>
      </c>
      <c r="G371" s="190">
        <f t="shared" ref="G371" ca="1" si="2045">G364+IF(G$2=1,G365+G367+G369,G365+G367+G369-F365-F367-F369)</f>
        <v>1700</v>
      </c>
      <c r="H371" s="190">
        <f t="shared" ref="H371" ca="1" si="2046">H364+IF(H$2=1,H365+H367+H369,H365+H367+H369-G365-G367-G369)</f>
        <v>7762.254923190244</v>
      </c>
      <c r="I371" s="190">
        <f t="shared" ref="I371" ca="1" si="2047">I364+IF(I$2=1,I365+I367+I369,I365+I367+I369-H365-H367-H369)</f>
        <v>15752.314115710109</v>
      </c>
      <c r="J371" s="190">
        <f t="shared" ref="J371" ca="1" si="2048">J364+IF(J$2=1,J365+J367+J369,J365+J367+J369-I365-I367-I369)</f>
        <v>22199.251597006165</v>
      </c>
      <c r="K371" s="190">
        <f t="shared" ref="K371" ca="1" si="2049">K364+IF(K$2=1,K365+K367+K369,K365+K367+K369-J365-J367-J369)</f>
        <v>27029.999999999996</v>
      </c>
      <c r="L371" s="190">
        <f t="shared" ref="L371" ca="1" si="2050">L364+IF(L$2=1,L365+L367+L369,L365+L367+L369-K365-K367-K369)</f>
        <v>31997.739738928667</v>
      </c>
      <c r="M371" s="190">
        <f t="shared" ref="M371" ca="1" si="2051">M364+IF(M$2=1,M365+M367+M369,M365+M367+M369-L365-L367-L369)</f>
        <v>37105.451028117146</v>
      </c>
      <c r="N371" s="190">
        <f t="shared" ref="N371" ca="1" si="2052">N364+IF(N$2=1,N365+N367+N369,N365+N367+N369-M365-M367-M369)</f>
        <v>42356.17204708777</v>
      </c>
      <c r="O371" s="190">
        <f t="shared" ref="O371" ca="1" si="2053">O364+IF(O$2=1,O365+O367+O369,O365+O367+O369-N365-N367-N369)</f>
        <v>47753.000000000007</v>
      </c>
      <c r="P371" s="190">
        <f t="shared" ref="P371" ca="1" si="2054">P364+IF(P$2=1,P365+P367+P369,P365+P367+P369-O365-O367-O369)</f>
        <v>53299.092193701195</v>
      </c>
      <c r="Q371" s="190">
        <f t="shared" ref="Q371" ca="1" si="2055">Q364+IF(Q$2=1,Q365+Q367+Q369,Q365+Q367+Q369-P365-P367-P369)</f>
        <v>54081.194873480759</v>
      </c>
      <c r="R371" s="190">
        <f t="shared" ref="R371" ca="1" si="2056">R364+IF(R$2=1,R365+R367+R369,R365+R367+R369-Q365-Q367-Q369)</f>
        <v>54874.774007671498</v>
      </c>
      <c r="S371" s="190">
        <f t="shared" ref="S371" ca="1" si="2057">S364+IF(S$2=1,S365+S367+S369,S365+S367+S369-R365-R367-R369)</f>
        <v>55679.998000000014</v>
      </c>
      <c r="T371" s="190">
        <f t="shared" ref="T371" ca="1" si="2058">T364+IF(T$2=1,T365+T367+T369,T365+T367+T369-S365-S367-S369)</f>
        <v>56497.037725323273</v>
      </c>
      <c r="U371" s="190">
        <f t="shared" ref="U371" ca="1" si="2059">U364+IF(U$2=1,U365+U367+U369,U365+U367+U369-T365-T367-T369)</f>
        <v>57326.066565889603</v>
      </c>
      <c r="V371" s="190">
        <f t="shared" ref="V371" ca="1" si="2060">V364+IF(V$2=1,V365+V367+V369,V365+V367+V369-U365-U367-U369)</f>
        <v>58167.26044813179</v>
      </c>
      <c r="W371" s="190">
        <f t="shared" ref="W371" ca="1" si="2061">W364+IF(W$2=1,W365+W367+W369,W365+W367+W369-V365-V367-V369)</f>
        <v>59020.797880000013</v>
      </c>
      <c r="X371" s="190">
        <f t="shared" ref="X371" ca="1" si="2062">X364+IF(X$2=1,X365+X367+X369,X365+X367+X369-W365-W367-W369)</f>
        <v>59886.859988842669</v>
      </c>
      <c r="Y371" s="190">
        <f t="shared" ref="Y371" ca="1" si="2063">Y364+IF(Y$2=1,Y365+Y367+Y369,Y365+Y367+Y369-X365-X367-X369)</f>
        <v>60765.630559842983</v>
      </c>
      <c r="Z371" s="190">
        <f t="shared" ref="Z371" ca="1" si="2064">Z364+IF(Z$2=1,Z365+Z367+Z369,Z365+Z367+Z369-Y365-Y367-Y369)</f>
        <v>61657.296075019702</v>
      </c>
      <c r="AA371" s="190">
        <f t="shared" ref="AA371" ca="1" si="2065">AA364+IF(AA$2=1,AA365+AA367+AA369,AA365+AA367+AA369-Z365-Z367-Z369)</f>
        <v>62562.045752800026</v>
      </c>
      <c r="AB371" s="190">
        <f t="shared" ref="AB371" ca="1" si="2066">AB364+IF(AB$2=1,AB365+AB367+AB369,AB365+AB367+AB369-AA365-AA367-AA369)</f>
        <v>63480.071588173239</v>
      </c>
      <c r="AC371" s="190">
        <f t="shared" ref="AC371" ca="1" si="2067">AC364+IF(AC$2=1,AC365+AC367+AC369,AC365+AC367+AC369-AB365-AB367-AB369)</f>
        <v>64411.568393433568</v>
      </c>
      <c r="AD371" s="190">
        <f t="shared" ref="AD371" ca="1" si="2068">AD364+IF(AD$2=1,AD365+AD367+AD369,AD365+AD367+AD369-AC365-AC367-AC369)</f>
        <v>65356.733839520886</v>
      </c>
      <c r="AE371" s="190">
        <f t="shared" ref="AE371" ca="1" si="2069">AE364+IF(AE$2=1,AE365+AE367+AE369,AE365+AE367+AE369-AD365-AD367-AD369)</f>
        <v>66315.768497968034</v>
      </c>
      <c r="AF371" s="190">
        <f t="shared" ref="AF371" ca="1" si="2070">AF364+IF(AF$2=1,AF365+AF367+AF369,AF365+AF367+AF369-AE365-AE367-AE369)</f>
        <v>67288.875883463639</v>
      </c>
      <c r="AG371" s="190">
        <f t="shared" ref="AG371" ca="1" si="2071">AG364+IF(AG$2=1,AG365+AG367+AG369,AG365+AG367+AG369-AF365-AF367-AF369)</f>
        <v>68276.262497039585</v>
      </c>
      <c r="AH371" s="190">
        <f t="shared" ref="AH371" ca="1" si="2072">AH364+IF(AH$2=1,AH365+AH367+AH369,AH365+AH367+AH369-AG365-AG367-AG369)</f>
        <v>69278.137869892147</v>
      </c>
      <c r="AI371" s="190">
        <f t="shared" ref="AI371" ca="1" si="2073">AI364+IF(AI$2=1,AI365+AI367+AI369,AI365+AI367+AI369-AH365-AH367-AH369)</f>
        <v>70294.714607846123</v>
      </c>
      <c r="AJ371" s="190">
        <f t="shared" ref="AJ371" ca="1" si="2074">AJ364+IF(AJ$2=1,AJ365+AJ367+AJ369,AJ365+AJ367+AJ369-AI365-AI367-AI369)</f>
        <v>71326.208436471468</v>
      </c>
      <c r="AK371" s="190">
        <f t="shared" ref="AK371" ca="1" si="2075">AK364+IF(AK$2=1,AK365+AK367+AK369,AK365+AK367+AK369-AJ365-AJ367-AJ369)</f>
        <v>72372.838246861982</v>
      </c>
      <c r="AL371" s="190">
        <f t="shared" ref="AL371" ca="1" si="2076">AL364+IF(AL$2=1,AL365+AL367+AL369,AL365+AL367+AL369-AK365-AK367-AK369)</f>
        <v>73434.826142085702</v>
      </c>
      <c r="AM371" s="190">
        <f t="shared" ref="AM371" ca="1" si="2077">AM364+IF(AM$2=1,AM365+AM367+AM369,AM365+AM367+AM369-AL365-AL367-AL369)</f>
        <v>74512.397484316898</v>
      </c>
      <c r="AN371" s="190">
        <f t="shared" ref="AN371" ca="1" si="2078">AN364+IF(AN$2=1,AN365+AN367+AN369,AN365+AN367+AN369-AM365-AM367-AM369)</f>
        <v>75605.780942659752</v>
      </c>
      <c r="AO371" s="190">
        <f t="shared" ref="AO371" ca="1" si="2079">AO364+IF(AO$2=1,AO365+AO367+AO369,AO365+AO367+AO369-AN365-AN367-AN369)</f>
        <v>76715.208541673695</v>
      </c>
      <c r="AP371" s="190">
        <f t="shared" ref="AP371" ca="1" si="2080">AP364+IF(AP$2=1,AP365+AP367+AP369,AP365+AP367+AP369-AO365-AO367-AO369)</f>
        <v>77840.915710610832</v>
      </c>
      <c r="AQ371" s="190">
        <f t="shared" ref="AQ371" ca="1" si="2081">AQ364+IF(AQ$2=1,AQ365+AQ367+AQ369,AQ365+AQ367+AQ369-AP365-AP367-AP369)</f>
        <v>78983.141333375912</v>
      </c>
      <c r="AR371" s="190">
        <f t="shared" ref="AR371" ca="1" si="2082">AR364+IF(AR$2=1,AR365+AR367+AR369,AR365+AR367+AR369-AQ365-AQ367-AQ369)</f>
        <v>80142.12779921935</v>
      </c>
      <c r="AS371" s="190">
        <f t="shared" ref="AS371" ca="1" si="2083">AS364+IF(AS$2=1,AS365+AS367+AS369,AS365+AS367+AS369-AR365-AR367-AR369)</f>
        <v>81318.121054174117</v>
      </c>
      <c r="AT371" s="190">
        <f t="shared" ref="AT371" ca="1" si="2084">AT364+IF(AT$2=1,AT365+AT367+AT369,AT365+AT367+AT369-AS365-AS367-AS369)</f>
        <v>82511.37065324749</v>
      </c>
      <c r="AU371" s="190">
        <f t="shared" ref="AU371" ca="1" si="2085">AU364+IF(AU$2=1,AU365+AU367+AU369,AU365+AU367+AU369-AT365-AT367-AT369)</f>
        <v>83722.129813378473</v>
      </c>
      <c r="AV371" s="190">
        <f t="shared" ref="AV371" ca="1" si="2086">AV364+IF(AV$2=1,AV365+AV367+AV369,AV365+AV367+AV369-AU365-AU367-AU369)</f>
        <v>84950.655467172517</v>
      </c>
      <c r="AW371" s="190"/>
      <c r="AX371" s="189">
        <f ca="1">SUM(G371:AW371)</f>
        <v>2475612.0923233293</v>
      </c>
    </row>
    <row r="372" spans="1:50" hidden="1" outlineLevel="1" x14ac:dyDescent="0.2">
      <c r="A372" s="179" t="str">
        <f ca="1">Language!A$631</f>
        <v>кредиторская задолженность</v>
      </c>
      <c r="B372" s="188"/>
      <c r="C372" s="82" t="str">
        <f ca="1">CHOOSE(D372,CurName1,CurName2,CurName3)</f>
        <v>тыс. руб.</v>
      </c>
      <c r="D372" s="155">
        <f>D357</f>
        <v>1</v>
      </c>
      <c r="E372" s="57" t="s">
        <v>1014</v>
      </c>
      <c r="F372" s="57" t="s">
        <v>754</v>
      </c>
      <c r="G372" s="316">
        <f ca="1">IF(AND($B373=0,G$2&gt;1),F372,(G371+G382)*$B373/Параметры!G$30)</f>
        <v>0</v>
      </c>
      <c r="H372" s="316">
        <f ca="1">IF(AND($B373=0,H$2&gt;1),G372,(H371+H382)*$B373/Параметры!H$30)</f>
        <v>0</v>
      </c>
      <c r="I372" s="316">
        <f ca="1">IF(AND($B373=0,I$2&gt;1),H372,(I371+I382)*$B373/Параметры!I$30)</f>
        <v>0</v>
      </c>
      <c r="J372" s="316">
        <f ca="1">IF(AND($B373=0,J$2&gt;1),I372,(J371+J382)*$B373/Параметры!J$30)</f>
        <v>0</v>
      </c>
      <c r="K372" s="316">
        <f ca="1">IF(AND($B373=0,K$2&gt;1),J372,(K371+K382)*$B373/Параметры!K$30)</f>
        <v>0</v>
      </c>
      <c r="L372" s="316">
        <f ca="1">IF(AND($B373=0,L$2&gt;1),K372,(L371+L382)*$B373/Параметры!L$30)</f>
        <v>0</v>
      </c>
      <c r="M372" s="316">
        <f ca="1">IF(AND($B373=0,M$2&gt;1),L372,(M371+M382)*$B373/Параметры!M$30)</f>
        <v>0</v>
      </c>
      <c r="N372" s="316">
        <f ca="1">IF(AND($B373=0,N$2&gt;1),M372,(N371+N382)*$B373/Параметры!N$30)</f>
        <v>0</v>
      </c>
      <c r="O372" s="316">
        <f ca="1">IF(AND($B373=0,O$2&gt;1),N372,(O371+O382)*$B373/Параметры!O$30)</f>
        <v>0</v>
      </c>
      <c r="P372" s="316">
        <f ca="1">IF(AND($B373=0,P$2&gt;1),O372,(P371+P382)*$B373/Параметры!P$30)</f>
        <v>0</v>
      </c>
      <c r="Q372" s="316">
        <f ca="1">IF(AND($B373=0,Q$2&gt;1),P372,(Q371+Q382)*$B373/Параметры!Q$30)</f>
        <v>0</v>
      </c>
      <c r="R372" s="316">
        <f ca="1">IF(AND($B373=0,R$2&gt;1),Q372,(R371+R382)*$B373/Параметры!R$30)</f>
        <v>0</v>
      </c>
      <c r="S372" s="316">
        <f ca="1">IF(AND($B373=0,S$2&gt;1),R372,(S371+S382)*$B373/Параметры!S$30)</f>
        <v>0</v>
      </c>
      <c r="T372" s="316">
        <f ca="1">IF(AND($B373=0,T$2&gt;1),S372,(T371+T382)*$B373/Параметры!T$30)</f>
        <v>0</v>
      </c>
      <c r="U372" s="316">
        <f ca="1">IF(AND($B373=0,U$2&gt;1),T372,(U371+U382)*$B373/Параметры!U$30)</f>
        <v>0</v>
      </c>
      <c r="V372" s="316">
        <f ca="1">IF(AND($B373=0,V$2&gt;1),U372,(V371+V382)*$B373/Параметры!V$30)</f>
        <v>0</v>
      </c>
      <c r="W372" s="316">
        <f ca="1">IF(AND($B373=0,W$2&gt;1),V372,(W371+W382)*$B373/Параметры!W$30)</f>
        <v>0</v>
      </c>
      <c r="X372" s="316">
        <f ca="1">IF(AND($B373=0,X$2&gt;1),W372,(X371+X382)*$B373/Параметры!X$30)</f>
        <v>0</v>
      </c>
      <c r="Y372" s="316">
        <f ca="1">IF(AND($B373=0,Y$2&gt;1),X372,(Y371+Y382)*$B373/Параметры!Y$30)</f>
        <v>0</v>
      </c>
      <c r="Z372" s="316">
        <f ca="1">IF(AND($B373=0,Z$2&gt;1),Y372,(Z371+Z382)*$B373/Параметры!Z$30)</f>
        <v>0</v>
      </c>
      <c r="AA372" s="316">
        <f ca="1">IF(AND($B373=0,AA$2&gt;1),Z372,(AA371+AA382)*$B373/Параметры!AA$30)</f>
        <v>0</v>
      </c>
      <c r="AB372" s="316">
        <f ca="1">IF(AND($B373=0,AB$2&gt;1),AA372,(AB371+AB382)*$B373/Параметры!AB$30)</f>
        <v>0</v>
      </c>
      <c r="AC372" s="316">
        <f ca="1">IF(AND($B373=0,AC$2&gt;1),AB372,(AC371+AC382)*$B373/Параметры!AC$30)</f>
        <v>0</v>
      </c>
      <c r="AD372" s="316">
        <f ca="1">IF(AND($B373=0,AD$2&gt;1),AC372,(AD371+AD382)*$B373/Параметры!AD$30)</f>
        <v>0</v>
      </c>
      <c r="AE372" s="316">
        <f ca="1">IF(AND($B373=0,AE$2&gt;1),AD372,(AE371+AE382)*$B373/Параметры!AE$30)</f>
        <v>0</v>
      </c>
      <c r="AF372" s="316">
        <f ca="1">IF(AND($B373=0,AF$2&gt;1),AE372,(AF371+AF382)*$B373/Параметры!AF$30)</f>
        <v>0</v>
      </c>
      <c r="AG372" s="316">
        <f ca="1">IF(AND($B373=0,AG$2&gt;1),AF372,(AG371+AG382)*$B373/Параметры!AG$30)</f>
        <v>0</v>
      </c>
      <c r="AH372" s="316">
        <f ca="1">IF(AND($B373=0,AH$2&gt;1),AG372,(AH371+AH382)*$B373/Параметры!AH$30)</f>
        <v>0</v>
      </c>
      <c r="AI372" s="316">
        <f ca="1">IF(AND($B373=0,AI$2&gt;1),AH372,(AI371+AI382)*$B373/Параметры!AI$30)</f>
        <v>0</v>
      </c>
      <c r="AJ372" s="316">
        <f ca="1">IF(AND($B373=0,AJ$2&gt;1),AI372,(AJ371+AJ382)*$B373/Параметры!AJ$30)</f>
        <v>0</v>
      </c>
      <c r="AK372" s="316">
        <f ca="1">IF(AND($B373=0,AK$2&gt;1),AJ372,(AK371+AK382)*$B373/Параметры!AK$30)</f>
        <v>0</v>
      </c>
      <c r="AL372" s="316">
        <f ca="1">IF(AND($B373=0,AL$2&gt;1),AK372,(AL371+AL382)*$B373/Параметры!AL$30)</f>
        <v>0</v>
      </c>
      <c r="AM372" s="316">
        <f ca="1">IF(AND($B373=0,AM$2&gt;1),AL372,(AM371+AM382)*$B373/Параметры!AM$30)</f>
        <v>0</v>
      </c>
      <c r="AN372" s="316">
        <f ca="1">IF(AND($B373=0,AN$2&gt;1),AM372,(AN371+AN382)*$B373/Параметры!AN$30)</f>
        <v>0</v>
      </c>
      <c r="AO372" s="316">
        <f ca="1">IF(AND($B373=0,AO$2&gt;1),AN372,(AO371+AO382)*$B373/Параметры!AO$30)</f>
        <v>0</v>
      </c>
      <c r="AP372" s="316">
        <f ca="1">IF(AND($B373=0,AP$2&gt;1),AO372,(AP371+AP382)*$B373/Параметры!AP$30)</f>
        <v>0</v>
      </c>
      <c r="AQ372" s="316">
        <f ca="1">IF(AND($B373=0,AQ$2&gt;1),AP372,(AQ371+AQ382)*$B373/Параметры!AQ$30)</f>
        <v>0</v>
      </c>
      <c r="AR372" s="316">
        <f ca="1">IF(AND($B373=0,AR$2&gt;1),AQ372,(AR371+AR382)*$B373/Параметры!AR$30)</f>
        <v>0</v>
      </c>
      <c r="AS372" s="316">
        <f ca="1">IF(AND($B373=0,AS$2&gt;1),AR372,(AS371+AS382)*$B373/Параметры!AS$30)</f>
        <v>0</v>
      </c>
      <c r="AT372" s="316">
        <f ca="1">IF(AND($B373=0,AT$2&gt;1),AS372,(AT371+AT382)*$B373/Параметры!AT$30)</f>
        <v>0</v>
      </c>
      <c r="AU372" s="316">
        <f ca="1">IF(AND($B373=0,AU$2&gt;1),AT372,(AU371+AU382)*$B373/Параметры!AU$30)</f>
        <v>0</v>
      </c>
      <c r="AV372" s="316">
        <f ca="1">IF(AND($B373=0,AV$2&gt;1),AU372,(AV371+AV382)*$B373/Параметры!AV$30)</f>
        <v>0</v>
      </c>
      <c r="AW372" s="168"/>
      <c r="AX372" s="87"/>
    </row>
    <row r="373" spans="1:50" hidden="1" outlineLevel="1" x14ac:dyDescent="0.2">
      <c r="A373" s="181" t="str">
        <f ca="1">Language!A$632</f>
        <v>период отсрочки платежа</v>
      </c>
      <c r="B373" s="320">
        <f>$B$648</f>
        <v>0</v>
      </c>
      <c r="C373" s="152" t="str">
        <f ca="1">Language!$A$1446</f>
        <v>дней</v>
      </c>
      <c r="D373" s="100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48"/>
      <c r="AX373" s="150"/>
    </row>
    <row r="374" spans="1:50" hidden="1" outlineLevel="1" x14ac:dyDescent="0.2">
      <c r="A374" s="179" t="str">
        <f ca="1">Language!A$633</f>
        <v>авансы уплаченные</v>
      </c>
      <c r="B374" s="188"/>
      <c r="C374" s="103" t="str">
        <f ca="1">CHOOSE(D374,CurName1,CurName2,CurName3)</f>
        <v>тыс. руб.</v>
      </c>
      <c r="D374" s="155">
        <f>D357</f>
        <v>1</v>
      </c>
      <c r="E374" s="57" t="s">
        <v>995</v>
      </c>
      <c r="F374" s="57" t="s">
        <v>754</v>
      </c>
      <c r="G374" s="316">
        <f ca="1">IF(AND($B375=0,G$2&gt;1),F374,(OFFSET(G371,0,1)+OFFSET(G382,0,1))*$B375/Параметры!G$30)</f>
        <v>0</v>
      </c>
      <c r="H374" s="316">
        <f ca="1">IF(AND($B375=0,H$2&gt;1),G374,(OFFSET(H371,0,1)+OFFSET(H382,0,1))*$B375/Параметры!H$30)</f>
        <v>0</v>
      </c>
      <c r="I374" s="316">
        <f ca="1">IF(AND($B375=0,I$2&gt;1),H374,(OFFSET(I371,0,1)+OFFSET(I382,0,1))*$B375/Параметры!I$30)</f>
        <v>0</v>
      </c>
      <c r="J374" s="316">
        <f ca="1">IF(AND($B375=0,J$2&gt;1),I374,(OFFSET(J371,0,1)+OFFSET(J382,0,1))*$B375/Параметры!J$30)</f>
        <v>0</v>
      </c>
      <c r="K374" s="316">
        <f ca="1">IF(AND($B375=0,K$2&gt;1),J374,(OFFSET(K371,0,1)+OFFSET(K382,0,1))*$B375/Параметры!K$30)</f>
        <v>0</v>
      </c>
      <c r="L374" s="316">
        <f ca="1">IF(AND($B375=0,L$2&gt;1),K374,(OFFSET(L371,0,1)+OFFSET(L382,0,1))*$B375/Параметры!L$30)</f>
        <v>0</v>
      </c>
      <c r="M374" s="316">
        <f ca="1">IF(AND($B375=0,M$2&gt;1),L374,(OFFSET(M371,0,1)+OFFSET(M382,0,1))*$B375/Параметры!M$30)</f>
        <v>0</v>
      </c>
      <c r="N374" s="316">
        <f ca="1">IF(AND($B375=0,N$2&gt;1),M374,(OFFSET(N371,0,1)+OFFSET(N382,0,1))*$B375/Параметры!N$30)</f>
        <v>0</v>
      </c>
      <c r="O374" s="316">
        <f ca="1">IF(AND($B375=0,O$2&gt;1),N374,(OFFSET(O371,0,1)+OFFSET(O382,0,1))*$B375/Параметры!O$30)</f>
        <v>0</v>
      </c>
      <c r="P374" s="316">
        <f ca="1">IF(AND($B375=0,P$2&gt;1),O374,(OFFSET(P371,0,1)+OFFSET(P382,0,1))*$B375/Параметры!P$30)</f>
        <v>0</v>
      </c>
      <c r="Q374" s="316">
        <f ca="1">IF(AND($B375=0,Q$2&gt;1),P374,(OFFSET(Q371,0,1)+OFFSET(Q382,0,1))*$B375/Параметры!Q$30)</f>
        <v>0</v>
      </c>
      <c r="R374" s="316">
        <f ca="1">IF(AND($B375=0,R$2&gt;1),Q374,(OFFSET(R371,0,1)+OFFSET(R382,0,1))*$B375/Параметры!R$30)</f>
        <v>0</v>
      </c>
      <c r="S374" s="316">
        <f ca="1">IF(AND($B375=0,S$2&gt;1),R374,(OFFSET(S371,0,1)+OFFSET(S382,0,1))*$B375/Параметры!S$30)</f>
        <v>0</v>
      </c>
      <c r="T374" s="316">
        <f ca="1">IF(AND($B375=0,T$2&gt;1),S374,(OFFSET(T371,0,1)+OFFSET(T382,0,1))*$B375/Параметры!T$30)</f>
        <v>0</v>
      </c>
      <c r="U374" s="316">
        <f ca="1">IF(AND($B375=0,U$2&gt;1),T374,(OFFSET(U371,0,1)+OFFSET(U382,0,1))*$B375/Параметры!U$30)</f>
        <v>0</v>
      </c>
      <c r="V374" s="316">
        <f ca="1">IF(AND($B375=0,V$2&gt;1),U374,(OFFSET(V371,0,1)+OFFSET(V382,0,1))*$B375/Параметры!V$30)</f>
        <v>0</v>
      </c>
      <c r="W374" s="316">
        <f ca="1">IF(AND($B375=0,W$2&gt;1),V374,(OFFSET(W371,0,1)+OFFSET(W382,0,1))*$B375/Параметры!W$30)</f>
        <v>0</v>
      </c>
      <c r="X374" s="316">
        <f ca="1">IF(AND($B375=0,X$2&gt;1),W374,(OFFSET(X371,0,1)+OFFSET(X382,0,1))*$B375/Параметры!X$30)</f>
        <v>0</v>
      </c>
      <c r="Y374" s="316">
        <f ca="1">IF(AND($B375=0,Y$2&gt;1),X374,(OFFSET(Y371,0,1)+OFFSET(Y382,0,1))*$B375/Параметры!Y$30)</f>
        <v>0</v>
      </c>
      <c r="Z374" s="316">
        <f ca="1">IF(AND($B375=0,Z$2&gt;1),Y374,(OFFSET(Z371,0,1)+OFFSET(Z382,0,1))*$B375/Параметры!Z$30)</f>
        <v>0</v>
      </c>
      <c r="AA374" s="316">
        <f ca="1">IF(AND($B375=0,AA$2&gt;1),Z374,(OFFSET(AA371,0,1)+OFFSET(AA382,0,1))*$B375/Параметры!AA$30)</f>
        <v>0</v>
      </c>
      <c r="AB374" s="316">
        <f ca="1">IF(AND($B375=0,AB$2&gt;1),AA374,(OFFSET(AB371,0,1)+OFFSET(AB382,0,1))*$B375/Параметры!AB$30)</f>
        <v>0</v>
      </c>
      <c r="AC374" s="316">
        <f ca="1">IF(AND($B375=0,AC$2&gt;1),AB374,(OFFSET(AC371,0,1)+OFFSET(AC382,0,1))*$B375/Параметры!AC$30)</f>
        <v>0</v>
      </c>
      <c r="AD374" s="316">
        <f ca="1">IF(AND($B375=0,AD$2&gt;1),AC374,(OFFSET(AD371,0,1)+OFFSET(AD382,0,1))*$B375/Параметры!AD$30)</f>
        <v>0</v>
      </c>
      <c r="AE374" s="316">
        <f ca="1">IF(AND($B375=0,AE$2&gt;1),AD374,(OFFSET(AE371,0,1)+OFFSET(AE382,0,1))*$B375/Параметры!AE$30)</f>
        <v>0</v>
      </c>
      <c r="AF374" s="316">
        <f ca="1">IF(AND($B375=0,AF$2&gt;1),AE374,(OFFSET(AF371,0,1)+OFFSET(AF382,0,1))*$B375/Параметры!AF$30)</f>
        <v>0</v>
      </c>
      <c r="AG374" s="316">
        <f ca="1">IF(AND($B375=0,AG$2&gt;1),AF374,(OFFSET(AG371,0,1)+OFFSET(AG382,0,1))*$B375/Параметры!AG$30)</f>
        <v>0</v>
      </c>
      <c r="AH374" s="316">
        <f ca="1">IF(AND($B375=0,AH$2&gt;1),AG374,(OFFSET(AH371,0,1)+OFFSET(AH382,0,1))*$B375/Параметры!AH$30)</f>
        <v>0</v>
      </c>
      <c r="AI374" s="316">
        <f ca="1">IF(AND($B375=0,AI$2&gt;1),AH374,(OFFSET(AI371,0,1)+OFFSET(AI382,0,1))*$B375/Параметры!AI$30)</f>
        <v>0</v>
      </c>
      <c r="AJ374" s="316">
        <f ca="1">IF(AND($B375=0,AJ$2&gt;1),AI374,(OFFSET(AJ371,0,1)+OFFSET(AJ382,0,1))*$B375/Параметры!AJ$30)</f>
        <v>0</v>
      </c>
      <c r="AK374" s="316">
        <f ca="1">IF(AND($B375=0,AK$2&gt;1),AJ374,(OFFSET(AK371,0,1)+OFFSET(AK382,0,1))*$B375/Параметры!AK$30)</f>
        <v>0</v>
      </c>
      <c r="AL374" s="316">
        <f ca="1">IF(AND($B375=0,AL$2&gt;1),AK374,(OFFSET(AL371,0,1)+OFFSET(AL382,0,1))*$B375/Параметры!AL$30)</f>
        <v>0</v>
      </c>
      <c r="AM374" s="316">
        <f ca="1">IF(AND($B375=0,AM$2&gt;1),AL374,(OFFSET(AM371,0,1)+OFFSET(AM382,0,1))*$B375/Параметры!AM$30)</f>
        <v>0</v>
      </c>
      <c r="AN374" s="316">
        <f ca="1">IF(AND($B375=0,AN$2&gt;1),AM374,(OFFSET(AN371,0,1)+OFFSET(AN382,0,1))*$B375/Параметры!AN$30)</f>
        <v>0</v>
      </c>
      <c r="AO374" s="316">
        <f ca="1">IF(AND($B375=0,AO$2&gt;1),AN374,(OFFSET(AO371,0,1)+OFFSET(AO382,0,1))*$B375/Параметры!AO$30)</f>
        <v>0</v>
      </c>
      <c r="AP374" s="316">
        <f ca="1">IF(AND($B375=0,AP$2&gt;1),AO374,(OFFSET(AP371,0,1)+OFFSET(AP382,0,1))*$B375/Параметры!AP$30)</f>
        <v>0</v>
      </c>
      <c r="AQ374" s="316">
        <f ca="1">IF(AND($B375=0,AQ$2&gt;1),AP374,(OFFSET(AQ371,0,1)+OFFSET(AQ382,0,1))*$B375/Параметры!AQ$30)</f>
        <v>0</v>
      </c>
      <c r="AR374" s="316">
        <f ca="1">IF(AND($B375=0,AR$2&gt;1),AQ374,(OFFSET(AR371,0,1)+OFFSET(AR382,0,1))*$B375/Параметры!AR$30)</f>
        <v>0</v>
      </c>
      <c r="AS374" s="316">
        <f ca="1">IF(AND($B375=0,AS$2&gt;1),AR374,(OFFSET(AS371,0,1)+OFFSET(AS382,0,1))*$B375/Параметры!AS$30)</f>
        <v>0</v>
      </c>
      <c r="AT374" s="316">
        <f ca="1">IF(AND($B375=0,AT$2&gt;1),AS374,(OFFSET(AT371,0,1)+OFFSET(AT382,0,1))*$B375/Параметры!AT$30)</f>
        <v>0</v>
      </c>
      <c r="AU374" s="316">
        <f ca="1">IF(AND($B375=0,AU$2&gt;1),AT374,(OFFSET(AU371,0,1)+OFFSET(AU382,0,1))*$B375/Параметры!AU$30)</f>
        <v>0</v>
      </c>
      <c r="AV374" s="316">
        <f ca="1">IF(AND($B375=0,AV$2&gt;1),AU374,(OFFSET(AV371,0,1)+OFFSET(AV382,0,1))*$B375/Параметры!AV$30)</f>
        <v>0</v>
      </c>
      <c r="AW374" s="168"/>
      <c r="AX374" s="182"/>
    </row>
    <row r="375" spans="1:50" hidden="1" outlineLevel="1" x14ac:dyDescent="0.2">
      <c r="A375" s="181" t="str">
        <f ca="1">Language!A$634</f>
        <v>период предоплаты</v>
      </c>
      <c r="B375" s="320">
        <f>$B$654</f>
        <v>0</v>
      </c>
      <c r="C375" s="152" t="str">
        <f ca="1">Language!$A$1446</f>
        <v>дней</v>
      </c>
      <c r="D375" s="100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48"/>
      <c r="AX375" s="150"/>
    </row>
    <row r="376" spans="1:50" hidden="1" outlineLevel="1" x14ac:dyDescent="0.2">
      <c r="A376" s="179" t="str">
        <f ca="1">Language!A$635</f>
        <v>оплата расходов, c НДС</v>
      </c>
      <c r="B376" s="57"/>
      <c r="C376" s="82" t="str">
        <f t="shared" ref="C376" ca="1" si="2087">CHOOSE(D376,CurName1,CurName2,CurName3)</f>
        <v>тыс. руб.</v>
      </c>
      <c r="D376" s="155">
        <f>D357</f>
        <v>1</v>
      </c>
      <c r="E376" s="57" t="s">
        <v>993</v>
      </c>
      <c r="F376" s="57" t="s">
        <v>753</v>
      </c>
      <c r="G376" s="180">
        <f ca="1">G371+G382-IF(G$2=1,G372,G372-F372)+IF(G$2=1,G374,G374-F374)</f>
        <v>2006</v>
      </c>
      <c r="H376" s="180">
        <f t="shared" ref="H376" ca="1" si="2088">H371+H382-IF(H$2=1,H372,H372-G372)+IF(H$2=1,H374,H374-G374)</f>
        <v>9159.4608093644874</v>
      </c>
      <c r="I376" s="180">
        <f t="shared" ref="I376" ca="1" si="2089">I371+I382-IF(I$2=1,I372,I372-H372)+IF(I$2=1,I374,I374-H374)</f>
        <v>18587.730656537929</v>
      </c>
      <c r="J376" s="180">
        <f t="shared" ref="J376" ca="1" si="2090">J371+J382-IF(J$2=1,J372,J372-I372)+IF(J$2=1,J374,J374-I374)</f>
        <v>26195.116884467276</v>
      </c>
      <c r="K376" s="180">
        <f t="shared" ref="K376" ca="1" si="2091">K371+K382-IF(K$2=1,K372,K372-J372)+IF(K$2=1,K374,K374-J374)</f>
        <v>31895.399999999994</v>
      </c>
      <c r="L376" s="180">
        <f t="shared" ref="L376" ca="1" si="2092">L371+L382-IF(L$2=1,L372,L372-K372)+IF(L$2=1,L374,L374-K374)</f>
        <v>37757.332891935825</v>
      </c>
      <c r="M376" s="180">
        <f t="shared" ref="M376" ca="1" si="2093">M371+M382-IF(M$2=1,M372,M372-L372)+IF(M$2=1,M374,M374-L374)</f>
        <v>43784.432213178232</v>
      </c>
      <c r="N376" s="180">
        <f t="shared" ref="N376" ca="1" si="2094">N371+N382-IF(N$2=1,N372,N372-M372)+IF(N$2=1,N374,N374-M374)</f>
        <v>49980.283015563567</v>
      </c>
      <c r="O376" s="180">
        <f t="shared" ref="O376" ca="1" si="2095">O371+O382-IF(O$2=1,O372,O372-N372)+IF(O$2=1,O374,O374-N374)</f>
        <v>56348.540000000008</v>
      </c>
      <c r="P376" s="180">
        <f t="shared" ref="P376" ca="1" si="2096">P371+P382-IF(P$2=1,P372,P372-O372)+IF(P$2=1,P374,P374-O374)</f>
        <v>62892.928788567413</v>
      </c>
      <c r="Q376" s="180">
        <f t="shared" ref="Q376" ca="1" si="2097">Q371+Q382-IF(Q$2=1,Q372,Q372-P372)+IF(Q$2=1,Q374,Q374-P374)</f>
        <v>63815.809950707291</v>
      </c>
      <c r="R376" s="180">
        <f t="shared" ref="R376" ca="1" si="2098">R371+R382-IF(R$2=1,R372,R372-Q372)+IF(R$2=1,R374,R374-Q374)</f>
        <v>64752.233329052367</v>
      </c>
      <c r="S376" s="180">
        <f t="shared" ref="S376" ca="1" si="2099">S371+S382-IF(S$2=1,S372,S372-R372)+IF(S$2=1,S374,S374-R374)</f>
        <v>65702.39764000001</v>
      </c>
      <c r="T376" s="180">
        <f t="shared" ref="T376" ca="1" si="2100">T371+T382-IF(T$2=1,T372,T372-S372)+IF(T$2=1,T374,T374-S374)</f>
        <v>66666.504515881461</v>
      </c>
      <c r="U376" s="180">
        <f t="shared" ref="U376" ca="1" si="2101">U371+U382-IF(U$2=1,U372,U372-T372)+IF(U$2=1,U374,U374-T374)</f>
        <v>67644.758547749734</v>
      </c>
      <c r="V376" s="180">
        <f t="shared" ref="V376" ca="1" si="2102">V371+V382-IF(V$2=1,V372,V372-U372)+IF(V$2=1,V374,V374-U374)</f>
        <v>68637.367328795517</v>
      </c>
      <c r="W376" s="180">
        <f t="shared" ref="W376" ca="1" si="2103">W371+W382-IF(W$2=1,W372,W372-V372)+IF(W$2=1,W374,W374-V374)</f>
        <v>69644.541498400009</v>
      </c>
      <c r="X376" s="180">
        <f t="shared" ref="X376" ca="1" si="2104">X371+X382-IF(X$2=1,X372,X372-W372)+IF(X$2=1,X374,X374-W374)</f>
        <v>70666.494786834344</v>
      </c>
      <c r="Y376" s="180">
        <f t="shared" ref="Y376" ca="1" si="2105">Y371+Y382-IF(Y$2=1,Y372,Y372-X372)+IF(Y$2=1,Y374,Y374-X374)</f>
        <v>71703.444060614711</v>
      </c>
      <c r="Z376" s="180">
        <f t="shared" ref="Z376" ca="1" si="2106">Z371+Z382-IF(Z$2=1,Z372,Z372-Y372)+IF(Z$2=1,Z374,Z374-Y374)</f>
        <v>72755.609368523248</v>
      </c>
      <c r="AA376" s="180">
        <f t="shared" ref="AA376" ca="1" si="2107">AA371+AA382-IF(AA$2=1,AA372,AA372-Z372)+IF(AA$2=1,AA374,AA374-Z374)</f>
        <v>73823.213988304036</v>
      </c>
      <c r="AB376" s="180">
        <f t="shared" ref="AB376" ca="1" si="2108">AB371+AB382-IF(AB$2=1,AB372,AB372-AA372)+IF(AB$2=1,AB374,AB374-AA374)</f>
        <v>74906.484474044424</v>
      </c>
      <c r="AC376" s="180">
        <f t="shared" ref="AC376" ca="1" si="2109">AC371+AC382-IF(AC$2=1,AC372,AC372-AB372)+IF(AC$2=1,AC374,AC374-AB374)</f>
        <v>76005.650704251602</v>
      </c>
      <c r="AD376" s="180">
        <f t="shared" ref="AD376" ca="1" si="2110">AD371+AD382-IF(AD$2=1,AD372,AD372-AC372)+IF(AD$2=1,AD374,AD374-AC374)</f>
        <v>77120.94593063464</v>
      </c>
      <c r="AE376" s="180">
        <f t="shared" ref="AE376" ca="1" si="2111">AE371+AE382-IF(AE$2=1,AE372,AE372-AD372)+IF(AE$2=1,AE374,AE374-AD374)</f>
        <v>78252.606827602285</v>
      </c>
      <c r="AF376" s="180">
        <f t="shared" ref="AF376" ca="1" si="2112">AF371+AF382-IF(AF$2=1,AF372,AF372-AE372)+IF(AF$2=1,AF374,AF374-AE374)</f>
        <v>79400.873542487097</v>
      </c>
      <c r="AG376" s="180">
        <f t="shared" ref="AG376" ca="1" si="2113">AG371+AG382-IF(AG$2=1,AG372,AG372-AF372)+IF(AG$2=1,AG374,AG374-AF374)</f>
        <v>80565.989746506704</v>
      </c>
      <c r="AH376" s="180">
        <f t="shared" ref="AH376" ca="1" si="2114">AH371+AH382-IF(AH$2=1,AH372,AH372-AG372)+IF(AH$2=1,AH374,AH374-AG374)</f>
        <v>81748.202686472738</v>
      </c>
      <c r="AI376" s="180">
        <f t="shared" ref="AI376" ca="1" si="2115">AI371+AI382-IF(AI$2=1,AI372,AI372-AH372)+IF(AI$2=1,AI374,AI374-AH374)</f>
        <v>82947.763237258419</v>
      </c>
      <c r="AJ376" s="180">
        <f t="shared" ref="AJ376" ca="1" si="2116">AJ371+AJ382-IF(AJ$2=1,AJ372,AJ372-AI372)+IF(AJ$2=1,AJ374,AJ374-AI374)</f>
        <v>84164.925955036335</v>
      </c>
      <c r="AK376" s="180">
        <f t="shared" ref="AK376" ca="1" si="2117">AK371+AK382-IF(AK$2=1,AK372,AK372-AJ372)+IF(AK$2=1,AK374,AK374-AJ374)</f>
        <v>85399.949131297137</v>
      </c>
      <c r="AL376" s="180">
        <f t="shared" ref="AL376" ca="1" si="2118">AL371+AL382-IF(AL$2=1,AL372,AL372-AK372)+IF(AL$2=1,AL374,AL374-AK374)</f>
        <v>86653.094847661123</v>
      </c>
      <c r="AM376" s="180">
        <f t="shared" ref="AM376" ca="1" si="2119">AM371+AM382-IF(AM$2=1,AM372,AM372-AL372)+IF(AM$2=1,AM374,AM374-AL374)</f>
        <v>87924.62903149394</v>
      </c>
      <c r="AN376" s="180">
        <f t="shared" ref="AN376" ca="1" si="2120">AN371+AN382-IF(AN$2=1,AN372,AN372-AM372)+IF(AN$2=1,AN374,AN374-AM374)</f>
        <v>89214.821512338502</v>
      </c>
      <c r="AO376" s="180">
        <f t="shared" ref="AO376" ca="1" si="2121">AO371+AO382-IF(AO$2=1,AO372,AO372-AN372)+IF(AO$2=1,AO374,AO374-AN374)</f>
        <v>90523.946079174959</v>
      </c>
      <c r="AP376" s="180">
        <f t="shared" ref="AP376" ca="1" si="2122">AP371+AP382-IF(AP$2=1,AP372,AP372-AO372)+IF(AP$2=1,AP374,AP374-AO374)</f>
        <v>91852.280538520776</v>
      </c>
      <c r="AQ376" s="180">
        <f t="shared" ref="AQ376" ca="1" si="2123">AQ371+AQ382-IF(AQ$2=1,AQ372,AQ372-AP372)+IF(AQ$2=1,AQ374,AQ374-AP374)</f>
        <v>93200.106773383581</v>
      </c>
      <c r="AR376" s="180">
        <f t="shared" ref="AR376" ca="1" si="2124">AR371+AR382-IF(AR$2=1,AR372,AR372-AQ372)+IF(AR$2=1,AR374,AR374-AQ374)</f>
        <v>94567.710803078837</v>
      </c>
      <c r="AS376" s="180">
        <f t="shared" ref="AS376" ca="1" si="2125">AS371+AS382-IF(AS$2=1,AS372,AS372-AR372)+IF(AS$2=1,AS374,AS374-AR374)</f>
        <v>95955.382843925458</v>
      </c>
      <c r="AT376" s="180">
        <f t="shared" ref="AT376" ca="1" si="2126">AT371+AT382-IF(AT$2=1,AT372,AT372-AS372)+IF(AT$2=1,AT374,AT374-AS374)</f>
        <v>97363.41737083203</v>
      </c>
      <c r="AU376" s="180">
        <f t="shared" ref="AU376" ca="1" si="2127">AU371+AU382-IF(AU$2=1,AU372,AU372-AT372)+IF(AU$2=1,AU374,AU374-AT374)</f>
        <v>98792.113179786596</v>
      </c>
      <c r="AV376" s="180">
        <f t="shared" ref="AV376" ca="1" si="2128">AV371+AV382-IF(AV$2=1,AV372,AV372-AU372)+IF(AV$2=1,AV374,AV374-AU374)</f>
        <v>100241.77345126357</v>
      </c>
      <c r="AW376" s="180"/>
      <c r="AX376" s="169">
        <f ca="1">SUM(G376:AW376)</f>
        <v>2921222.2689415291</v>
      </c>
    </row>
    <row r="377" spans="1:50" hidden="1" outlineLevel="1" x14ac:dyDescent="0.2">
      <c r="A377" s="167" t="str">
        <f ca="1">Language!A$636</f>
        <v>темп изменения цен</v>
      </c>
      <c r="B377" s="191"/>
      <c r="C377" s="103" t="str">
        <f ca="1">Language!$A$471</f>
        <v>% в год</v>
      </c>
      <c r="D377" s="153"/>
      <c r="F377" s="57" t="s">
        <v>756</v>
      </c>
      <c r="G377" s="324">
        <f>CHOOSE($D357,Параметры!G$48,Параметры!G$56,Параметры!G$62)</f>
        <v>0.06</v>
      </c>
      <c r="H377" s="324">
        <f>CHOOSE($D357,Параметры!H$48,Параметры!H$56,Параметры!H$62)</f>
        <v>0.06</v>
      </c>
      <c r="I377" s="324">
        <f>CHOOSE($D357,Параметры!I$48,Параметры!I$56,Параметры!I$62)</f>
        <v>0.06</v>
      </c>
      <c r="J377" s="324">
        <f>CHOOSE($D357,Параметры!J$48,Параметры!J$56,Параметры!J$62)</f>
        <v>0.06</v>
      </c>
      <c r="K377" s="324">
        <f>CHOOSE($D357,Параметры!K$48,Параметры!K$56,Параметры!K$62)</f>
        <v>0.06</v>
      </c>
      <c r="L377" s="324">
        <f>CHOOSE($D357,Параметры!L$48,Параметры!L$56,Параметры!L$62)</f>
        <v>0.06</v>
      </c>
      <c r="M377" s="324">
        <f>CHOOSE($D357,Параметры!M$48,Параметры!M$56,Параметры!M$62)</f>
        <v>0.06</v>
      </c>
      <c r="N377" s="324">
        <f>CHOOSE($D357,Параметры!N$48,Параметры!N$56,Параметры!N$62)</f>
        <v>0.06</v>
      </c>
      <c r="O377" s="324">
        <f>CHOOSE($D357,Параметры!O$48,Параметры!O$56,Параметры!O$62)</f>
        <v>0.06</v>
      </c>
      <c r="P377" s="324">
        <f>CHOOSE($D357,Параметры!P$48,Параметры!P$56,Параметры!P$62)</f>
        <v>0.06</v>
      </c>
      <c r="Q377" s="324">
        <f>CHOOSE($D357,Параметры!Q$48,Параметры!Q$56,Параметры!Q$62)</f>
        <v>0.06</v>
      </c>
      <c r="R377" s="324">
        <f>CHOOSE($D357,Параметры!R$48,Параметры!R$56,Параметры!R$62)</f>
        <v>0.06</v>
      </c>
      <c r="S377" s="324">
        <f>CHOOSE($D357,Параметры!S$48,Параметры!S$56,Параметры!S$62)</f>
        <v>0.06</v>
      </c>
      <c r="T377" s="324">
        <f>CHOOSE($D357,Параметры!T$48,Параметры!T$56,Параметры!T$62)</f>
        <v>0.06</v>
      </c>
      <c r="U377" s="324">
        <f>CHOOSE($D357,Параметры!U$48,Параметры!U$56,Параметры!U$62)</f>
        <v>0.06</v>
      </c>
      <c r="V377" s="324">
        <f>CHOOSE($D357,Параметры!V$48,Параметры!V$56,Параметры!V$62)</f>
        <v>0.06</v>
      </c>
      <c r="W377" s="324">
        <f>CHOOSE($D357,Параметры!W$48,Параметры!W$56,Параметры!W$62)</f>
        <v>0.06</v>
      </c>
      <c r="X377" s="324">
        <f>CHOOSE($D357,Параметры!X$48,Параметры!X$56,Параметры!X$62)</f>
        <v>0.06</v>
      </c>
      <c r="Y377" s="324">
        <f>CHOOSE($D357,Параметры!Y$48,Параметры!Y$56,Параметры!Y$62)</f>
        <v>0.06</v>
      </c>
      <c r="Z377" s="324">
        <f>CHOOSE($D357,Параметры!Z$48,Параметры!Z$56,Параметры!Z$62)</f>
        <v>0.06</v>
      </c>
      <c r="AA377" s="324">
        <f>CHOOSE($D357,Параметры!AA$48,Параметры!AA$56,Параметры!AA$62)</f>
        <v>0.06</v>
      </c>
      <c r="AB377" s="324">
        <f>CHOOSE($D357,Параметры!AB$48,Параметры!AB$56,Параметры!AB$62)</f>
        <v>0.06</v>
      </c>
      <c r="AC377" s="324">
        <f>CHOOSE($D357,Параметры!AC$48,Параметры!AC$56,Параметры!AC$62)</f>
        <v>0.06</v>
      </c>
      <c r="AD377" s="324">
        <f>CHOOSE($D357,Параметры!AD$48,Параметры!AD$56,Параметры!AD$62)</f>
        <v>0.06</v>
      </c>
      <c r="AE377" s="324">
        <f>CHOOSE($D357,Параметры!AE$48,Параметры!AE$56,Параметры!AE$62)</f>
        <v>0.06</v>
      </c>
      <c r="AF377" s="324">
        <f>CHOOSE($D357,Параметры!AF$48,Параметры!AF$56,Параметры!AF$62)</f>
        <v>0.06</v>
      </c>
      <c r="AG377" s="324">
        <f>CHOOSE($D357,Параметры!AG$48,Параметры!AG$56,Параметры!AG$62)</f>
        <v>0.06</v>
      </c>
      <c r="AH377" s="324">
        <f>CHOOSE($D357,Параметры!AH$48,Параметры!AH$56,Параметры!AH$62)</f>
        <v>0.06</v>
      </c>
      <c r="AI377" s="324">
        <f>CHOOSE($D357,Параметры!AI$48,Параметры!AI$56,Параметры!AI$62)</f>
        <v>0.06</v>
      </c>
      <c r="AJ377" s="324">
        <f>CHOOSE($D357,Параметры!AJ$48,Параметры!AJ$56,Параметры!AJ$62)</f>
        <v>0.06</v>
      </c>
      <c r="AK377" s="324">
        <f>CHOOSE($D357,Параметры!AK$48,Параметры!AK$56,Параметры!AK$62)</f>
        <v>0.06</v>
      </c>
      <c r="AL377" s="324">
        <f>CHOOSE($D357,Параметры!AL$48,Параметры!AL$56,Параметры!AL$62)</f>
        <v>0.06</v>
      </c>
      <c r="AM377" s="324">
        <f>CHOOSE($D357,Параметры!AM$48,Параметры!AM$56,Параметры!AM$62)</f>
        <v>0.06</v>
      </c>
      <c r="AN377" s="324">
        <f>CHOOSE($D357,Параметры!AN$48,Параметры!AN$56,Параметры!AN$62)</f>
        <v>0.06</v>
      </c>
      <c r="AO377" s="324">
        <f>CHOOSE($D357,Параметры!AO$48,Параметры!AO$56,Параметры!AO$62)</f>
        <v>0.06</v>
      </c>
      <c r="AP377" s="324">
        <f>CHOOSE($D357,Параметры!AP$48,Параметры!AP$56,Параметры!AP$62)</f>
        <v>0.06</v>
      </c>
      <c r="AQ377" s="324">
        <f>CHOOSE($D357,Параметры!AQ$48,Параметры!AQ$56,Параметры!AQ$62)</f>
        <v>0.06</v>
      </c>
      <c r="AR377" s="324">
        <f>CHOOSE($D357,Параметры!AR$48,Параметры!AR$56,Параметры!AR$62)</f>
        <v>0.06</v>
      </c>
      <c r="AS377" s="324">
        <f>CHOOSE($D357,Параметры!AS$48,Параметры!AS$56,Параметры!AS$62)</f>
        <v>0.06</v>
      </c>
      <c r="AT377" s="324">
        <f>CHOOSE($D357,Параметры!AT$48,Параметры!AT$56,Параметры!AT$62)</f>
        <v>0.06</v>
      </c>
      <c r="AU377" s="324">
        <f>CHOOSE($D357,Параметры!AU$48,Параметры!AU$56,Параметры!AU$62)</f>
        <v>0.06</v>
      </c>
      <c r="AV377" s="324">
        <f>CHOOSE($D357,Параметры!AV$48,Параметры!AV$56,Параметры!AV$62)</f>
        <v>0.06</v>
      </c>
      <c r="AW377" s="192"/>
      <c r="AX377" s="184"/>
    </row>
    <row r="378" spans="1:50" hidden="1" outlineLevel="1" x14ac:dyDescent="0.2">
      <c r="A378" s="167" t="str">
        <f ca="1">Language!A$637</f>
        <v>ставка НДС</v>
      </c>
      <c r="B378" s="191"/>
      <c r="C378" s="103" t="s">
        <v>1</v>
      </c>
      <c r="D378" s="155"/>
      <c r="F378" s="57" t="s">
        <v>756</v>
      </c>
      <c r="G378" s="324">
        <f>Параметры!G$72</f>
        <v>0.18</v>
      </c>
      <c r="H378" s="324">
        <f>Параметры!H$72</f>
        <v>0.18</v>
      </c>
      <c r="I378" s="324">
        <f>Параметры!I$72</f>
        <v>0.18</v>
      </c>
      <c r="J378" s="324">
        <f>Параметры!J$72</f>
        <v>0.18</v>
      </c>
      <c r="K378" s="324">
        <f>Параметры!K$72</f>
        <v>0.18</v>
      </c>
      <c r="L378" s="324">
        <f>Параметры!L$72</f>
        <v>0.18</v>
      </c>
      <c r="M378" s="324">
        <f>Параметры!M$72</f>
        <v>0.18</v>
      </c>
      <c r="N378" s="324">
        <f>Параметры!N$72</f>
        <v>0.18</v>
      </c>
      <c r="O378" s="324">
        <f>Параметры!O$72</f>
        <v>0.18</v>
      </c>
      <c r="P378" s="324">
        <f>Параметры!P$72</f>
        <v>0.18</v>
      </c>
      <c r="Q378" s="324">
        <f>Параметры!Q$72</f>
        <v>0.18</v>
      </c>
      <c r="R378" s="324">
        <f>Параметры!R$72</f>
        <v>0.18</v>
      </c>
      <c r="S378" s="324">
        <f>Параметры!S$72</f>
        <v>0.18</v>
      </c>
      <c r="T378" s="324">
        <f>Параметры!T$72</f>
        <v>0.18</v>
      </c>
      <c r="U378" s="324">
        <f>Параметры!U$72</f>
        <v>0.18</v>
      </c>
      <c r="V378" s="324">
        <f>Параметры!V$72</f>
        <v>0.18</v>
      </c>
      <c r="W378" s="324">
        <f>Параметры!W$72</f>
        <v>0.18</v>
      </c>
      <c r="X378" s="324">
        <f>Параметры!X$72</f>
        <v>0.18</v>
      </c>
      <c r="Y378" s="324">
        <f>Параметры!Y$72</f>
        <v>0.18</v>
      </c>
      <c r="Z378" s="324">
        <f>Параметры!Z$72</f>
        <v>0.18</v>
      </c>
      <c r="AA378" s="324">
        <f>Параметры!AA$72</f>
        <v>0.18</v>
      </c>
      <c r="AB378" s="324">
        <f>Параметры!AB$72</f>
        <v>0.18</v>
      </c>
      <c r="AC378" s="324">
        <f>Параметры!AC$72</f>
        <v>0.18</v>
      </c>
      <c r="AD378" s="324">
        <f>Параметры!AD$72</f>
        <v>0.18</v>
      </c>
      <c r="AE378" s="324">
        <f>Параметры!AE$72</f>
        <v>0.18</v>
      </c>
      <c r="AF378" s="324">
        <f>Параметры!AF$72</f>
        <v>0.18</v>
      </c>
      <c r="AG378" s="324">
        <f>Параметры!AG$72</f>
        <v>0.18</v>
      </c>
      <c r="AH378" s="324">
        <f>Параметры!AH$72</f>
        <v>0.18</v>
      </c>
      <c r="AI378" s="324">
        <f>Параметры!AI$72</f>
        <v>0.18</v>
      </c>
      <c r="AJ378" s="324">
        <f>Параметры!AJ$72</f>
        <v>0.18</v>
      </c>
      <c r="AK378" s="324">
        <f>Параметры!AK$72</f>
        <v>0.18</v>
      </c>
      <c r="AL378" s="324">
        <f>Параметры!AL$72</f>
        <v>0.18</v>
      </c>
      <c r="AM378" s="324">
        <f>Параметры!AM$72</f>
        <v>0.18</v>
      </c>
      <c r="AN378" s="324">
        <f>Параметры!AN$72</f>
        <v>0.18</v>
      </c>
      <c r="AO378" s="324">
        <f>Параметры!AO$72</f>
        <v>0.18</v>
      </c>
      <c r="AP378" s="324">
        <f>Параметры!AP$72</f>
        <v>0.18</v>
      </c>
      <c r="AQ378" s="324">
        <f>Параметры!AQ$72</f>
        <v>0.18</v>
      </c>
      <c r="AR378" s="324">
        <f>Параметры!AR$72</f>
        <v>0.18</v>
      </c>
      <c r="AS378" s="324">
        <f>Параметры!AS$72</f>
        <v>0.18</v>
      </c>
      <c r="AT378" s="324">
        <f>Параметры!AT$72</f>
        <v>0.18</v>
      </c>
      <c r="AU378" s="324">
        <f>Параметры!AU$72</f>
        <v>0.18</v>
      </c>
      <c r="AV378" s="324">
        <f>Параметры!AV$72</f>
        <v>0.18</v>
      </c>
      <c r="AW378" s="192"/>
      <c r="AX378" s="182"/>
    </row>
    <row r="379" spans="1:50" hidden="1" outlineLevel="1" x14ac:dyDescent="0.2">
      <c r="A379" s="167" t="str">
        <f ca="1">Language!A$638</f>
        <v>ставка импортной пошлины</v>
      </c>
      <c r="B379" s="191"/>
      <c r="C379" s="103" t="s">
        <v>1</v>
      </c>
      <c r="D379" s="155"/>
      <c r="F379" s="57" t="s">
        <v>756</v>
      </c>
      <c r="G379" s="324">
        <v>0</v>
      </c>
      <c r="H379" s="324">
        <f t="shared" ref="H379" si="2129">G379</f>
        <v>0</v>
      </c>
      <c r="I379" s="324">
        <f t="shared" ref="I379" si="2130">H379</f>
        <v>0</v>
      </c>
      <c r="J379" s="324">
        <f t="shared" ref="J379" si="2131">I379</f>
        <v>0</v>
      </c>
      <c r="K379" s="324">
        <f t="shared" ref="K379" si="2132">J379</f>
        <v>0</v>
      </c>
      <c r="L379" s="324">
        <f t="shared" ref="L379" si="2133">K379</f>
        <v>0</v>
      </c>
      <c r="M379" s="324">
        <f t="shared" ref="M379" si="2134">L379</f>
        <v>0</v>
      </c>
      <c r="N379" s="324">
        <f t="shared" ref="N379" si="2135">M379</f>
        <v>0</v>
      </c>
      <c r="O379" s="324">
        <f t="shared" ref="O379" si="2136">N379</f>
        <v>0</v>
      </c>
      <c r="P379" s="324">
        <f t="shared" ref="P379" si="2137">O379</f>
        <v>0</v>
      </c>
      <c r="Q379" s="324">
        <f t="shared" ref="Q379" si="2138">P379</f>
        <v>0</v>
      </c>
      <c r="R379" s="324">
        <f t="shared" ref="R379" si="2139">Q379</f>
        <v>0</v>
      </c>
      <c r="S379" s="324">
        <f t="shared" ref="S379" si="2140">R379</f>
        <v>0</v>
      </c>
      <c r="T379" s="324">
        <f t="shared" ref="T379" si="2141">S379</f>
        <v>0</v>
      </c>
      <c r="U379" s="324">
        <f t="shared" ref="U379" si="2142">T379</f>
        <v>0</v>
      </c>
      <c r="V379" s="324">
        <f t="shared" ref="V379" si="2143">U379</f>
        <v>0</v>
      </c>
      <c r="W379" s="324">
        <f t="shared" ref="W379" si="2144">V379</f>
        <v>0</v>
      </c>
      <c r="X379" s="324">
        <f t="shared" ref="X379" si="2145">W379</f>
        <v>0</v>
      </c>
      <c r="Y379" s="324">
        <f t="shared" ref="Y379" si="2146">X379</f>
        <v>0</v>
      </c>
      <c r="Z379" s="324">
        <f t="shared" ref="Z379" si="2147">Y379</f>
        <v>0</v>
      </c>
      <c r="AA379" s="324">
        <f t="shared" ref="AA379" si="2148">Z379</f>
        <v>0</v>
      </c>
      <c r="AB379" s="324">
        <f t="shared" ref="AB379" si="2149">AA379</f>
        <v>0</v>
      </c>
      <c r="AC379" s="324">
        <f t="shared" ref="AC379" si="2150">AB379</f>
        <v>0</v>
      </c>
      <c r="AD379" s="324">
        <f t="shared" ref="AD379" si="2151">AC379</f>
        <v>0</v>
      </c>
      <c r="AE379" s="324">
        <f t="shared" ref="AE379" si="2152">AD379</f>
        <v>0</v>
      </c>
      <c r="AF379" s="324">
        <f t="shared" ref="AF379" si="2153">AE379</f>
        <v>0</v>
      </c>
      <c r="AG379" s="324">
        <f t="shared" ref="AG379" si="2154">AF379</f>
        <v>0</v>
      </c>
      <c r="AH379" s="324">
        <f t="shared" ref="AH379" si="2155">AG379</f>
        <v>0</v>
      </c>
      <c r="AI379" s="324">
        <f t="shared" ref="AI379" si="2156">AH379</f>
        <v>0</v>
      </c>
      <c r="AJ379" s="324">
        <f t="shared" ref="AJ379" si="2157">AI379</f>
        <v>0</v>
      </c>
      <c r="AK379" s="324">
        <f t="shared" ref="AK379" si="2158">AJ379</f>
        <v>0</v>
      </c>
      <c r="AL379" s="324">
        <f t="shared" ref="AL379" si="2159">AK379</f>
        <v>0</v>
      </c>
      <c r="AM379" s="324">
        <f t="shared" ref="AM379" si="2160">AL379</f>
        <v>0</v>
      </c>
      <c r="AN379" s="324">
        <f t="shared" ref="AN379" si="2161">AM379</f>
        <v>0</v>
      </c>
      <c r="AO379" s="324">
        <f t="shared" ref="AO379" si="2162">AN379</f>
        <v>0</v>
      </c>
      <c r="AP379" s="324">
        <f t="shared" ref="AP379" si="2163">AO379</f>
        <v>0</v>
      </c>
      <c r="AQ379" s="324">
        <f t="shared" ref="AQ379" si="2164">AP379</f>
        <v>0</v>
      </c>
      <c r="AR379" s="324">
        <f t="shared" ref="AR379" si="2165">AQ379</f>
        <v>0</v>
      </c>
      <c r="AS379" s="324">
        <f t="shared" ref="AS379" si="2166">AR379</f>
        <v>0</v>
      </c>
      <c r="AT379" s="324">
        <f t="shared" ref="AT379" si="2167">AS379</f>
        <v>0</v>
      </c>
      <c r="AU379" s="324">
        <f t="shared" ref="AU379" si="2168">AT379</f>
        <v>0</v>
      </c>
      <c r="AV379" s="324">
        <f t="shared" ref="AV379" si="2169">AU379</f>
        <v>0</v>
      </c>
      <c r="AW379" s="192"/>
      <c r="AX379" s="182"/>
    </row>
    <row r="380" spans="1:50" hidden="1" outlineLevel="1" x14ac:dyDescent="0.2">
      <c r="A380" s="179" t="str">
        <f ca="1">Language!A$639</f>
        <v>коэффициент изменения цен к началу проекта</v>
      </c>
      <c r="B380" s="191"/>
      <c r="C380" s="103" t="str">
        <f ca="1">Language!$A$1449</f>
        <v>раз</v>
      </c>
      <c r="D380" s="155"/>
      <c r="F380" s="57" t="s">
        <v>754</v>
      </c>
      <c r="G380" s="193">
        <f ca="1">IF(G$2=1,1,IF(Prj_Inflation=1,POWER(1+OFFSET(G377,0,-1),Параметры!G$30/360),1) * IF(G$2&gt;1, F380, 1))</f>
        <v>1</v>
      </c>
      <c r="H380" s="193">
        <f ca="1">IF(H$2=1,1,IF(Prj_Inflation=1,POWER(1+OFFSET(H377,0,-1),Параметры!H$30/360),1) * IF(H$2&gt;1, G380, 1))</f>
        <v>1.0146738461686593</v>
      </c>
      <c r="I380" s="193">
        <f ca="1">IF(I$2=1,1,IF(Prj_Inflation=1,POWER(1+OFFSET(I377,0,-1),Параметры!I$30/360),1) * IF(I$2&gt;1, H380, 1))</f>
        <v>1.0295630140987</v>
      </c>
      <c r="J380" s="193">
        <f ca="1">IF(J$2=1,1,IF(Prj_Inflation=1,POWER(1+OFFSET(J377,0,-1),Параметры!J$30/360),1) * IF(J$2&gt;1, I380, 1))</f>
        <v>1.0446706633885254</v>
      </c>
      <c r="K380" s="193">
        <f ca="1">IF(K$2=1,1,IF(Prj_Inflation=1,POWER(1+OFFSET(K377,0,-1),Параметры!K$30/360),1) * IF(K$2&gt;1, J380, 1))</f>
        <v>1.0599999999999998</v>
      </c>
      <c r="L380" s="193">
        <f ca="1">IF(L$2=1,1,IF(Prj_Inflation=1,POWER(1+OFFSET(L377,0,-1),Параметры!L$30/360),1) * IF(L$2&gt;1, K380, 1))</f>
        <v>1.0755542769387787</v>
      </c>
      <c r="M380" s="193">
        <f ca="1">IF(M$2=1,1,IF(Prj_Inflation=1,POWER(1+OFFSET(M377,0,-1),Параметры!M$30/360),1) * IF(M$2&gt;1, L380, 1))</f>
        <v>1.091336794944622</v>
      </c>
      <c r="N380" s="193">
        <f ca="1">IF(N$2=1,1,IF(Prj_Inflation=1,POWER(1+OFFSET(N377,0,-1),Параметры!N$30/360),1) * IF(N$2&gt;1, M380, 1))</f>
        <v>1.1073509031918372</v>
      </c>
      <c r="O380" s="193">
        <f ca="1">IF(O$2=1,1,IF(Prj_Inflation=1,POWER(1+OFFSET(O377,0,-1),Параметры!O$30/360),1) * IF(O$2&gt;1, N380, 1))</f>
        <v>1.1236000000000002</v>
      </c>
      <c r="P380" s="193">
        <f ca="1">IF(P$2=1,1,IF(Prj_Inflation=1,POWER(1+OFFSET(P377,0,-1),Параметры!P$30/360),1) * IF(P$2&gt;1, O380, 1))</f>
        <v>1.1400875335551057</v>
      </c>
      <c r="Q380" s="193">
        <f ca="1">IF(Q$2=1,1,IF(Prj_Inflation=1,POWER(1+OFFSET(Q377,0,-1),Параметры!Q$30/360),1) * IF(Q$2&gt;1, P380, 1))</f>
        <v>1.1568170026412996</v>
      </c>
      <c r="R380" s="193">
        <f ca="1">IF(R$2=1,1,IF(Prj_Inflation=1,POWER(1+OFFSET(R377,0,-1),Параметры!R$30/360),1) * IF(R$2&gt;1, Q380, 1))</f>
        <v>1.1737919573833475</v>
      </c>
      <c r="S380" s="193">
        <f ca="1">IF(S$2=1,1,IF(Prj_Inflation=1,POWER(1+OFFSET(S377,0,-1),Параметры!S$30/360),1) * IF(S$2&gt;1, R380, 1))</f>
        <v>1.1910160000000003</v>
      </c>
      <c r="T380" s="193">
        <f ca="1">IF(T$2=1,1,IF(Prj_Inflation=1,POWER(1+OFFSET(T377,0,-1),Параметры!T$30/360),1) * IF(T$2&gt;1, S380, 1))</f>
        <v>1.2084927855684122</v>
      </c>
      <c r="U380" s="193">
        <f ca="1">IF(U$2=1,1,IF(Prj_Inflation=1,POWER(1+OFFSET(U377,0,-1),Параметры!U$30/360),1) * IF(U$2&gt;1, T380, 1))</f>
        <v>1.2262260227997777</v>
      </c>
      <c r="V380" s="193">
        <f ca="1">IF(V$2=1,1,IF(Prj_Inflation=1,POWER(1+OFFSET(V377,0,-1),Параметры!V$30/360),1) * IF(V$2&gt;1, U380, 1))</f>
        <v>1.2442194748263484</v>
      </c>
      <c r="W380" s="193">
        <f ca="1">IF(W$2=1,1,IF(Prj_Inflation=1,POWER(1+OFFSET(W377,0,-1),Параметры!W$30/360),1) * IF(W$2&gt;1, V380, 1))</f>
        <v>1.2624769600000003</v>
      </c>
      <c r="X380" s="193">
        <f ca="1">IF(X$2=1,1,IF(Prj_Inflation=1,POWER(1+OFFSET(X377,0,-1),Параметры!X$30/360),1) * IF(X$2&gt;1, W380, 1))</f>
        <v>1.2810023527025169</v>
      </c>
      <c r="Y380" s="193">
        <f ca="1">IF(Y$2=1,1,IF(Prj_Inflation=1,POWER(1+OFFSET(Y377,0,-1),Параметры!Y$30/360),1) * IF(Y$2&gt;1, X380, 1))</f>
        <v>1.2997995841677643</v>
      </c>
      <c r="Z380" s="193">
        <f ca="1">IF(Z$2=1,1,IF(Prj_Inflation=1,POWER(1+OFFSET(Z377,0,-1),Параметры!Z$30/360),1) * IF(Z$2&gt;1, Y380, 1))</f>
        <v>1.3188726433159295</v>
      </c>
      <c r="AA380" s="193">
        <f ca="1">IF(AA$2=1,1,IF(Prj_Inflation=1,POWER(1+OFFSET(AA377,0,-1),Параметры!AA$30/360),1) * IF(AA$2&gt;1, Z380, 1))</f>
        <v>1.3382255776000005</v>
      </c>
      <c r="AB380" s="193">
        <f ca="1">IF(AB$2=1,1,IF(Prj_Inflation=1,POWER(1+OFFSET(AB377,0,-1),Параметры!AB$30/360),1) * IF(AB$2&gt;1, AA380, 1))</f>
        <v>1.3578624938646682</v>
      </c>
      <c r="AC380" s="193">
        <f ca="1">IF(AC$2=1,1,IF(Prj_Inflation=1,POWER(1+OFFSET(AC377,0,-1),Параметры!AC$30/360),1) * IF(AC$2&gt;1, AB380, 1))</f>
        <v>1.3777875592178304</v>
      </c>
      <c r="AD380" s="193">
        <f ca="1">IF(AD$2=1,1,IF(Prj_Inflation=1,POWER(1+OFFSET(AD377,0,-1),Параметры!AD$30/360),1) * IF(AD$2&gt;1, AC380, 1))</f>
        <v>1.3980050019148853</v>
      </c>
      <c r="AE380" s="193">
        <f ca="1">IF(AE$2=1,1,IF(Prj_Inflation=1,POWER(1+OFFSET(AE377,0,-1),Параметры!AE$30/360),1) * IF(AE$2&gt;1, AD380, 1))</f>
        <v>1.4185191122560006</v>
      </c>
      <c r="AF380" s="193">
        <f ca="1">IF(AF$2=1,1,IF(Prj_Inflation=1,POWER(1+OFFSET(AF377,0,-1),Параметры!AF$30/360),1) * IF(AF$2&gt;1, AE380, 1))</f>
        <v>1.4393342434965484</v>
      </c>
      <c r="AG380" s="193">
        <f ca="1">IF(AG$2=1,1,IF(Prj_Inflation=1,POWER(1+OFFSET(AG377,0,-1),Параметры!AG$30/360),1) * IF(AG$2&gt;1, AF380, 1))</f>
        <v>1.4604548127709003</v>
      </c>
      <c r="AH380" s="193">
        <f ca="1">IF(AH$2=1,1,IF(Prj_Inflation=1,POWER(1+OFFSET(AH377,0,-1),Параметры!AH$30/360),1) * IF(AH$2&gt;1, AG380, 1))</f>
        <v>1.4818853020297786</v>
      </c>
      <c r="AI380" s="193">
        <f ca="1">IF(AI$2=1,1,IF(Prj_Inflation=1,POWER(1+OFFSET(AI377,0,-1),Параметры!AI$30/360),1) * IF(AI$2&gt;1, AH380, 1))</f>
        <v>1.5036302589913608</v>
      </c>
      <c r="AJ380" s="193">
        <f ca="1">IF(AJ$2=1,1,IF(Prj_Inflation=1,POWER(1+OFFSET(AJ377,0,-1),Параметры!AJ$30/360),1) * IF(AJ$2&gt;1, AI380, 1))</f>
        <v>1.5256942981063415</v>
      </c>
      <c r="AK380" s="193">
        <f ca="1">IF(AK$2=1,1,IF(Prj_Inflation=1,POWER(1+OFFSET(AK377,0,-1),Параметры!AK$30/360),1) * IF(AK$2&gt;1, AJ380, 1))</f>
        <v>1.5480821015371546</v>
      </c>
      <c r="AL380" s="193">
        <f ca="1">IF(AL$2=1,1,IF(Prj_Inflation=1,POWER(1+OFFSET(AL377,0,-1),Параметры!AL$30/360),1) * IF(AL$2&gt;1, AK380, 1))</f>
        <v>1.5707984201515657</v>
      </c>
      <c r="AM380" s="193">
        <f ca="1">IF(AM$2=1,1,IF(Prj_Inflation=1,POWER(1+OFFSET(AM377,0,-1),Параметры!AM$30/360),1) * IF(AM$2&gt;1, AL380, 1))</f>
        <v>1.5938480745308428</v>
      </c>
      <c r="AN380" s="193">
        <f ca="1">IF(AN$2=1,1,IF(Prj_Inflation=1,POWER(1+OFFSET(AN377,0,-1),Параметры!AN$30/360),1) * IF(AN$2&gt;1, AM380, 1))</f>
        <v>1.6172359559927221</v>
      </c>
      <c r="AO380" s="193">
        <f ca="1">IF(AO$2=1,1,IF(Prj_Inflation=1,POWER(1+OFFSET(AO377,0,-1),Параметры!AO$30/360),1) * IF(AO$2&gt;1, AN380, 1))</f>
        <v>1.640967027629384</v>
      </c>
      <c r="AP380" s="193">
        <f ca="1">IF(AP$2=1,1,IF(Prj_Inflation=1,POWER(1+OFFSET(AP377,0,-1),Параметры!AP$30/360),1) * IF(AP$2&gt;1, AO380, 1))</f>
        <v>1.6650463253606596</v>
      </c>
      <c r="AQ380" s="193">
        <f ca="1">IF(AQ$2=1,1,IF(Prj_Inflation=1,POWER(1+OFFSET(AQ377,0,-1),Параметры!AQ$30/360),1) * IF(AQ$2&gt;1, AP380, 1))</f>
        <v>1.6894789590026933</v>
      </c>
      <c r="AR380" s="193">
        <f ca="1">IF(AR$2=1,1,IF(Prj_Inflation=1,POWER(1+OFFSET(AR377,0,-1),Параметры!AR$30/360),1) * IF(AR$2&gt;1, AQ380, 1))</f>
        <v>1.7142701133522855</v>
      </c>
      <c r="AS380" s="193">
        <f ca="1">IF(AS$2=1,1,IF(Prj_Inflation=1,POWER(1+OFFSET(AS377,0,-1),Параметры!AS$30/360),1) * IF(AS$2&gt;1, AR380, 1))</f>
        <v>1.739425049287147</v>
      </c>
      <c r="AT380" s="193">
        <f ca="1">IF(AT$2=1,1,IF(Prj_Inflation=1,POWER(1+OFFSET(AT377,0,-1),Параметры!AT$30/360),1) * IF(AT$2&gt;1, AS380, 1))</f>
        <v>1.7649491048822992</v>
      </c>
      <c r="AU380" s="193">
        <f ca="1">IF(AU$2=1,1,IF(Prj_Inflation=1,POWER(1+OFFSET(AU377,0,-1),Параметры!AU$30/360),1) * IF(AU$2&gt;1, AT380, 1))</f>
        <v>1.790847696542855</v>
      </c>
      <c r="AV380" s="193">
        <f ca="1">IF(AV$2=1,1,IF(Prj_Inflation=1,POWER(1+OFFSET(AV377,0,-1),Параметры!AV$30/360),1) * IF(AV$2&gt;1, AU380, 1))</f>
        <v>1.8171263201534227</v>
      </c>
      <c r="AW380" s="193"/>
      <c r="AX380" s="182"/>
    </row>
    <row r="381" spans="1:50" hidden="1" outlineLevel="1" x14ac:dyDescent="0.2">
      <c r="A381" s="167" t="str">
        <f ca="1">Language!A$640</f>
        <v>пошлины начисленные</v>
      </c>
      <c r="B381" s="153"/>
      <c r="C381" s="103" t="str">
        <f ca="1">CHOOSE(D381,CurName1,CurName2,CurName3)</f>
        <v>тыс. руб.</v>
      </c>
      <c r="D381" s="155">
        <f>D357</f>
        <v>1</v>
      </c>
      <c r="E381" s="57" t="s">
        <v>1011</v>
      </c>
      <c r="F381" s="57" t="s">
        <v>753</v>
      </c>
      <c r="G381" s="194">
        <f ca="1">G371*G379</f>
        <v>0</v>
      </c>
      <c r="H381" s="194">
        <f t="shared" ref="H381:AV381" ca="1" si="2170">H371*H379</f>
        <v>0</v>
      </c>
      <c r="I381" s="194">
        <f t="shared" ca="1" si="2170"/>
        <v>0</v>
      </c>
      <c r="J381" s="194">
        <f t="shared" ca="1" si="2170"/>
        <v>0</v>
      </c>
      <c r="K381" s="194">
        <f t="shared" ca="1" si="2170"/>
        <v>0</v>
      </c>
      <c r="L381" s="194">
        <f t="shared" ca="1" si="2170"/>
        <v>0</v>
      </c>
      <c r="M381" s="194">
        <f t="shared" ca="1" si="2170"/>
        <v>0</v>
      </c>
      <c r="N381" s="194">
        <f t="shared" ca="1" si="2170"/>
        <v>0</v>
      </c>
      <c r="O381" s="194">
        <f t="shared" ca="1" si="2170"/>
        <v>0</v>
      </c>
      <c r="P381" s="194">
        <f t="shared" ca="1" si="2170"/>
        <v>0</v>
      </c>
      <c r="Q381" s="194">
        <f t="shared" ca="1" si="2170"/>
        <v>0</v>
      </c>
      <c r="R381" s="194">
        <f t="shared" ca="1" si="2170"/>
        <v>0</v>
      </c>
      <c r="S381" s="194">
        <f t="shared" ca="1" si="2170"/>
        <v>0</v>
      </c>
      <c r="T381" s="194">
        <f t="shared" ca="1" si="2170"/>
        <v>0</v>
      </c>
      <c r="U381" s="194">
        <f t="shared" ca="1" si="2170"/>
        <v>0</v>
      </c>
      <c r="V381" s="194">
        <f t="shared" ca="1" si="2170"/>
        <v>0</v>
      </c>
      <c r="W381" s="194">
        <f t="shared" ca="1" si="2170"/>
        <v>0</v>
      </c>
      <c r="X381" s="194">
        <f t="shared" ca="1" si="2170"/>
        <v>0</v>
      </c>
      <c r="Y381" s="194">
        <f t="shared" ca="1" si="2170"/>
        <v>0</v>
      </c>
      <c r="Z381" s="194">
        <f t="shared" ca="1" si="2170"/>
        <v>0</v>
      </c>
      <c r="AA381" s="194">
        <f t="shared" ca="1" si="2170"/>
        <v>0</v>
      </c>
      <c r="AB381" s="194">
        <f t="shared" ca="1" si="2170"/>
        <v>0</v>
      </c>
      <c r="AC381" s="194">
        <f t="shared" ca="1" si="2170"/>
        <v>0</v>
      </c>
      <c r="AD381" s="194">
        <f t="shared" ca="1" si="2170"/>
        <v>0</v>
      </c>
      <c r="AE381" s="194">
        <f t="shared" ca="1" si="2170"/>
        <v>0</v>
      </c>
      <c r="AF381" s="194">
        <f t="shared" ca="1" si="2170"/>
        <v>0</v>
      </c>
      <c r="AG381" s="194">
        <f t="shared" ca="1" si="2170"/>
        <v>0</v>
      </c>
      <c r="AH381" s="194">
        <f t="shared" ca="1" si="2170"/>
        <v>0</v>
      </c>
      <c r="AI381" s="194">
        <f t="shared" ca="1" si="2170"/>
        <v>0</v>
      </c>
      <c r="AJ381" s="194">
        <f t="shared" ca="1" si="2170"/>
        <v>0</v>
      </c>
      <c r="AK381" s="194">
        <f t="shared" ca="1" si="2170"/>
        <v>0</v>
      </c>
      <c r="AL381" s="194">
        <f t="shared" ca="1" si="2170"/>
        <v>0</v>
      </c>
      <c r="AM381" s="194">
        <f t="shared" ca="1" si="2170"/>
        <v>0</v>
      </c>
      <c r="AN381" s="194">
        <f t="shared" ca="1" si="2170"/>
        <v>0</v>
      </c>
      <c r="AO381" s="194">
        <f t="shared" ca="1" si="2170"/>
        <v>0</v>
      </c>
      <c r="AP381" s="194">
        <f t="shared" ca="1" si="2170"/>
        <v>0</v>
      </c>
      <c r="AQ381" s="194">
        <f t="shared" ca="1" si="2170"/>
        <v>0</v>
      </c>
      <c r="AR381" s="194">
        <f t="shared" ca="1" si="2170"/>
        <v>0</v>
      </c>
      <c r="AS381" s="194">
        <f t="shared" ca="1" si="2170"/>
        <v>0</v>
      </c>
      <c r="AT381" s="194">
        <f t="shared" ca="1" si="2170"/>
        <v>0</v>
      </c>
      <c r="AU381" s="194">
        <f t="shared" ca="1" si="2170"/>
        <v>0</v>
      </c>
      <c r="AV381" s="194">
        <f t="shared" ca="1" si="2170"/>
        <v>0</v>
      </c>
      <c r="AW381" s="194"/>
      <c r="AX381" s="169">
        <f ca="1">SUM(G381:AW381)</f>
        <v>0</v>
      </c>
    </row>
    <row r="382" spans="1:50" hidden="1" outlineLevel="1" x14ac:dyDescent="0.2">
      <c r="A382" s="167" t="str">
        <f ca="1">Language!A$641</f>
        <v>НДС начисленный</v>
      </c>
      <c r="B382" s="153"/>
      <c r="C382" s="103" t="str">
        <f ca="1">CHOOSE(D382,CurName1,CurName2,CurName3)</f>
        <v>тыс. руб.</v>
      </c>
      <c r="D382" s="155">
        <f>D357</f>
        <v>1</v>
      </c>
      <c r="E382" s="57" t="s">
        <v>789</v>
      </c>
      <c r="F382" s="57" t="s">
        <v>753</v>
      </c>
      <c r="G382" s="194">
        <f ca="1">(G371+G381)*G378</f>
        <v>306</v>
      </c>
      <c r="H382" s="194">
        <f t="shared" ref="H382:AV382" ca="1" si="2171">(H371+H381)*H378</f>
        <v>1397.2058861742439</v>
      </c>
      <c r="I382" s="194">
        <f t="shared" ca="1" si="2171"/>
        <v>2835.4165408278195</v>
      </c>
      <c r="J382" s="194">
        <f t="shared" ca="1" si="2171"/>
        <v>3995.8652874611093</v>
      </c>
      <c r="K382" s="194">
        <f t="shared" ca="1" si="2171"/>
        <v>4865.3999999999987</v>
      </c>
      <c r="L382" s="194">
        <f t="shared" ca="1" si="2171"/>
        <v>5759.5931530071603</v>
      </c>
      <c r="M382" s="194">
        <f t="shared" ca="1" si="2171"/>
        <v>6678.9811850610859</v>
      </c>
      <c r="N382" s="194">
        <f t="shared" ca="1" si="2171"/>
        <v>7624.1109684757985</v>
      </c>
      <c r="O382" s="194">
        <f t="shared" ca="1" si="2171"/>
        <v>8595.5400000000009</v>
      </c>
      <c r="P382" s="194">
        <f t="shared" ca="1" si="2171"/>
        <v>9593.836594866214</v>
      </c>
      <c r="Q382" s="194">
        <f t="shared" ca="1" si="2171"/>
        <v>9734.6150772265355</v>
      </c>
      <c r="R382" s="194">
        <f t="shared" ca="1" si="2171"/>
        <v>9877.4593213808694</v>
      </c>
      <c r="S382" s="194">
        <f t="shared" ca="1" si="2171"/>
        <v>10022.399640000001</v>
      </c>
      <c r="T382" s="194">
        <f t="shared" ca="1" si="2171"/>
        <v>10169.466790558188</v>
      </c>
      <c r="U382" s="194">
        <f t="shared" ca="1" si="2171"/>
        <v>10318.691981860129</v>
      </c>
      <c r="V382" s="194">
        <f t="shared" ca="1" si="2171"/>
        <v>10470.106880663721</v>
      </c>
      <c r="W382" s="194">
        <f t="shared" ca="1" si="2171"/>
        <v>10623.743618400002</v>
      </c>
      <c r="X382" s="194">
        <f t="shared" ca="1" si="2171"/>
        <v>10779.634797991681</v>
      </c>
      <c r="Y382" s="194">
        <f t="shared" ca="1" si="2171"/>
        <v>10937.813500771736</v>
      </c>
      <c r="Z382" s="194">
        <f t="shared" ca="1" si="2171"/>
        <v>11098.313293503546</v>
      </c>
      <c r="AA382" s="194">
        <f t="shared" ca="1" si="2171"/>
        <v>11261.168235504005</v>
      </c>
      <c r="AB382" s="194">
        <f t="shared" ca="1" si="2171"/>
        <v>11426.412885871183</v>
      </c>
      <c r="AC382" s="194">
        <f t="shared" ca="1" si="2171"/>
        <v>11594.082310818041</v>
      </c>
      <c r="AD382" s="194">
        <f t="shared" ca="1" si="2171"/>
        <v>11764.212091113759</v>
      </c>
      <c r="AE382" s="194">
        <f t="shared" ca="1" si="2171"/>
        <v>11936.838329634245</v>
      </c>
      <c r="AF382" s="194">
        <f t="shared" ca="1" si="2171"/>
        <v>12111.997659023455</v>
      </c>
      <c r="AG382" s="194">
        <f t="shared" ca="1" si="2171"/>
        <v>12289.727249467125</v>
      </c>
      <c r="AH382" s="194">
        <f t="shared" ca="1" si="2171"/>
        <v>12470.064816580587</v>
      </c>
      <c r="AI382" s="194">
        <f t="shared" ca="1" si="2171"/>
        <v>12653.048629412302</v>
      </c>
      <c r="AJ382" s="194">
        <f t="shared" ca="1" si="2171"/>
        <v>12838.717518564863</v>
      </c>
      <c r="AK382" s="194">
        <f t="shared" ca="1" si="2171"/>
        <v>13027.110884435157</v>
      </c>
      <c r="AL382" s="194">
        <f t="shared" ca="1" si="2171"/>
        <v>13218.268705575425</v>
      </c>
      <c r="AM382" s="194">
        <f t="shared" ca="1" si="2171"/>
        <v>13412.231547177042</v>
      </c>
      <c r="AN382" s="194">
        <f t="shared" ca="1" si="2171"/>
        <v>13609.040569678755</v>
      </c>
      <c r="AO382" s="194">
        <f t="shared" ca="1" si="2171"/>
        <v>13808.737537501265</v>
      </c>
      <c r="AP382" s="194">
        <f t="shared" ca="1" si="2171"/>
        <v>14011.364827909949</v>
      </c>
      <c r="AQ382" s="194">
        <f t="shared" ca="1" si="2171"/>
        <v>14216.965440007663</v>
      </c>
      <c r="AR382" s="194">
        <f t="shared" ca="1" si="2171"/>
        <v>14425.583003859483</v>
      </c>
      <c r="AS382" s="194">
        <f t="shared" ca="1" si="2171"/>
        <v>14637.261789751341</v>
      </c>
      <c r="AT382" s="194">
        <f t="shared" ca="1" si="2171"/>
        <v>14852.046717584548</v>
      </c>
      <c r="AU382" s="194">
        <f t="shared" ca="1" si="2171"/>
        <v>15069.983366408125</v>
      </c>
      <c r="AV382" s="194">
        <f t="shared" ca="1" si="2171"/>
        <v>15291.117984091052</v>
      </c>
      <c r="AW382" s="194"/>
      <c r="AX382" s="169">
        <f ca="1">SUM(G382:AW382)</f>
        <v>445610.17661819933</v>
      </c>
    </row>
    <row r="383" spans="1:50" x14ac:dyDescent="0.2">
      <c r="A383" s="317" t="s">
        <v>2324</v>
      </c>
      <c r="B383" s="186"/>
      <c r="C383" s="157"/>
      <c r="D383" s="158">
        <v>1</v>
      </c>
      <c r="F383" s="57" t="s">
        <v>2325</v>
      </c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87"/>
    </row>
    <row r="384" spans="1:50" x14ac:dyDescent="0.2">
      <c r="A384" s="172" t="str">
        <f ca="1">Language!A$622</f>
        <v>расход за период, без учета инфляции, без НДС</v>
      </c>
      <c r="B384" s="337"/>
      <c r="C384" s="146" t="str">
        <f ca="1">CHOOSE(D383,CurName1,CurName2,CurName3)</f>
        <v>тыс. руб.</v>
      </c>
      <c r="F384" s="57" t="s">
        <v>753</v>
      </c>
      <c r="G384" s="311"/>
      <c r="H384" s="311"/>
      <c r="I384" s="311">
        <v>25000</v>
      </c>
      <c r="J384" s="311"/>
      <c r="K384" s="311"/>
      <c r="L384" s="311"/>
      <c r="M384" s="311">
        <v>25000</v>
      </c>
      <c r="N384" s="311"/>
      <c r="O384" s="311"/>
      <c r="P384" s="311"/>
      <c r="Q384" s="311">
        <v>25000</v>
      </c>
      <c r="R384" s="311"/>
      <c r="S384" s="311"/>
      <c r="T384" s="311"/>
      <c r="U384" s="311">
        <v>25000</v>
      </c>
      <c r="V384" s="311"/>
      <c r="W384" s="311"/>
      <c r="X384" s="311"/>
      <c r="Y384" s="311">
        <v>25000</v>
      </c>
      <c r="Z384" s="311"/>
      <c r="AA384" s="311"/>
      <c r="AB384" s="311"/>
      <c r="AC384" s="311">
        <v>25000</v>
      </c>
      <c r="AD384" s="311"/>
      <c r="AE384" s="311"/>
      <c r="AF384" s="311"/>
      <c r="AG384" s="311">
        <v>25000</v>
      </c>
      <c r="AH384" s="311"/>
      <c r="AI384" s="311"/>
      <c r="AJ384" s="311"/>
      <c r="AK384" s="311">
        <v>25000</v>
      </c>
      <c r="AL384" s="311"/>
      <c r="AM384" s="311"/>
      <c r="AN384" s="311"/>
      <c r="AO384" s="311">
        <v>25000</v>
      </c>
      <c r="AP384" s="311"/>
      <c r="AQ384" s="311"/>
      <c r="AR384" s="311"/>
      <c r="AS384" s="311">
        <v>25000</v>
      </c>
      <c r="AT384" s="311"/>
      <c r="AU384" s="311"/>
      <c r="AV384" s="311"/>
      <c r="AW384" s="148"/>
      <c r="AX384" s="171">
        <f>SUM(G384:AW384)</f>
        <v>250000</v>
      </c>
    </row>
    <row r="385" spans="1:50" collapsed="1" x14ac:dyDescent="0.2">
      <c r="A385" s="172" t="str">
        <f ca="1">Language!A$623</f>
        <v>затраты на проданный товар, без НДС</v>
      </c>
      <c r="B385" s="188"/>
      <c r="C385" s="146" t="str">
        <f t="shared" ref="C385:C386" ca="1" si="2172">CHOOSE(D385,CurName1,CurName2,CurName3)</f>
        <v>тыс. руб.</v>
      </c>
      <c r="D385" s="155">
        <f>D383</f>
        <v>1</v>
      </c>
      <c r="E385" s="57" t="s">
        <v>992</v>
      </c>
      <c r="F385" s="57" t="s">
        <v>753</v>
      </c>
      <c r="G385" s="148">
        <f ca="1">G384*G401*(1+G400)</f>
        <v>0</v>
      </c>
      <c r="H385" s="148">
        <f t="shared" ref="H385:AV385" ca="1" si="2173">H384*H401*(1+H400)</f>
        <v>0</v>
      </c>
      <c r="I385" s="148">
        <f t="shared" ca="1" si="2173"/>
        <v>25739.075352467498</v>
      </c>
      <c r="J385" s="148">
        <f t="shared" ca="1" si="2173"/>
        <v>0</v>
      </c>
      <c r="K385" s="148">
        <f t="shared" ca="1" si="2173"/>
        <v>0</v>
      </c>
      <c r="L385" s="148">
        <f t="shared" ca="1" si="2173"/>
        <v>0</v>
      </c>
      <c r="M385" s="148">
        <f t="shared" ca="1" si="2173"/>
        <v>27283.419873615549</v>
      </c>
      <c r="N385" s="148">
        <f t="shared" ca="1" si="2173"/>
        <v>0</v>
      </c>
      <c r="O385" s="148">
        <f t="shared" ca="1" si="2173"/>
        <v>0</v>
      </c>
      <c r="P385" s="148">
        <f t="shared" ca="1" si="2173"/>
        <v>0</v>
      </c>
      <c r="Q385" s="148">
        <f t="shared" ca="1" si="2173"/>
        <v>28920.425066032491</v>
      </c>
      <c r="R385" s="148">
        <f t="shared" ca="1" si="2173"/>
        <v>0</v>
      </c>
      <c r="S385" s="148">
        <f t="shared" ca="1" si="2173"/>
        <v>0</v>
      </c>
      <c r="T385" s="148">
        <f t="shared" ca="1" si="2173"/>
        <v>0</v>
      </c>
      <c r="U385" s="148">
        <f t="shared" ca="1" si="2173"/>
        <v>30655.650569994443</v>
      </c>
      <c r="V385" s="148">
        <f t="shared" ca="1" si="2173"/>
        <v>0</v>
      </c>
      <c r="W385" s="148">
        <f t="shared" ca="1" si="2173"/>
        <v>0</v>
      </c>
      <c r="X385" s="148">
        <f t="shared" ca="1" si="2173"/>
        <v>0</v>
      </c>
      <c r="Y385" s="148">
        <f t="shared" ca="1" si="2173"/>
        <v>32494.989604194107</v>
      </c>
      <c r="Z385" s="148">
        <f t="shared" ca="1" si="2173"/>
        <v>0</v>
      </c>
      <c r="AA385" s="148">
        <f t="shared" ca="1" si="2173"/>
        <v>0</v>
      </c>
      <c r="AB385" s="148">
        <f t="shared" ca="1" si="2173"/>
        <v>0</v>
      </c>
      <c r="AC385" s="148">
        <f t="shared" ca="1" si="2173"/>
        <v>34444.688980445761</v>
      </c>
      <c r="AD385" s="148">
        <f t="shared" ca="1" si="2173"/>
        <v>0</v>
      </c>
      <c r="AE385" s="148">
        <f t="shared" ca="1" si="2173"/>
        <v>0</v>
      </c>
      <c r="AF385" s="148">
        <f t="shared" ca="1" si="2173"/>
        <v>0</v>
      </c>
      <c r="AG385" s="148">
        <f t="shared" ca="1" si="2173"/>
        <v>36511.370319272508</v>
      </c>
      <c r="AH385" s="148">
        <f t="shared" ca="1" si="2173"/>
        <v>0</v>
      </c>
      <c r="AI385" s="148">
        <f t="shared" ca="1" si="2173"/>
        <v>0</v>
      </c>
      <c r="AJ385" s="148">
        <f t="shared" ca="1" si="2173"/>
        <v>0</v>
      </c>
      <c r="AK385" s="148">
        <f t="shared" ca="1" si="2173"/>
        <v>38702.052538428863</v>
      </c>
      <c r="AL385" s="148">
        <f t="shared" ca="1" si="2173"/>
        <v>0</v>
      </c>
      <c r="AM385" s="148">
        <f t="shared" ca="1" si="2173"/>
        <v>0</v>
      </c>
      <c r="AN385" s="148">
        <f t="shared" ca="1" si="2173"/>
        <v>0</v>
      </c>
      <c r="AO385" s="148">
        <f t="shared" ca="1" si="2173"/>
        <v>41024.175690734599</v>
      </c>
      <c r="AP385" s="148">
        <f t="shared" ca="1" si="2173"/>
        <v>0</v>
      </c>
      <c r="AQ385" s="148">
        <f t="shared" ca="1" si="2173"/>
        <v>0</v>
      </c>
      <c r="AR385" s="148">
        <f t="shared" ca="1" si="2173"/>
        <v>0</v>
      </c>
      <c r="AS385" s="148">
        <f t="shared" ca="1" si="2173"/>
        <v>43485.626232178678</v>
      </c>
      <c r="AT385" s="148">
        <f t="shared" ca="1" si="2173"/>
        <v>0</v>
      </c>
      <c r="AU385" s="148">
        <f t="shared" ca="1" si="2173"/>
        <v>0</v>
      </c>
      <c r="AV385" s="148">
        <f t="shared" ca="1" si="2173"/>
        <v>0</v>
      </c>
      <c r="AW385" s="148"/>
      <c r="AX385" s="171">
        <f ca="1">SUM(G385:AW385)</f>
        <v>339261.47422736452</v>
      </c>
    </row>
    <row r="386" spans="1:50" hidden="1" outlineLevel="1" x14ac:dyDescent="0.2">
      <c r="A386" s="179" t="str">
        <f ca="1">Language!A$624</f>
        <v>запасы сырья и материалов</v>
      </c>
      <c r="B386" s="188"/>
      <c r="C386" s="82" t="str">
        <f t="shared" ca="1" si="2172"/>
        <v>тыс. руб.</v>
      </c>
      <c r="D386" s="155">
        <f>D383</f>
        <v>1</v>
      </c>
      <c r="E386" s="57" t="s">
        <v>1012</v>
      </c>
      <c r="F386" s="57" t="s">
        <v>754</v>
      </c>
      <c r="G386" s="319">
        <f ca="1">IF(AND($B387=0,G$2&gt;1),F386,G385*$B387/Параметры!G$30)</f>
        <v>0</v>
      </c>
      <c r="H386" s="319">
        <f ca="1">IF(AND($B387=0,H$2&gt;1),G386,H385*$B387/Параметры!H$30)</f>
        <v>0</v>
      </c>
      <c r="I386" s="319">
        <f ca="1">IF(AND($B387=0,I$2&gt;1),H386,I385*$B387/Параметры!I$30)</f>
        <v>0</v>
      </c>
      <c r="J386" s="319">
        <f ca="1">IF(AND($B387=0,J$2&gt;1),I386,J385*$B387/Параметры!J$30)</f>
        <v>0</v>
      </c>
      <c r="K386" s="319">
        <f ca="1">IF(AND($B387=0,K$2&gt;1),J386,K385*$B387/Параметры!K$30)</f>
        <v>0</v>
      </c>
      <c r="L386" s="319">
        <f ca="1">IF(AND($B387=0,L$2&gt;1),K386,L385*$B387/Параметры!L$30)</f>
        <v>0</v>
      </c>
      <c r="M386" s="319">
        <f ca="1">IF(AND($B387=0,M$2&gt;1),L386,M385*$B387/Параметры!M$30)</f>
        <v>0</v>
      </c>
      <c r="N386" s="319">
        <f ca="1">IF(AND($B387=0,N$2&gt;1),M386,N385*$B387/Параметры!N$30)</f>
        <v>0</v>
      </c>
      <c r="O386" s="319">
        <f ca="1">IF(AND($B387=0,O$2&gt;1),N386,O385*$B387/Параметры!O$30)</f>
        <v>0</v>
      </c>
      <c r="P386" s="319">
        <f ca="1">IF(AND($B387=0,P$2&gt;1),O386,P385*$B387/Параметры!P$30)</f>
        <v>0</v>
      </c>
      <c r="Q386" s="319">
        <f ca="1">IF(AND($B387=0,Q$2&gt;1),P386,Q385*$B387/Параметры!Q$30)</f>
        <v>0</v>
      </c>
      <c r="R386" s="319">
        <f ca="1">IF(AND($B387=0,R$2&gt;1),Q386,R385*$B387/Параметры!R$30)</f>
        <v>0</v>
      </c>
      <c r="S386" s="319">
        <f ca="1">IF(AND($B387=0,S$2&gt;1),R386,S385*$B387/Параметры!S$30)</f>
        <v>0</v>
      </c>
      <c r="T386" s="319">
        <f ca="1">IF(AND($B387=0,T$2&gt;1),S386,T385*$B387/Параметры!T$30)</f>
        <v>0</v>
      </c>
      <c r="U386" s="319">
        <f ca="1">IF(AND($B387=0,U$2&gt;1),T386,U385*$B387/Параметры!U$30)</f>
        <v>0</v>
      </c>
      <c r="V386" s="319">
        <f ca="1">IF(AND($B387=0,V$2&gt;1),U386,V385*$B387/Параметры!V$30)</f>
        <v>0</v>
      </c>
      <c r="W386" s="319">
        <f ca="1">IF(AND($B387=0,W$2&gt;1),V386,W385*$B387/Параметры!W$30)</f>
        <v>0</v>
      </c>
      <c r="X386" s="319">
        <f ca="1">IF(AND($B387=0,X$2&gt;1),W386,X385*$B387/Параметры!X$30)</f>
        <v>0</v>
      </c>
      <c r="Y386" s="319">
        <f ca="1">IF(AND($B387=0,Y$2&gt;1),X386,Y385*$B387/Параметры!Y$30)</f>
        <v>0</v>
      </c>
      <c r="Z386" s="319">
        <f ca="1">IF(AND($B387=0,Z$2&gt;1),Y386,Z385*$B387/Параметры!Z$30)</f>
        <v>0</v>
      </c>
      <c r="AA386" s="319">
        <f ca="1">IF(AND($B387=0,AA$2&gt;1),Z386,AA385*$B387/Параметры!AA$30)</f>
        <v>0</v>
      </c>
      <c r="AB386" s="319">
        <f ca="1">IF(AND($B387=0,AB$2&gt;1),AA386,AB385*$B387/Параметры!AB$30)</f>
        <v>0</v>
      </c>
      <c r="AC386" s="319">
        <f ca="1">IF(AND($B387=0,AC$2&gt;1),AB386,AC385*$B387/Параметры!AC$30)</f>
        <v>0</v>
      </c>
      <c r="AD386" s="319">
        <f ca="1">IF(AND($B387=0,AD$2&gt;1),AC386,AD385*$B387/Параметры!AD$30)</f>
        <v>0</v>
      </c>
      <c r="AE386" s="319">
        <f ca="1">IF(AND($B387=0,AE$2&gt;1),AD386,AE385*$B387/Параметры!AE$30)</f>
        <v>0</v>
      </c>
      <c r="AF386" s="319">
        <f ca="1">IF(AND($B387=0,AF$2&gt;1),AE386,AF385*$B387/Параметры!AF$30)</f>
        <v>0</v>
      </c>
      <c r="AG386" s="319">
        <f ca="1">IF(AND($B387=0,AG$2&gt;1),AF386,AG385*$B387/Параметры!AG$30)</f>
        <v>0</v>
      </c>
      <c r="AH386" s="319">
        <f ca="1">IF(AND($B387=0,AH$2&gt;1),AG386,AH385*$B387/Параметры!AH$30)</f>
        <v>0</v>
      </c>
      <c r="AI386" s="319">
        <f ca="1">IF(AND($B387=0,AI$2&gt;1),AH386,AI385*$B387/Параметры!AI$30)</f>
        <v>0</v>
      </c>
      <c r="AJ386" s="319">
        <f ca="1">IF(AND($B387=0,AJ$2&gt;1),AI386,AJ385*$B387/Параметры!AJ$30)</f>
        <v>0</v>
      </c>
      <c r="AK386" s="319">
        <f ca="1">IF(AND($B387=0,AK$2&gt;1),AJ386,AK385*$B387/Параметры!AK$30)</f>
        <v>0</v>
      </c>
      <c r="AL386" s="319">
        <f ca="1">IF(AND($B387=0,AL$2&gt;1),AK386,AL385*$B387/Параметры!AL$30)</f>
        <v>0</v>
      </c>
      <c r="AM386" s="319">
        <f ca="1">IF(AND($B387=0,AM$2&gt;1),AL386,AM385*$B387/Параметры!AM$30)</f>
        <v>0</v>
      </c>
      <c r="AN386" s="319">
        <f ca="1">IF(AND($B387=0,AN$2&gt;1),AM386,AN385*$B387/Параметры!AN$30)</f>
        <v>0</v>
      </c>
      <c r="AO386" s="319">
        <f ca="1">IF(AND($B387=0,AO$2&gt;1),AN386,AO385*$B387/Параметры!AO$30)</f>
        <v>0</v>
      </c>
      <c r="AP386" s="319">
        <f ca="1">IF(AND($B387=0,AP$2&gt;1),AO386,AP385*$B387/Параметры!AP$30)</f>
        <v>0</v>
      </c>
      <c r="AQ386" s="319">
        <f ca="1">IF(AND($B387=0,AQ$2&gt;1),AP386,AQ385*$B387/Параметры!AQ$30)</f>
        <v>0</v>
      </c>
      <c r="AR386" s="319">
        <f ca="1">IF(AND($B387=0,AR$2&gt;1),AQ386,AR385*$B387/Параметры!AR$30)</f>
        <v>0</v>
      </c>
      <c r="AS386" s="319">
        <f ca="1">IF(AND($B387=0,AS$2&gt;1),AR386,AS385*$B387/Параметры!AS$30)</f>
        <v>0</v>
      </c>
      <c r="AT386" s="319">
        <f ca="1">IF(AND($B387=0,AT$2&gt;1),AS386,AT385*$B387/Параметры!AT$30)</f>
        <v>0</v>
      </c>
      <c r="AU386" s="319">
        <f ca="1">IF(AND($B387=0,AU$2&gt;1),AT386,AU385*$B387/Параметры!AU$30)</f>
        <v>0</v>
      </c>
      <c r="AV386" s="319">
        <f ca="1">IF(AND($B387=0,AV$2&gt;1),AU386,AV385*$B387/Параметры!AV$30)</f>
        <v>0</v>
      </c>
      <c r="AW386" s="45"/>
      <c r="AX386" s="171"/>
    </row>
    <row r="387" spans="1:50" hidden="1" outlineLevel="1" x14ac:dyDescent="0.2">
      <c r="A387" s="181" t="str">
        <f ca="1">Language!A$625</f>
        <v>периодичность закупки</v>
      </c>
      <c r="B387" s="320">
        <f>$B$630</f>
        <v>0</v>
      </c>
      <c r="C387" s="152" t="str">
        <f ca="1">Language!$A$1446</f>
        <v>дней</v>
      </c>
      <c r="D387" s="155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71"/>
    </row>
    <row r="388" spans="1:50" hidden="1" outlineLevel="1" x14ac:dyDescent="0.2">
      <c r="A388" s="179" t="str">
        <f ca="1">Language!A$626</f>
        <v>затраты в запасах готовой продукции</v>
      </c>
      <c r="B388" s="188"/>
      <c r="C388" s="82" t="str">
        <f t="shared" ref="C388" ca="1" si="2174">CHOOSE(D388,CurName1,CurName2,CurName3)</f>
        <v>тыс. руб.</v>
      </c>
      <c r="D388" s="155">
        <f>D383</f>
        <v>1</v>
      </c>
      <c r="E388" s="57" t="s">
        <v>1013</v>
      </c>
      <c r="F388" s="57" t="s">
        <v>754</v>
      </c>
      <c r="G388" s="319">
        <f ca="1">IF(AND($B389=0,G$2&gt;1),F388,G385*$B389/Параметры!G$30)</f>
        <v>0</v>
      </c>
      <c r="H388" s="319">
        <f ca="1">IF(AND($B389=0,H$2&gt;1),G388,H385*$B389/Параметры!H$30)</f>
        <v>0</v>
      </c>
      <c r="I388" s="319">
        <f ca="1">IF(AND($B389=0,I$2&gt;1),H388,I385*$B389/Параметры!I$30)</f>
        <v>0</v>
      </c>
      <c r="J388" s="319">
        <f ca="1">IF(AND($B389=0,J$2&gt;1),I388,J385*$B389/Параметры!J$30)</f>
        <v>0</v>
      </c>
      <c r="K388" s="319">
        <f ca="1">IF(AND($B389=0,K$2&gt;1),J388,K385*$B389/Параметры!K$30)</f>
        <v>0</v>
      </c>
      <c r="L388" s="319">
        <f ca="1">IF(AND($B389=0,L$2&gt;1),K388,L385*$B389/Параметры!L$30)</f>
        <v>0</v>
      </c>
      <c r="M388" s="319">
        <f ca="1">IF(AND($B389=0,M$2&gt;1),L388,M385*$B389/Параметры!M$30)</f>
        <v>0</v>
      </c>
      <c r="N388" s="319">
        <f ca="1">IF(AND($B389=0,N$2&gt;1),M388,N385*$B389/Параметры!N$30)</f>
        <v>0</v>
      </c>
      <c r="O388" s="319">
        <f ca="1">IF(AND($B389=0,O$2&gt;1),N388,O385*$B389/Параметры!O$30)</f>
        <v>0</v>
      </c>
      <c r="P388" s="319">
        <f ca="1">IF(AND($B389=0,P$2&gt;1),O388,P385*$B389/Параметры!P$30)</f>
        <v>0</v>
      </c>
      <c r="Q388" s="319">
        <f ca="1">IF(AND($B389=0,Q$2&gt;1),P388,Q385*$B389/Параметры!Q$30)</f>
        <v>0</v>
      </c>
      <c r="R388" s="319">
        <f ca="1">IF(AND($B389=0,R$2&gt;1),Q388,R385*$B389/Параметры!R$30)</f>
        <v>0</v>
      </c>
      <c r="S388" s="319">
        <f ca="1">IF(AND($B389=0,S$2&gt;1),R388,S385*$B389/Параметры!S$30)</f>
        <v>0</v>
      </c>
      <c r="T388" s="319">
        <f ca="1">IF(AND($B389=0,T$2&gt;1),S388,T385*$B389/Параметры!T$30)</f>
        <v>0</v>
      </c>
      <c r="U388" s="319">
        <f ca="1">IF(AND($B389=0,U$2&gt;1),T388,U385*$B389/Параметры!U$30)</f>
        <v>0</v>
      </c>
      <c r="V388" s="319">
        <f ca="1">IF(AND($B389=0,V$2&gt;1),U388,V385*$B389/Параметры!V$30)</f>
        <v>0</v>
      </c>
      <c r="W388" s="319">
        <f ca="1">IF(AND($B389=0,W$2&gt;1),V388,W385*$B389/Параметры!W$30)</f>
        <v>0</v>
      </c>
      <c r="X388" s="319">
        <f ca="1">IF(AND($B389=0,X$2&gt;1),W388,X385*$B389/Параметры!X$30)</f>
        <v>0</v>
      </c>
      <c r="Y388" s="319">
        <f ca="1">IF(AND($B389=0,Y$2&gt;1),X388,Y385*$B389/Параметры!Y$30)</f>
        <v>0</v>
      </c>
      <c r="Z388" s="319">
        <f ca="1">IF(AND($B389=0,Z$2&gt;1),Y388,Z385*$B389/Параметры!Z$30)</f>
        <v>0</v>
      </c>
      <c r="AA388" s="319">
        <f ca="1">IF(AND($B389=0,AA$2&gt;1),Z388,AA385*$B389/Параметры!AA$30)</f>
        <v>0</v>
      </c>
      <c r="AB388" s="319">
        <f ca="1">IF(AND($B389=0,AB$2&gt;1),AA388,AB385*$B389/Параметры!AB$30)</f>
        <v>0</v>
      </c>
      <c r="AC388" s="319">
        <f ca="1">IF(AND($B389=0,AC$2&gt;1),AB388,AC385*$B389/Параметры!AC$30)</f>
        <v>0</v>
      </c>
      <c r="AD388" s="319">
        <f ca="1">IF(AND($B389=0,AD$2&gt;1),AC388,AD385*$B389/Параметры!AD$30)</f>
        <v>0</v>
      </c>
      <c r="AE388" s="319">
        <f ca="1">IF(AND($B389=0,AE$2&gt;1),AD388,AE385*$B389/Параметры!AE$30)</f>
        <v>0</v>
      </c>
      <c r="AF388" s="319">
        <f ca="1">IF(AND($B389=0,AF$2&gt;1),AE388,AF385*$B389/Параметры!AF$30)</f>
        <v>0</v>
      </c>
      <c r="AG388" s="319">
        <f ca="1">IF(AND($B389=0,AG$2&gt;1),AF388,AG385*$B389/Параметры!AG$30)</f>
        <v>0</v>
      </c>
      <c r="AH388" s="319">
        <f ca="1">IF(AND($B389=0,AH$2&gt;1),AG388,AH385*$B389/Параметры!AH$30)</f>
        <v>0</v>
      </c>
      <c r="AI388" s="319">
        <f ca="1">IF(AND($B389=0,AI$2&gt;1),AH388,AI385*$B389/Параметры!AI$30)</f>
        <v>0</v>
      </c>
      <c r="AJ388" s="319">
        <f ca="1">IF(AND($B389=0,AJ$2&gt;1),AI388,AJ385*$B389/Параметры!AJ$30)</f>
        <v>0</v>
      </c>
      <c r="AK388" s="319">
        <f ca="1">IF(AND($B389=0,AK$2&gt;1),AJ388,AK385*$B389/Параметры!AK$30)</f>
        <v>0</v>
      </c>
      <c r="AL388" s="319">
        <f ca="1">IF(AND($B389=0,AL$2&gt;1),AK388,AL385*$B389/Параметры!AL$30)</f>
        <v>0</v>
      </c>
      <c r="AM388" s="319">
        <f ca="1">IF(AND($B389=0,AM$2&gt;1),AL388,AM385*$B389/Параметры!AM$30)</f>
        <v>0</v>
      </c>
      <c r="AN388" s="319">
        <f ca="1">IF(AND($B389=0,AN$2&gt;1),AM388,AN385*$B389/Параметры!AN$30)</f>
        <v>0</v>
      </c>
      <c r="AO388" s="319">
        <f ca="1">IF(AND($B389=0,AO$2&gt;1),AN388,AO385*$B389/Параметры!AO$30)</f>
        <v>0</v>
      </c>
      <c r="AP388" s="319">
        <f ca="1">IF(AND($B389=0,AP$2&gt;1),AO388,AP385*$B389/Параметры!AP$30)</f>
        <v>0</v>
      </c>
      <c r="AQ388" s="319">
        <f ca="1">IF(AND($B389=0,AQ$2&gt;1),AP388,AQ385*$B389/Параметры!AQ$30)</f>
        <v>0</v>
      </c>
      <c r="AR388" s="319">
        <f ca="1">IF(AND($B389=0,AR$2&gt;1),AQ388,AR385*$B389/Параметры!AR$30)</f>
        <v>0</v>
      </c>
      <c r="AS388" s="319">
        <f ca="1">IF(AND($B389=0,AS$2&gt;1),AR388,AS385*$B389/Параметры!AS$30)</f>
        <v>0</v>
      </c>
      <c r="AT388" s="319">
        <f ca="1">IF(AND($B389=0,AT$2&gt;1),AS388,AT385*$B389/Параметры!AT$30)</f>
        <v>0</v>
      </c>
      <c r="AU388" s="319">
        <f ca="1">IF(AND($B389=0,AU$2&gt;1),AT388,AU385*$B389/Параметры!AU$30)</f>
        <v>0</v>
      </c>
      <c r="AV388" s="319">
        <f ca="1">IF(AND($B389=0,AV$2&gt;1),AU388,AV385*$B389/Параметры!AV$30)</f>
        <v>0</v>
      </c>
      <c r="AW388" s="180"/>
      <c r="AX388" s="189"/>
    </row>
    <row r="389" spans="1:50" hidden="1" outlineLevel="1" x14ac:dyDescent="0.2">
      <c r="A389" s="181" t="str">
        <f ca="1">Language!A$627</f>
        <v>периодичность отгрузки</v>
      </c>
      <c r="B389" s="320">
        <f>$B$642</f>
        <v>0</v>
      </c>
      <c r="C389" s="152" t="str">
        <f ca="1">Language!$A$1446</f>
        <v>дней</v>
      </c>
      <c r="D389" s="155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71"/>
    </row>
    <row r="390" spans="1:50" hidden="1" outlineLevel="1" x14ac:dyDescent="0.2">
      <c r="A390" s="179" t="str">
        <f ca="1">Language!A$628</f>
        <v>затраты в незавершенном производстве</v>
      </c>
      <c r="B390" s="188"/>
      <c r="C390" s="82" t="str">
        <f t="shared" ref="C390" ca="1" si="2175">CHOOSE(D390,CurName1,CurName2,CurName3)</f>
        <v>тыс. руб.</v>
      </c>
      <c r="D390" s="155">
        <f>D383</f>
        <v>1</v>
      </c>
      <c r="E390" s="57" t="s">
        <v>760</v>
      </c>
      <c r="F390" s="57" t="s">
        <v>754</v>
      </c>
      <c r="G390" s="319">
        <f ca="1">IF(AND($B391=0,G$2&gt;1),F390,G385*$B391/Параметры!G$30)</f>
        <v>0</v>
      </c>
      <c r="H390" s="319">
        <f ca="1">IF(AND($B391=0,H$2&gt;1),G390,H385*$B391/Параметры!H$30)</f>
        <v>0</v>
      </c>
      <c r="I390" s="319">
        <f ca="1">IF(AND($B391=0,I$2&gt;1),H390,I385*$B391/Параметры!I$30)</f>
        <v>0</v>
      </c>
      <c r="J390" s="319">
        <f ca="1">IF(AND($B391=0,J$2&gt;1),I390,J385*$B391/Параметры!J$30)</f>
        <v>0</v>
      </c>
      <c r="K390" s="319">
        <f ca="1">IF(AND($B391=0,K$2&gt;1),J390,K385*$B391/Параметры!K$30)</f>
        <v>0</v>
      </c>
      <c r="L390" s="319">
        <f ca="1">IF(AND($B391=0,L$2&gt;1),K390,L385*$B391/Параметры!L$30)</f>
        <v>0</v>
      </c>
      <c r="M390" s="319">
        <f ca="1">IF(AND($B391=0,M$2&gt;1),L390,M385*$B391/Параметры!M$30)</f>
        <v>0</v>
      </c>
      <c r="N390" s="319">
        <f ca="1">IF(AND($B391=0,N$2&gt;1),M390,N385*$B391/Параметры!N$30)</f>
        <v>0</v>
      </c>
      <c r="O390" s="319">
        <f ca="1">IF(AND($B391=0,O$2&gt;1),N390,O385*$B391/Параметры!O$30)</f>
        <v>0</v>
      </c>
      <c r="P390" s="319">
        <f ca="1">IF(AND($B391=0,P$2&gt;1),O390,P385*$B391/Параметры!P$30)</f>
        <v>0</v>
      </c>
      <c r="Q390" s="319">
        <f ca="1">IF(AND($B391=0,Q$2&gt;1),P390,Q385*$B391/Параметры!Q$30)</f>
        <v>0</v>
      </c>
      <c r="R390" s="319">
        <f ca="1">IF(AND($B391=0,R$2&gt;1),Q390,R385*$B391/Параметры!R$30)</f>
        <v>0</v>
      </c>
      <c r="S390" s="319">
        <f ca="1">IF(AND($B391=0,S$2&gt;1),R390,S385*$B391/Параметры!S$30)</f>
        <v>0</v>
      </c>
      <c r="T390" s="319">
        <f ca="1">IF(AND($B391=0,T$2&gt;1),S390,T385*$B391/Параметры!T$30)</f>
        <v>0</v>
      </c>
      <c r="U390" s="319">
        <f ca="1">IF(AND($B391=0,U$2&gt;1),T390,U385*$B391/Параметры!U$30)</f>
        <v>0</v>
      </c>
      <c r="V390" s="319">
        <f ca="1">IF(AND($B391=0,V$2&gt;1),U390,V385*$B391/Параметры!V$30)</f>
        <v>0</v>
      </c>
      <c r="W390" s="319">
        <f ca="1">IF(AND($B391=0,W$2&gt;1),V390,W385*$B391/Параметры!W$30)</f>
        <v>0</v>
      </c>
      <c r="X390" s="319">
        <f ca="1">IF(AND($B391=0,X$2&gt;1),W390,X385*$B391/Параметры!X$30)</f>
        <v>0</v>
      </c>
      <c r="Y390" s="319">
        <f ca="1">IF(AND($B391=0,Y$2&gt;1),X390,Y385*$B391/Параметры!Y$30)</f>
        <v>0</v>
      </c>
      <c r="Z390" s="319">
        <f ca="1">IF(AND($B391=0,Z$2&gt;1),Y390,Z385*$B391/Параметры!Z$30)</f>
        <v>0</v>
      </c>
      <c r="AA390" s="319">
        <f ca="1">IF(AND($B391=0,AA$2&gt;1),Z390,AA385*$B391/Параметры!AA$30)</f>
        <v>0</v>
      </c>
      <c r="AB390" s="319">
        <f ca="1">IF(AND($B391=0,AB$2&gt;1),AA390,AB385*$B391/Параметры!AB$30)</f>
        <v>0</v>
      </c>
      <c r="AC390" s="319">
        <f ca="1">IF(AND($B391=0,AC$2&gt;1),AB390,AC385*$B391/Параметры!AC$30)</f>
        <v>0</v>
      </c>
      <c r="AD390" s="319">
        <f ca="1">IF(AND($B391=0,AD$2&gt;1),AC390,AD385*$B391/Параметры!AD$30)</f>
        <v>0</v>
      </c>
      <c r="AE390" s="319">
        <f ca="1">IF(AND($B391=0,AE$2&gt;1),AD390,AE385*$B391/Параметры!AE$30)</f>
        <v>0</v>
      </c>
      <c r="AF390" s="319">
        <f ca="1">IF(AND($B391=0,AF$2&gt;1),AE390,AF385*$B391/Параметры!AF$30)</f>
        <v>0</v>
      </c>
      <c r="AG390" s="319">
        <f ca="1">IF(AND($B391=0,AG$2&gt;1),AF390,AG385*$B391/Параметры!AG$30)</f>
        <v>0</v>
      </c>
      <c r="AH390" s="319">
        <f ca="1">IF(AND($B391=0,AH$2&gt;1),AG390,AH385*$B391/Параметры!AH$30)</f>
        <v>0</v>
      </c>
      <c r="AI390" s="319">
        <f ca="1">IF(AND($B391=0,AI$2&gt;1),AH390,AI385*$B391/Параметры!AI$30)</f>
        <v>0</v>
      </c>
      <c r="AJ390" s="319">
        <f ca="1">IF(AND($B391=0,AJ$2&gt;1),AI390,AJ385*$B391/Параметры!AJ$30)</f>
        <v>0</v>
      </c>
      <c r="AK390" s="319">
        <f ca="1">IF(AND($B391=0,AK$2&gt;1),AJ390,AK385*$B391/Параметры!AK$30)</f>
        <v>0</v>
      </c>
      <c r="AL390" s="319">
        <f ca="1">IF(AND($B391=0,AL$2&gt;1),AK390,AL385*$B391/Параметры!AL$30)</f>
        <v>0</v>
      </c>
      <c r="AM390" s="319">
        <f ca="1">IF(AND($B391=0,AM$2&gt;1),AL390,AM385*$B391/Параметры!AM$30)</f>
        <v>0</v>
      </c>
      <c r="AN390" s="319">
        <f ca="1">IF(AND($B391=0,AN$2&gt;1),AM390,AN385*$B391/Параметры!AN$30)</f>
        <v>0</v>
      </c>
      <c r="AO390" s="319">
        <f ca="1">IF(AND($B391=0,AO$2&gt;1),AN390,AO385*$B391/Параметры!AO$30)</f>
        <v>0</v>
      </c>
      <c r="AP390" s="319">
        <f ca="1">IF(AND($B391=0,AP$2&gt;1),AO390,AP385*$B391/Параметры!AP$30)</f>
        <v>0</v>
      </c>
      <c r="AQ390" s="319">
        <f ca="1">IF(AND($B391=0,AQ$2&gt;1),AP390,AQ385*$B391/Параметры!AQ$30)</f>
        <v>0</v>
      </c>
      <c r="AR390" s="319">
        <f ca="1">IF(AND($B391=0,AR$2&gt;1),AQ390,AR385*$B391/Параметры!AR$30)</f>
        <v>0</v>
      </c>
      <c r="AS390" s="319">
        <f ca="1">IF(AND($B391=0,AS$2&gt;1),AR390,AS385*$B391/Параметры!AS$30)</f>
        <v>0</v>
      </c>
      <c r="AT390" s="319">
        <f ca="1">IF(AND($B391=0,AT$2&gt;1),AS390,AT385*$B391/Параметры!AT$30)</f>
        <v>0</v>
      </c>
      <c r="AU390" s="319">
        <f ca="1">IF(AND($B391=0,AU$2&gt;1),AT390,AU385*$B391/Параметры!AU$30)</f>
        <v>0</v>
      </c>
      <c r="AV390" s="319">
        <f ca="1">IF(AND($B391=0,AV$2&gt;1),AU390,AV385*$B391/Параметры!AV$30)</f>
        <v>0</v>
      </c>
      <c r="AW390" s="180"/>
      <c r="AX390" s="189"/>
    </row>
    <row r="391" spans="1:50" hidden="1" outlineLevel="1" x14ac:dyDescent="0.2">
      <c r="A391" s="181" t="str">
        <f ca="1">Language!A$629</f>
        <v>длительность производственного цикла</v>
      </c>
      <c r="B391" s="320">
        <f>$B$636</f>
        <v>0</v>
      </c>
      <c r="C391" s="152" t="str">
        <f ca="1">Language!$A$1446</f>
        <v>дней</v>
      </c>
      <c r="D391" s="155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71"/>
    </row>
    <row r="392" spans="1:50" hidden="1" outlineLevel="1" x14ac:dyDescent="0.2">
      <c r="A392" s="179" t="str">
        <f ca="1">Language!A$630</f>
        <v>общий расход за период, без НДС</v>
      </c>
      <c r="B392" s="188"/>
      <c r="C392" s="82" t="str">
        <f t="shared" ref="C392" ca="1" si="2176">CHOOSE(D392,CurName1,CurName2,CurName3)</f>
        <v>тыс. руб.</v>
      </c>
      <c r="D392" s="155">
        <f>D383</f>
        <v>1</v>
      </c>
      <c r="F392" s="57" t="s">
        <v>753</v>
      </c>
      <c r="G392" s="190">
        <f t="shared" ref="G392" ca="1" si="2177">G385+IF(G$2=1,G386+G388+G390,G386+G388+G390-F386-F388-F390)</f>
        <v>0</v>
      </c>
      <c r="H392" s="190">
        <f t="shared" ref="H392" ca="1" si="2178">H385+IF(H$2=1,H386+H388+H390,H386+H388+H390-G386-G388-G390)</f>
        <v>0</v>
      </c>
      <c r="I392" s="190">
        <f t="shared" ref="I392" ca="1" si="2179">I385+IF(I$2=1,I386+I388+I390,I386+I388+I390-H386-H388-H390)</f>
        <v>25739.075352467498</v>
      </c>
      <c r="J392" s="190">
        <f t="shared" ref="J392" ca="1" si="2180">J385+IF(J$2=1,J386+J388+J390,J386+J388+J390-I386-I388-I390)</f>
        <v>0</v>
      </c>
      <c r="K392" s="190">
        <f t="shared" ref="K392" ca="1" si="2181">K385+IF(K$2=1,K386+K388+K390,K386+K388+K390-J386-J388-J390)</f>
        <v>0</v>
      </c>
      <c r="L392" s="190">
        <f t="shared" ref="L392" ca="1" si="2182">L385+IF(L$2=1,L386+L388+L390,L386+L388+L390-K386-K388-K390)</f>
        <v>0</v>
      </c>
      <c r="M392" s="190">
        <f t="shared" ref="M392" ca="1" si="2183">M385+IF(M$2=1,M386+M388+M390,M386+M388+M390-L386-L388-L390)</f>
        <v>27283.419873615549</v>
      </c>
      <c r="N392" s="190">
        <f t="shared" ref="N392" ca="1" si="2184">N385+IF(N$2=1,N386+N388+N390,N386+N388+N390-M386-M388-M390)</f>
        <v>0</v>
      </c>
      <c r="O392" s="190">
        <f t="shared" ref="O392" ca="1" si="2185">O385+IF(O$2=1,O386+O388+O390,O386+O388+O390-N386-N388-N390)</f>
        <v>0</v>
      </c>
      <c r="P392" s="190">
        <f t="shared" ref="P392" ca="1" si="2186">P385+IF(P$2=1,P386+P388+P390,P386+P388+P390-O386-O388-O390)</f>
        <v>0</v>
      </c>
      <c r="Q392" s="190">
        <f t="shared" ref="Q392" ca="1" si="2187">Q385+IF(Q$2=1,Q386+Q388+Q390,Q386+Q388+Q390-P386-P388-P390)</f>
        <v>28920.425066032491</v>
      </c>
      <c r="R392" s="190">
        <f t="shared" ref="R392" ca="1" si="2188">R385+IF(R$2=1,R386+R388+R390,R386+R388+R390-Q386-Q388-Q390)</f>
        <v>0</v>
      </c>
      <c r="S392" s="190">
        <f t="shared" ref="S392" ca="1" si="2189">S385+IF(S$2=1,S386+S388+S390,S386+S388+S390-R386-R388-R390)</f>
        <v>0</v>
      </c>
      <c r="T392" s="190">
        <f t="shared" ref="T392" ca="1" si="2190">T385+IF(T$2=1,T386+T388+T390,T386+T388+T390-S386-S388-S390)</f>
        <v>0</v>
      </c>
      <c r="U392" s="190">
        <f t="shared" ref="U392" ca="1" si="2191">U385+IF(U$2=1,U386+U388+U390,U386+U388+U390-T386-T388-T390)</f>
        <v>30655.650569994443</v>
      </c>
      <c r="V392" s="190">
        <f t="shared" ref="V392" ca="1" si="2192">V385+IF(V$2=1,V386+V388+V390,V386+V388+V390-U386-U388-U390)</f>
        <v>0</v>
      </c>
      <c r="W392" s="190">
        <f t="shared" ref="W392" ca="1" si="2193">W385+IF(W$2=1,W386+W388+W390,W386+W388+W390-V386-V388-V390)</f>
        <v>0</v>
      </c>
      <c r="X392" s="190">
        <f t="shared" ref="X392" ca="1" si="2194">X385+IF(X$2=1,X386+X388+X390,X386+X388+X390-W386-W388-W390)</f>
        <v>0</v>
      </c>
      <c r="Y392" s="190">
        <f t="shared" ref="Y392" ca="1" si="2195">Y385+IF(Y$2=1,Y386+Y388+Y390,Y386+Y388+Y390-X386-X388-X390)</f>
        <v>32494.989604194107</v>
      </c>
      <c r="Z392" s="190">
        <f t="shared" ref="Z392" ca="1" si="2196">Z385+IF(Z$2=1,Z386+Z388+Z390,Z386+Z388+Z390-Y386-Y388-Y390)</f>
        <v>0</v>
      </c>
      <c r="AA392" s="190">
        <f t="shared" ref="AA392" ca="1" si="2197">AA385+IF(AA$2=1,AA386+AA388+AA390,AA386+AA388+AA390-Z386-Z388-Z390)</f>
        <v>0</v>
      </c>
      <c r="AB392" s="190">
        <f t="shared" ref="AB392" ca="1" si="2198">AB385+IF(AB$2=1,AB386+AB388+AB390,AB386+AB388+AB390-AA386-AA388-AA390)</f>
        <v>0</v>
      </c>
      <c r="AC392" s="190">
        <f t="shared" ref="AC392" ca="1" si="2199">AC385+IF(AC$2=1,AC386+AC388+AC390,AC386+AC388+AC390-AB386-AB388-AB390)</f>
        <v>34444.688980445761</v>
      </c>
      <c r="AD392" s="190">
        <f t="shared" ref="AD392" ca="1" si="2200">AD385+IF(AD$2=1,AD386+AD388+AD390,AD386+AD388+AD390-AC386-AC388-AC390)</f>
        <v>0</v>
      </c>
      <c r="AE392" s="190">
        <f t="shared" ref="AE392" ca="1" si="2201">AE385+IF(AE$2=1,AE386+AE388+AE390,AE386+AE388+AE390-AD386-AD388-AD390)</f>
        <v>0</v>
      </c>
      <c r="AF392" s="190">
        <f t="shared" ref="AF392" ca="1" si="2202">AF385+IF(AF$2=1,AF386+AF388+AF390,AF386+AF388+AF390-AE386-AE388-AE390)</f>
        <v>0</v>
      </c>
      <c r="AG392" s="190">
        <f t="shared" ref="AG392" ca="1" si="2203">AG385+IF(AG$2=1,AG386+AG388+AG390,AG386+AG388+AG390-AF386-AF388-AF390)</f>
        <v>36511.370319272508</v>
      </c>
      <c r="AH392" s="190">
        <f t="shared" ref="AH392" ca="1" si="2204">AH385+IF(AH$2=1,AH386+AH388+AH390,AH386+AH388+AH390-AG386-AG388-AG390)</f>
        <v>0</v>
      </c>
      <c r="AI392" s="190">
        <f t="shared" ref="AI392" ca="1" si="2205">AI385+IF(AI$2=1,AI386+AI388+AI390,AI386+AI388+AI390-AH386-AH388-AH390)</f>
        <v>0</v>
      </c>
      <c r="AJ392" s="190">
        <f t="shared" ref="AJ392" ca="1" si="2206">AJ385+IF(AJ$2=1,AJ386+AJ388+AJ390,AJ386+AJ388+AJ390-AI386-AI388-AI390)</f>
        <v>0</v>
      </c>
      <c r="AK392" s="190">
        <f t="shared" ref="AK392" ca="1" si="2207">AK385+IF(AK$2=1,AK386+AK388+AK390,AK386+AK388+AK390-AJ386-AJ388-AJ390)</f>
        <v>38702.052538428863</v>
      </c>
      <c r="AL392" s="190">
        <f t="shared" ref="AL392" ca="1" si="2208">AL385+IF(AL$2=1,AL386+AL388+AL390,AL386+AL388+AL390-AK386-AK388-AK390)</f>
        <v>0</v>
      </c>
      <c r="AM392" s="190">
        <f t="shared" ref="AM392" ca="1" si="2209">AM385+IF(AM$2=1,AM386+AM388+AM390,AM386+AM388+AM390-AL386-AL388-AL390)</f>
        <v>0</v>
      </c>
      <c r="AN392" s="190">
        <f t="shared" ref="AN392" ca="1" si="2210">AN385+IF(AN$2=1,AN386+AN388+AN390,AN386+AN388+AN390-AM386-AM388-AM390)</f>
        <v>0</v>
      </c>
      <c r="AO392" s="190">
        <f t="shared" ref="AO392" ca="1" si="2211">AO385+IF(AO$2=1,AO386+AO388+AO390,AO386+AO388+AO390-AN386-AN388-AN390)</f>
        <v>41024.175690734599</v>
      </c>
      <c r="AP392" s="190">
        <f t="shared" ref="AP392" ca="1" si="2212">AP385+IF(AP$2=1,AP386+AP388+AP390,AP386+AP388+AP390-AO386-AO388-AO390)</f>
        <v>0</v>
      </c>
      <c r="AQ392" s="190">
        <f t="shared" ref="AQ392" ca="1" si="2213">AQ385+IF(AQ$2=1,AQ386+AQ388+AQ390,AQ386+AQ388+AQ390-AP386-AP388-AP390)</f>
        <v>0</v>
      </c>
      <c r="AR392" s="190">
        <f t="shared" ref="AR392" ca="1" si="2214">AR385+IF(AR$2=1,AR386+AR388+AR390,AR386+AR388+AR390-AQ386-AQ388-AQ390)</f>
        <v>0</v>
      </c>
      <c r="AS392" s="190">
        <f t="shared" ref="AS392" ca="1" si="2215">AS385+IF(AS$2=1,AS386+AS388+AS390,AS386+AS388+AS390-AR386-AR388-AR390)</f>
        <v>43485.626232178678</v>
      </c>
      <c r="AT392" s="190">
        <f t="shared" ref="AT392" ca="1" si="2216">AT385+IF(AT$2=1,AT386+AT388+AT390,AT386+AT388+AT390-AS386-AS388-AS390)</f>
        <v>0</v>
      </c>
      <c r="AU392" s="190">
        <f t="shared" ref="AU392" ca="1" si="2217">AU385+IF(AU$2=1,AU386+AU388+AU390,AU386+AU388+AU390-AT386-AT388-AT390)</f>
        <v>0</v>
      </c>
      <c r="AV392" s="190">
        <f t="shared" ref="AV392" ca="1" si="2218">AV385+IF(AV$2=1,AV386+AV388+AV390,AV386+AV388+AV390-AU386-AU388-AU390)</f>
        <v>0</v>
      </c>
      <c r="AW392" s="190"/>
      <c r="AX392" s="189">
        <f ca="1">SUM(G392:AW392)</f>
        <v>339261.47422736452</v>
      </c>
    </row>
    <row r="393" spans="1:50" hidden="1" outlineLevel="1" x14ac:dyDescent="0.2">
      <c r="A393" s="179" t="str">
        <f ca="1">Language!A$631</f>
        <v>кредиторская задолженность</v>
      </c>
      <c r="B393" s="188"/>
      <c r="C393" s="82" t="str">
        <f ca="1">CHOOSE(D393,CurName1,CurName2,CurName3)</f>
        <v>тыс. руб.</v>
      </c>
      <c r="D393" s="155">
        <f>D383</f>
        <v>1</v>
      </c>
      <c r="E393" s="57" t="s">
        <v>1014</v>
      </c>
      <c r="F393" s="57" t="s">
        <v>754</v>
      </c>
      <c r="G393" s="316">
        <f ca="1">IF(AND($B394=0,G$2&gt;1),F393,(G392+G403)*$B394/Параметры!G$30)</f>
        <v>0</v>
      </c>
      <c r="H393" s="316">
        <f ca="1">IF(AND($B394=0,H$2&gt;1),G393,(H392+H403)*$B394/Параметры!H$30)</f>
        <v>0</v>
      </c>
      <c r="I393" s="316">
        <f ca="1">IF(AND($B394=0,I$2&gt;1),H393,(I392+I403)*$B394/Параметры!I$30)</f>
        <v>0</v>
      </c>
      <c r="J393" s="316">
        <f ca="1">IF(AND($B394=0,J$2&gt;1),I393,(J392+J403)*$B394/Параметры!J$30)</f>
        <v>0</v>
      </c>
      <c r="K393" s="316">
        <f ca="1">IF(AND($B394=0,K$2&gt;1),J393,(K392+K403)*$B394/Параметры!K$30)</f>
        <v>0</v>
      </c>
      <c r="L393" s="316">
        <f ca="1">IF(AND($B394=0,L$2&gt;1),K393,(L392+L403)*$B394/Параметры!L$30)</f>
        <v>0</v>
      </c>
      <c r="M393" s="316">
        <f ca="1">IF(AND($B394=0,M$2&gt;1),L393,(M392+M403)*$B394/Параметры!M$30)</f>
        <v>0</v>
      </c>
      <c r="N393" s="316">
        <f ca="1">IF(AND($B394=0,N$2&gt;1),M393,(N392+N403)*$B394/Параметры!N$30)</f>
        <v>0</v>
      </c>
      <c r="O393" s="316">
        <f ca="1">IF(AND($B394=0,O$2&gt;1),N393,(O392+O403)*$B394/Параметры!O$30)</f>
        <v>0</v>
      </c>
      <c r="P393" s="316">
        <f ca="1">IF(AND($B394=0,P$2&gt;1),O393,(P392+P403)*$B394/Параметры!P$30)</f>
        <v>0</v>
      </c>
      <c r="Q393" s="316">
        <f ca="1">IF(AND($B394=0,Q$2&gt;1),P393,(Q392+Q403)*$B394/Параметры!Q$30)</f>
        <v>0</v>
      </c>
      <c r="R393" s="316">
        <f ca="1">IF(AND($B394=0,R$2&gt;1),Q393,(R392+R403)*$B394/Параметры!R$30)</f>
        <v>0</v>
      </c>
      <c r="S393" s="316">
        <f ca="1">IF(AND($B394=0,S$2&gt;1),R393,(S392+S403)*$B394/Параметры!S$30)</f>
        <v>0</v>
      </c>
      <c r="T393" s="316">
        <f ca="1">IF(AND($B394=0,T$2&gt;1),S393,(T392+T403)*$B394/Параметры!T$30)</f>
        <v>0</v>
      </c>
      <c r="U393" s="316">
        <f ca="1">IF(AND($B394=0,U$2&gt;1),T393,(U392+U403)*$B394/Параметры!U$30)</f>
        <v>0</v>
      </c>
      <c r="V393" s="316">
        <f ca="1">IF(AND($B394=0,V$2&gt;1),U393,(V392+V403)*$B394/Параметры!V$30)</f>
        <v>0</v>
      </c>
      <c r="W393" s="316">
        <f ca="1">IF(AND($B394=0,W$2&gt;1),V393,(W392+W403)*$B394/Параметры!W$30)</f>
        <v>0</v>
      </c>
      <c r="X393" s="316">
        <f ca="1">IF(AND($B394=0,X$2&gt;1),W393,(X392+X403)*$B394/Параметры!X$30)</f>
        <v>0</v>
      </c>
      <c r="Y393" s="316">
        <f ca="1">IF(AND($B394=0,Y$2&gt;1),X393,(Y392+Y403)*$B394/Параметры!Y$30)</f>
        <v>0</v>
      </c>
      <c r="Z393" s="316">
        <f ca="1">IF(AND($B394=0,Z$2&gt;1),Y393,(Z392+Z403)*$B394/Параметры!Z$30)</f>
        <v>0</v>
      </c>
      <c r="AA393" s="316">
        <f ca="1">IF(AND($B394=0,AA$2&gt;1),Z393,(AA392+AA403)*$B394/Параметры!AA$30)</f>
        <v>0</v>
      </c>
      <c r="AB393" s="316">
        <f ca="1">IF(AND($B394=0,AB$2&gt;1),AA393,(AB392+AB403)*$B394/Параметры!AB$30)</f>
        <v>0</v>
      </c>
      <c r="AC393" s="316">
        <f ca="1">IF(AND($B394=0,AC$2&gt;1),AB393,(AC392+AC403)*$B394/Параметры!AC$30)</f>
        <v>0</v>
      </c>
      <c r="AD393" s="316">
        <f ca="1">IF(AND($B394=0,AD$2&gt;1),AC393,(AD392+AD403)*$B394/Параметры!AD$30)</f>
        <v>0</v>
      </c>
      <c r="AE393" s="316">
        <f ca="1">IF(AND($B394=0,AE$2&gt;1),AD393,(AE392+AE403)*$B394/Параметры!AE$30)</f>
        <v>0</v>
      </c>
      <c r="AF393" s="316">
        <f ca="1">IF(AND($B394=0,AF$2&gt;1),AE393,(AF392+AF403)*$B394/Параметры!AF$30)</f>
        <v>0</v>
      </c>
      <c r="AG393" s="316">
        <f ca="1">IF(AND($B394=0,AG$2&gt;1),AF393,(AG392+AG403)*$B394/Параметры!AG$30)</f>
        <v>0</v>
      </c>
      <c r="AH393" s="316">
        <f ca="1">IF(AND($B394=0,AH$2&gt;1),AG393,(AH392+AH403)*$B394/Параметры!AH$30)</f>
        <v>0</v>
      </c>
      <c r="AI393" s="316">
        <f ca="1">IF(AND($B394=0,AI$2&gt;1),AH393,(AI392+AI403)*$B394/Параметры!AI$30)</f>
        <v>0</v>
      </c>
      <c r="AJ393" s="316">
        <f ca="1">IF(AND($B394=0,AJ$2&gt;1),AI393,(AJ392+AJ403)*$B394/Параметры!AJ$30)</f>
        <v>0</v>
      </c>
      <c r="AK393" s="316">
        <f ca="1">IF(AND($B394=0,AK$2&gt;1),AJ393,(AK392+AK403)*$B394/Параметры!AK$30)</f>
        <v>0</v>
      </c>
      <c r="AL393" s="316">
        <f ca="1">IF(AND($B394=0,AL$2&gt;1),AK393,(AL392+AL403)*$B394/Параметры!AL$30)</f>
        <v>0</v>
      </c>
      <c r="AM393" s="316">
        <f ca="1">IF(AND($B394=0,AM$2&gt;1),AL393,(AM392+AM403)*$B394/Параметры!AM$30)</f>
        <v>0</v>
      </c>
      <c r="AN393" s="316">
        <f ca="1">IF(AND($B394=0,AN$2&gt;1),AM393,(AN392+AN403)*$B394/Параметры!AN$30)</f>
        <v>0</v>
      </c>
      <c r="AO393" s="316">
        <f ca="1">IF(AND($B394=0,AO$2&gt;1),AN393,(AO392+AO403)*$B394/Параметры!AO$30)</f>
        <v>0</v>
      </c>
      <c r="AP393" s="316">
        <f ca="1">IF(AND($B394=0,AP$2&gt;1),AO393,(AP392+AP403)*$B394/Параметры!AP$30)</f>
        <v>0</v>
      </c>
      <c r="AQ393" s="316">
        <f ca="1">IF(AND($B394=0,AQ$2&gt;1),AP393,(AQ392+AQ403)*$B394/Параметры!AQ$30)</f>
        <v>0</v>
      </c>
      <c r="AR393" s="316">
        <f ca="1">IF(AND($B394=0,AR$2&gt;1),AQ393,(AR392+AR403)*$B394/Параметры!AR$30)</f>
        <v>0</v>
      </c>
      <c r="AS393" s="316">
        <f ca="1">IF(AND($B394=0,AS$2&gt;1),AR393,(AS392+AS403)*$B394/Параметры!AS$30)</f>
        <v>0</v>
      </c>
      <c r="AT393" s="316">
        <f ca="1">IF(AND($B394=0,AT$2&gt;1),AS393,(AT392+AT403)*$B394/Параметры!AT$30)</f>
        <v>0</v>
      </c>
      <c r="AU393" s="316">
        <f ca="1">IF(AND($B394=0,AU$2&gt;1),AT393,(AU392+AU403)*$B394/Параметры!AU$30)</f>
        <v>0</v>
      </c>
      <c r="AV393" s="316">
        <f ca="1">IF(AND($B394=0,AV$2&gt;1),AU393,(AV392+AV403)*$B394/Параметры!AV$30)</f>
        <v>0</v>
      </c>
      <c r="AW393" s="168"/>
      <c r="AX393" s="87"/>
    </row>
    <row r="394" spans="1:50" hidden="1" outlineLevel="1" x14ac:dyDescent="0.2">
      <c r="A394" s="181" t="str">
        <f ca="1">Language!A$632</f>
        <v>период отсрочки платежа</v>
      </c>
      <c r="B394" s="320">
        <f>$B$648</f>
        <v>0</v>
      </c>
      <c r="C394" s="152" t="str">
        <f ca="1">Language!$A$1446</f>
        <v>дней</v>
      </c>
      <c r="D394" s="100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48"/>
      <c r="AX394" s="150"/>
    </row>
    <row r="395" spans="1:50" hidden="1" outlineLevel="1" x14ac:dyDescent="0.2">
      <c r="A395" s="179" t="str">
        <f ca="1">Language!A$633</f>
        <v>авансы уплаченные</v>
      </c>
      <c r="B395" s="188"/>
      <c r="C395" s="103" t="str">
        <f ca="1">CHOOSE(D395,CurName1,CurName2,CurName3)</f>
        <v>тыс. руб.</v>
      </c>
      <c r="D395" s="155">
        <f>D383</f>
        <v>1</v>
      </c>
      <c r="E395" s="57" t="s">
        <v>995</v>
      </c>
      <c r="F395" s="57" t="s">
        <v>754</v>
      </c>
      <c r="G395" s="316">
        <f ca="1">IF(AND($B396=0,G$2&gt;1),F395,(OFFSET(G392,0,1)+OFFSET(G403,0,1))*$B396/Параметры!G$30)</f>
        <v>0</v>
      </c>
      <c r="H395" s="316">
        <f ca="1">IF(AND($B396=0,H$2&gt;1),G395,(OFFSET(H392,0,1)+OFFSET(H403,0,1))*$B396/Параметры!H$30)</f>
        <v>0</v>
      </c>
      <c r="I395" s="316">
        <f ca="1">IF(AND($B396=0,I$2&gt;1),H395,(OFFSET(I392,0,1)+OFFSET(I403,0,1))*$B396/Параметры!I$30)</f>
        <v>0</v>
      </c>
      <c r="J395" s="316">
        <f ca="1">IF(AND($B396=0,J$2&gt;1),I395,(OFFSET(J392,0,1)+OFFSET(J403,0,1))*$B396/Параметры!J$30)</f>
        <v>0</v>
      </c>
      <c r="K395" s="316">
        <f ca="1">IF(AND($B396=0,K$2&gt;1),J395,(OFFSET(K392,0,1)+OFFSET(K403,0,1))*$B396/Параметры!K$30)</f>
        <v>0</v>
      </c>
      <c r="L395" s="316">
        <f ca="1">IF(AND($B396=0,L$2&gt;1),K395,(OFFSET(L392,0,1)+OFFSET(L403,0,1))*$B396/Параметры!L$30)</f>
        <v>0</v>
      </c>
      <c r="M395" s="316">
        <f ca="1">IF(AND($B396=0,M$2&gt;1),L395,(OFFSET(M392,0,1)+OFFSET(M403,0,1))*$B396/Параметры!M$30)</f>
        <v>0</v>
      </c>
      <c r="N395" s="316">
        <f ca="1">IF(AND($B396=0,N$2&gt;1),M395,(OFFSET(N392,0,1)+OFFSET(N403,0,1))*$B396/Параметры!N$30)</f>
        <v>0</v>
      </c>
      <c r="O395" s="316">
        <f ca="1">IF(AND($B396=0,O$2&gt;1),N395,(OFFSET(O392,0,1)+OFFSET(O403,0,1))*$B396/Параметры!O$30)</f>
        <v>0</v>
      </c>
      <c r="P395" s="316">
        <f ca="1">IF(AND($B396=0,P$2&gt;1),O395,(OFFSET(P392,0,1)+OFFSET(P403,0,1))*$B396/Параметры!P$30)</f>
        <v>0</v>
      </c>
      <c r="Q395" s="316">
        <f ca="1">IF(AND($B396=0,Q$2&gt;1),P395,(OFFSET(Q392,0,1)+OFFSET(Q403,0,1))*$B396/Параметры!Q$30)</f>
        <v>0</v>
      </c>
      <c r="R395" s="316">
        <f ca="1">IF(AND($B396=0,R$2&gt;1),Q395,(OFFSET(R392,0,1)+OFFSET(R403,0,1))*$B396/Параметры!R$30)</f>
        <v>0</v>
      </c>
      <c r="S395" s="316">
        <f ca="1">IF(AND($B396=0,S$2&gt;1),R395,(OFFSET(S392,0,1)+OFFSET(S403,0,1))*$B396/Параметры!S$30)</f>
        <v>0</v>
      </c>
      <c r="T395" s="316">
        <f ca="1">IF(AND($B396=0,T$2&gt;1),S395,(OFFSET(T392,0,1)+OFFSET(T403,0,1))*$B396/Параметры!T$30)</f>
        <v>0</v>
      </c>
      <c r="U395" s="316">
        <f ca="1">IF(AND($B396=0,U$2&gt;1),T395,(OFFSET(U392,0,1)+OFFSET(U403,0,1))*$B396/Параметры!U$30)</f>
        <v>0</v>
      </c>
      <c r="V395" s="316">
        <f ca="1">IF(AND($B396=0,V$2&gt;1),U395,(OFFSET(V392,0,1)+OFFSET(V403,0,1))*$B396/Параметры!V$30)</f>
        <v>0</v>
      </c>
      <c r="W395" s="316">
        <f ca="1">IF(AND($B396=0,W$2&gt;1),V395,(OFFSET(W392,0,1)+OFFSET(W403,0,1))*$B396/Параметры!W$30)</f>
        <v>0</v>
      </c>
      <c r="X395" s="316">
        <f ca="1">IF(AND($B396=0,X$2&gt;1),W395,(OFFSET(X392,0,1)+OFFSET(X403,0,1))*$B396/Параметры!X$30)</f>
        <v>0</v>
      </c>
      <c r="Y395" s="316">
        <f ca="1">IF(AND($B396=0,Y$2&gt;1),X395,(OFFSET(Y392,0,1)+OFFSET(Y403,0,1))*$B396/Параметры!Y$30)</f>
        <v>0</v>
      </c>
      <c r="Z395" s="316">
        <f ca="1">IF(AND($B396=0,Z$2&gt;1),Y395,(OFFSET(Z392,0,1)+OFFSET(Z403,0,1))*$B396/Параметры!Z$30)</f>
        <v>0</v>
      </c>
      <c r="AA395" s="316">
        <f ca="1">IF(AND($B396=0,AA$2&gt;1),Z395,(OFFSET(AA392,0,1)+OFFSET(AA403,0,1))*$B396/Параметры!AA$30)</f>
        <v>0</v>
      </c>
      <c r="AB395" s="316">
        <f ca="1">IF(AND($B396=0,AB$2&gt;1),AA395,(OFFSET(AB392,0,1)+OFFSET(AB403,0,1))*$B396/Параметры!AB$30)</f>
        <v>0</v>
      </c>
      <c r="AC395" s="316">
        <f ca="1">IF(AND($B396=0,AC$2&gt;1),AB395,(OFFSET(AC392,0,1)+OFFSET(AC403,0,1))*$B396/Параметры!AC$30)</f>
        <v>0</v>
      </c>
      <c r="AD395" s="316">
        <f ca="1">IF(AND($B396=0,AD$2&gt;1),AC395,(OFFSET(AD392,0,1)+OFFSET(AD403,0,1))*$B396/Параметры!AD$30)</f>
        <v>0</v>
      </c>
      <c r="AE395" s="316">
        <f ca="1">IF(AND($B396=0,AE$2&gt;1),AD395,(OFFSET(AE392,0,1)+OFFSET(AE403,0,1))*$B396/Параметры!AE$30)</f>
        <v>0</v>
      </c>
      <c r="AF395" s="316">
        <f ca="1">IF(AND($B396=0,AF$2&gt;1),AE395,(OFFSET(AF392,0,1)+OFFSET(AF403,0,1))*$B396/Параметры!AF$30)</f>
        <v>0</v>
      </c>
      <c r="AG395" s="316">
        <f ca="1">IF(AND($B396=0,AG$2&gt;1),AF395,(OFFSET(AG392,0,1)+OFFSET(AG403,0,1))*$B396/Параметры!AG$30)</f>
        <v>0</v>
      </c>
      <c r="AH395" s="316">
        <f ca="1">IF(AND($B396=0,AH$2&gt;1),AG395,(OFFSET(AH392,0,1)+OFFSET(AH403,0,1))*$B396/Параметры!AH$30)</f>
        <v>0</v>
      </c>
      <c r="AI395" s="316">
        <f ca="1">IF(AND($B396=0,AI$2&gt;1),AH395,(OFFSET(AI392,0,1)+OFFSET(AI403,0,1))*$B396/Параметры!AI$30)</f>
        <v>0</v>
      </c>
      <c r="AJ395" s="316">
        <f ca="1">IF(AND($B396=0,AJ$2&gt;1),AI395,(OFFSET(AJ392,0,1)+OFFSET(AJ403,0,1))*$B396/Параметры!AJ$30)</f>
        <v>0</v>
      </c>
      <c r="AK395" s="316">
        <f ca="1">IF(AND($B396=0,AK$2&gt;1),AJ395,(OFFSET(AK392,0,1)+OFFSET(AK403,0,1))*$B396/Параметры!AK$30)</f>
        <v>0</v>
      </c>
      <c r="AL395" s="316">
        <f ca="1">IF(AND($B396=0,AL$2&gt;1),AK395,(OFFSET(AL392,0,1)+OFFSET(AL403,0,1))*$B396/Параметры!AL$30)</f>
        <v>0</v>
      </c>
      <c r="AM395" s="316">
        <f ca="1">IF(AND($B396=0,AM$2&gt;1),AL395,(OFFSET(AM392,0,1)+OFFSET(AM403,0,1))*$B396/Параметры!AM$30)</f>
        <v>0</v>
      </c>
      <c r="AN395" s="316">
        <f ca="1">IF(AND($B396=0,AN$2&gt;1),AM395,(OFFSET(AN392,0,1)+OFFSET(AN403,0,1))*$B396/Параметры!AN$30)</f>
        <v>0</v>
      </c>
      <c r="AO395" s="316">
        <f ca="1">IF(AND($B396=0,AO$2&gt;1),AN395,(OFFSET(AO392,0,1)+OFFSET(AO403,0,1))*$B396/Параметры!AO$30)</f>
        <v>0</v>
      </c>
      <c r="AP395" s="316">
        <f ca="1">IF(AND($B396=0,AP$2&gt;1),AO395,(OFFSET(AP392,0,1)+OFFSET(AP403,0,1))*$B396/Параметры!AP$30)</f>
        <v>0</v>
      </c>
      <c r="AQ395" s="316">
        <f ca="1">IF(AND($B396=0,AQ$2&gt;1),AP395,(OFFSET(AQ392,0,1)+OFFSET(AQ403,0,1))*$B396/Параметры!AQ$30)</f>
        <v>0</v>
      </c>
      <c r="AR395" s="316">
        <f ca="1">IF(AND($B396=0,AR$2&gt;1),AQ395,(OFFSET(AR392,0,1)+OFFSET(AR403,0,1))*$B396/Параметры!AR$30)</f>
        <v>0</v>
      </c>
      <c r="AS395" s="316">
        <f ca="1">IF(AND($B396=0,AS$2&gt;1),AR395,(OFFSET(AS392,0,1)+OFFSET(AS403,0,1))*$B396/Параметры!AS$30)</f>
        <v>0</v>
      </c>
      <c r="AT395" s="316">
        <f ca="1">IF(AND($B396=0,AT$2&gt;1),AS395,(OFFSET(AT392,0,1)+OFFSET(AT403,0,1))*$B396/Параметры!AT$30)</f>
        <v>0</v>
      </c>
      <c r="AU395" s="316">
        <f ca="1">IF(AND($B396=0,AU$2&gt;1),AT395,(OFFSET(AU392,0,1)+OFFSET(AU403,0,1))*$B396/Параметры!AU$30)</f>
        <v>0</v>
      </c>
      <c r="AV395" s="316">
        <f ca="1">IF(AND($B396=0,AV$2&gt;1),AU395,(OFFSET(AV392,0,1)+OFFSET(AV403,0,1))*$B396/Параметры!AV$30)</f>
        <v>0</v>
      </c>
      <c r="AW395" s="168"/>
      <c r="AX395" s="182"/>
    </row>
    <row r="396" spans="1:50" hidden="1" outlineLevel="1" x14ac:dyDescent="0.2">
      <c r="A396" s="181" t="str">
        <f ca="1">Language!A$634</f>
        <v>период предоплаты</v>
      </c>
      <c r="B396" s="320">
        <f>$B$654</f>
        <v>0</v>
      </c>
      <c r="C396" s="152" t="str">
        <f ca="1">Language!$A$1446</f>
        <v>дней</v>
      </c>
      <c r="D396" s="100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48"/>
      <c r="AX396" s="150"/>
    </row>
    <row r="397" spans="1:50" hidden="1" outlineLevel="1" x14ac:dyDescent="0.2">
      <c r="A397" s="179" t="str">
        <f ca="1">Language!A$635</f>
        <v>оплата расходов, c НДС</v>
      </c>
      <c r="B397" s="57"/>
      <c r="C397" s="82" t="str">
        <f t="shared" ref="C397" ca="1" si="2219">CHOOSE(D397,CurName1,CurName2,CurName3)</f>
        <v>тыс. руб.</v>
      </c>
      <c r="D397" s="155">
        <f>D383</f>
        <v>1</v>
      </c>
      <c r="E397" s="57" t="s">
        <v>993</v>
      </c>
      <c r="F397" s="57" t="s">
        <v>753</v>
      </c>
      <c r="G397" s="180">
        <f ca="1">G392+G403-IF(G$2=1,G393,G393-F393)+IF(G$2=1,G395,G395-F395)</f>
        <v>0</v>
      </c>
      <c r="H397" s="180">
        <f t="shared" ref="H397" ca="1" si="2220">H392+H403-IF(H$2=1,H393,H393-G393)+IF(H$2=1,H395,H395-G395)</f>
        <v>0</v>
      </c>
      <c r="I397" s="180">
        <f t="shared" ref="I397" ca="1" si="2221">I392+I403-IF(I$2=1,I393,I393-H393)+IF(I$2=1,I395,I395-H395)</f>
        <v>30372.108915911649</v>
      </c>
      <c r="J397" s="180">
        <f t="shared" ref="J397" ca="1" si="2222">J392+J403-IF(J$2=1,J393,J393-I393)+IF(J$2=1,J395,J395-I395)</f>
        <v>0</v>
      </c>
      <c r="K397" s="180">
        <f t="shared" ref="K397" ca="1" si="2223">K392+K403-IF(K$2=1,K393,K393-J393)+IF(K$2=1,K395,K395-J395)</f>
        <v>0</v>
      </c>
      <c r="L397" s="180">
        <f t="shared" ref="L397" ca="1" si="2224">L392+L403-IF(L$2=1,L393,L393-K393)+IF(L$2=1,L395,L395-K395)</f>
        <v>0</v>
      </c>
      <c r="M397" s="180">
        <f t="shared" ref="M397" ca="1" si="2225">M392+M403-IF(M$2=1,M393,M393-L393)+IF(M$2=1,M395,M395-L395)</f>
        <v>32194.435450866345</v>
      </c>
      <c r="N397" s="180">
        <f t="shared" ref="N397" ca="1" si="2226">N392+N403-IF(N$2=1,N393,N393-M393)+IF(N$2=1,N395,N395-M395)</f>
        <v>0</v>
      </c>
      <c r="O397" s="180">
        <f t="shared" ref="O397" ca="1" si="2227">O392+O403-IF(O$2=1,O393,O393-N393)+IF(O$2=1,O395,O395-N395)</f>
        <v>0</v>
      </c>
      <c r="P397" s="180">
        <f t="shared" ref="P397" ca="1" si="2228">P392+P403-IF(P$2=1,P393,P393-O393)+IF(P$2=1,P395,P395-O395)</f>
        <v>0</v>
      </c>
      <c r="Q397" s="180">
        <f t="shared" ref="Q397" ca="1" si="2229">Q392+Q403-IF(Q$2=1,Q393,Q393-P393)+IF(Q$2=1,Q395,Q395-P395)</f>
        <v>34126.101577918336</v>
      </c>
      <c r="R397" s="180">
        <f t="shared" ref="R397" ca="1" si="2230">R392+R403-IF(R$2=1,R393,R393-Q393)+IF(R$2=1,R395,R395-Q395)</f>
        <v>0</v>
      </c>
      <c r="S397" s="180">
        <f t="shared" ref="S397" ca="1" si="2231">S392+S403-IF(S$2=1,S393,S393-R393)+IF(S$2=1,S395,S395-R395)</f>
        <v>0</v>
      </c>
      <c r="T397" s="180">
        <f t="shared" ref="T397" ca="1" si="2232">T392+T403-IF(T$2=1,T393,T393-S393)+IF(T$2=1,T395,T395-S395)</f>
        <v>0</v>
      </c>
      <c r="U397" s="180">
        <f t="shared" ref="U397" ca="1" si="2233">U392+U403-IF(U$2=1,U393,U393-T393)+IF(U$2=1,U395,U395-T395)</f>
        <v>36173.667672593445</v>
      </c>
      <c r="V397" s="180">
        <f t="shared" ref="V397" ca="1" si="2234">V392+V403-IF(V$2=1,V393,V393-U393)+IF(V$2=1,V395,V395-U395)</f>
        <v>0</v>
      </c>
      <c r="W397" s="180">
        <f t="shared" ref="W397" ca="1" si="2235">W392+W403-IF(W$2=1,W393,W393-V393)+IF(W$2=1,W395,W395-V395)</f>
        <v>0</v>
      </c>
      <c r="X397" s="180">
        <f t="shared" ref="X397" ca="1" si="2236">X392+X403-IF(X$2=1,X393,X393-W393)+IF(X$2=1,X395,X395-W395)</f>
        <v>0</v>
      </c>
      <c r="Y397" s="180">
        <f t="shared" ref="Y397" ca="1" si="2237">Y392+Y403-IF(Y$2=1,Y393,Y393-X393)+IF(Y$2=1,Y395,Y395-X395)</f>
        <v>38344.087732949047</v>
      </c>
      <c r="Z397" s="180">
        <f t="shared" ref="Z397" ca="1" si="2238">Z392+Z403-IF(Z$2=1,Z393,Z393-Y393)+IF(Z$2=1,Z395,Z395-Y395)</f>
        <v>0</v>
      </c>
      <c r="AA397" s="180">
        <f t="shared" ref="AA397" ca="1" si="2239">AA392+AA403-IF(AA$2=1,AA393,AA393-Z393)+IF(AA$2=1,AA395,AA395-Z395)</f>
        <v>0</v>
      </c>
      <c r="AB397" s="180">
        <f t="shared" ref="AB397" ca="1" si="2240">AB392+AB403-IF(AB$2=1,AB393,AB393-AA393)+IF(AB$2=1,AB395,AB395-AA395)</f>
        <v>0</v>
      </c>
      <c r="AC397" s="180">
        <f t="shared" ref="AC397" ca="1" si="2241">AC392+AC403-IF(AC$2=1,AC393,AC393-AB393)+IF(AC$2=1,AC395,AC395-AB395)</f>
        <v>40644.732996925995</v>
      </c>
      <c r="AD397" s="180">
        <f t="shared" ref="AD397" ca="1" si="2242">AD392+AD403-IF(AD$2=1,AD393,AD393-AC393)+IF(AD$2=1,AD395,AD395-AC395)</f>
        <v>0</v>
      </c>
      <c r="AE397" s="180">
        <f t="shared" ref="AE397" ca="1" si="2243">AE392+AE403-IF(AE$2=1,AE393,AE393-AD393)+IF(AE$2=1,AE395,AE395-AD395)</f>
        <v>0</v>
      </c>
      <c r="AF397" s="180">
        <f t="shared" ref="AF397" ca="1" si="2244">AF392+AF403-IF(AF$2=1,AF393,AF393-AE393)+IF(AF$2=1,AF395,AF395-AE395)</f>
        <v>0</v>
      </c>
      <c r="AG397" s="180">
        <f t="shared" ref="AG397" ca="1" si="2245">AG392+AG403-IF(AG$2=1,AG393,AG393-AF393)+IF(AG$2=1,AG395,AG395-AF395)</f>
        <v>43083.416976741559</v>
      </c>
      <c r="AH397" s="180">
        <f t="shared" ref="AH397" ca="1" si="2246">AH392+AH403-IF(AH$2=1,AH393,AH393-AG393)+IF(AH$2=1,AH395,AH395-AG395)</f>
        <v>0</v>
      </c>
      <c r="AI397" s="180">
        <f t="shared" ref="AI397" ca="1" si="2247">AI392+AI403-IF(AI$2=1,AI393,AI393-AH393)+IF(AI$2=1,AI395,AI395-AH395)</f>
        <v>0</v>
      </c>
      <c r="AJ397" s="180">
        <f t="shared" ref="AJ397" ca="1" si="2248">AJ392+AJ403-IF(AJ$2=1,AJ393,AJ393-AI393)+IF(AJ$2=1,AJ395,AJ395-AI395)</f>
        <v>0</v>
      </c>
      <c r="AK397" s="180">
        <f t="shared" ref="AK397" ca="1" si="2249">AK392+AK403-IF(AK$2=1,AK393,AK393-AJ393)+IF(AK$2=1,AK395,AK395-AJ395)</f>
        <v>45668.421995346056</v>
      </c>
      <c r="AL397" s="180">
        <f t="shared" ref="AL397" ca="1" si="2250">AL392+AL403-IF(AL$2=1,AL393,AL393-AK393)+IF(AL$2=1,AL395,AL395-AK395)</f>
        <v>0</v>
      </c>
      <c r="AM397" s="180">
        <f t="shared" ref="AM397" ca="1" si="2251">AM392+AM403-IF(AM$2=1,AM393,AM393-AL393)+IF(AM$2=1,AM395,AM395-AL395)</f>
        <v>0</v>
      </c>
      <c r="AN397" s="180">
        <f t="shared" ref="AN397" ca="1" si="2252">AN392+AN403-IF(AN$2=1,AN393,AN393-AM393)+IF(AN$2=1,AN395,AN395-AM395)</f>
        <v>0</v>
      </c>
      <c r="AO397" s="180">
        <f t="shared" ref="AO397" ca="1" si="2253">AO392+AO403-IF(AO$2=1,AO393,AO393-AN393)+IF(AO$2=1,AO395,AO395-AN395)</f>
        <v>48408.527315066829</v>
      </c>
      <c r="AP397" s="180">
        <f t="shared" ref="AP397" ca="1" si="2254">AP392+AP403-IF(AP$2=1,AP393,AP393-AO393)+IF(AP$2=1,AP395,AP395-AO395)</f>
        <v>0</v>
      </c>
      <c r="AQ397" s="180">
        <f t="shared" ref="AQ397" ca="1" si="2255">AQ392+AQ403-IF(AQ$2=1,AQ393,AQ393-AP393)+IF(AQ$2=1,AQ395,AQ395-AP395)</f>
        <v>0</v>
      </c>
      <c r="AR397" s="180">
        <f t="shared" ref="AR397" ca="1" si="2256">AR392+AR403-IF(AR$2=1,AR393,AR393-AQ393)+IF(AR$2=1,AR395,AR395-AQ395)</f>
        <v>0</v>
      </c>
      <c r="AS397" s="180">
        <f t="shared" ref="AS397" ca="1" si="2257">AS392+AS403-IF(AS$2=1,AS393,AS393-AR393)+IF(AS$2=1,AS395,AS395-AR395)</f>
        <v>51313.038953970841</v>
      </c>
      <c r="AT397" s="180">
        <f t="shared" ref="AT397" ca="1" si="2258">AT392+AT403-IF(AT$2=1,AT393,AT393-AS393)+IF(AT$2=1,AT395,AT395-AS395)</f>
        <v>0</v>
      </c>
      <c r="AU397" s="180">
        <f t="shared" ref="AU397" ca="1" si="2259">AU392+AU403-IF(AU$2=1,AU393,AU393-AT393)+IF(AU$2=1,AU395,AU395-AT395)</f>
        <v>0</v>
      </c>
      <c r="AV397" s="180">
        <f t="shared" ref="AV397" ca="1" si="2260">AV392+AV403-IF(AV$2=1,AV393,AV393-AU393)+IF(AV$2=1,AV395,AV395-AU395)</f>
        <v>0</v>
      </c>
      <c r="AW397" s="180"/>
      <c r="AX397" s="169">
        <f ca="1">SUM(G397:AW397)</f>
        <v>400328.53958829015</v>
      </c>
    </row>
    <row r="398" spans="1:50" hidden="1" outlineLevel="1" x14ac:dyDescent="0.2">
      <c r="A398" s="167" t="str">
        <f ca="1">Language!A$636</f>
        <v>темп изменения цен</v>
      </c>
      <c r="B398" s="191"/>
      <c r="C398" s="103" t="str">
        <f ca="1">Language!$A$471</f>
        <v>% в год</v>
      </c>
      <c r="D398" s="153"/>
      <c r="F398" s="57" t="s">
        <v>756</v>
      </c>
      <c r="G398" s="324">
        <f>CHOOSE($D383,Параметры!G$48,Параметры!G$56,Параметры!G$62)</f>
        <v>0.06</v>
      </c>
      <c r="H398" s="324">
        <f>CHOOSE($D383,Параметры!H$48,Параметры!H$56,Параметры!H$62)</f>
        <v>0.06</v>
      </c>
      <c r="I398" s="324">
        <f>CHOOSE($D383,Параметры!I$48,Параметры!I$56,Параметры!I$62)</f>
        <v>0.06</v>
      </c>
      <c r="J398" s="324">
        <f>CHOOSE($D383,Параметры!J$48,Параметры!J$56,Параметры!J$62)</f>
        <v>0.06</v>
      </c>
      <c r="K398" s="324">
        <f>CHOOSE($D383,Параметры!K$48,Параметры!K$56,Параметры!K$62)</f>
        <v>0.06</v>
      </c>
      <c r="L398" s="324">
        <f>CHOOSE($D383,Параметры!L$48,Параметры!L$56,Параметры!L$62)</f>
        <v>0.06</v>
      </c>
      <c r="M398" s="324">
        <f>CHOOSE($D383,Параметры!M$48,Параметры!M$56,Параметры!M$62)</f>
        <v>0.06</v>
      </c>
      <c r="N398" s="324">
        <f>CHOOSE($D383,Параметры!N$48,Параметры!N$56,Параметры!N$62)</f>
        <v>0.06</v>
      </c>
      <c r="O398" s="324">
        <f>CHOOSE($D383,Параметры!O$48,Параметры!O$56,Параметры!O$62)</f>
        <v>0.06</v>
      </c>
      <c r="P398" s="324">
        <f>CHOOSE($D383,Параметры!P$48,Параметры!P$56,Параметры!P$62)</f>
        <v>0.06</v>
      </c>
      <c r="Q398" s="324">
        <f>CHOOSE($D383,Параметры!Q$48,Параметры!Q$56,Параметры!Q$62)</f>
        <v>0.06</v>
      </c>
      <c r="R398" s="324">
        <f>CHOOSE($D383,Параметры!R$48,Параметры!R$56,Параметры!R$62)</f>
        <v>0.06</v>
      </c>
      <c r="S398" s="324">
        <f>CHOOSE($D383,Параметры!S$48,Параметры!S$56,Параметры!S$62)</f>
        <v>0.06</v>
      </c>
      <c r="T398" s="324">
        <f>CHOOSE($D383,Параметры!T$48,Параметры!T$56,Параметры!T$62)</f>
        <v>0.06</v>
      </c>
      <c r="U398" s="324">
        <f>CHOOSE($D383,Параметры!U$48,Параметры!U$56,Параметры!U$62)</f>
        <v>0.06</v>
      </c>
      <c r="V398" s="324">
        <f>CHOOSE($D383,Параметры!V$48,Параметры!V$56,Параметры!V$62)</f>
        <v>0.06</v>
      </c>
      <c r="W398" s="324">
        <f>CHOOSE($D383,Параметры!W$48,Параметры!W$56,Параметры!W$62)</f>
        <v>0.06</v>
      </c>
      <c r="X398" s="324">
        <f>CHOOSE($D383,Параметры!X$48,Параметры!X$56,Параметры!X$62)</f>
        <v>0.06</v>
      </c>
      <c r="Y398" s="324">
        <f>CHOOSE($D383,Параметры!Y$48,Параметры!Y$56,Параметры!Y$62)</f>
        <v>0.06</v>
      </c>
      <c r="Z398" s="324">
        <f>CHOOSE($D383,Параметры!Z$48,Параметры!Z$56,Параметры!Z$62)</f>
        <v>0.06</v>
      </c>
      <c r="AA398" s="324">
        <f>CHOOSE($D383,Параметры!AA$48,Параметры!AA$56,Параметры!AA$62)</f>
        <v>0.06</v>
      </c>
      <c r="AB398" s="324">
        <f>CHOOSE($D383,Параметры!AB$48,Параметры!AB$56,Параметры!AB$62)</f>
        <v>0.06</v>
      </c>
      <c r="AC398" s="324">
        <f>CHOOSE($D383,Параметры!AC$48,Параметры!AC$56,Параметры!AC$62)</f>
        <v>0.06</v>
      </c>
      <c r="AD398" s="324">
        <f>CHOOSE($D383,Параметры!AD$48,Параметры!AD$56,Параметры!AD$62)</f>
        <v>0.06</v>
      </c>
      <c r="AE398" s="324">
        <f>CHOOSE($D383,Параметры!AE$48,Параметры!AE$56,Параметры!AE$62)</f>
        <v>0.06</v>
      </c>
      <c r="AF398" s="324">
        <f>CHOOSE($D383,Параметры!AF$48,Параметры!AF$56,Параметры!AF$62)</f>
        <v>0.06</v>
      </c>
      <c r="AG398" s="324">
        <f>CHOOSE($D383,Параметры!AG$48,Параметры!AG$56,Параметры!AG$62)</f>
        <v>0.06</v>
      </c>
      <c r="AH398" s="324">
        <f>CHOOSE($D383,Параметры!AH$48,Параметры!AH$56,Параметры!AH$62)</f>
        <v>0.06</v>
      </c>
      <c r="AI398" s="324">
        <f>CHOOSE($D383,Параметры!AI$48,Параметры!AI$56,Параметры!AI$62)</f>
        <v>0.06</v>
      </c>
      <c r="AJ398" s="324">
        <f>CHOOSE($D383,Параметры!AJ$48,Параметры!AJ$56,Параметры!AJ$62)</f>
        <v>0.06</v>
      </c>
      <c r="AK398" s="324">
        <f>CHOOSE($D383,Параметры!AK$48,Параметры!AK$56,Параметры!AK$62)</f>
        <v>0.06</v>
      </c>
      <c r="AL398" s="324">
        <f>CHOOSE($D383,Параметры!AL$48,Параметры!AL$56,Параметры!AL$62)</f>
        <v>0.06</v>
      </c>
      <c r="AM398" s="324">
        <f>CHOOSE($D383,Параметры!AM$48,Параметры!AM$56,Параметры!AM$62)</f>
        <v>0.06</v>
      </c>
      <c r="AN398" s="324">
        <f>CHOOSE($D383,Параметры!AN$48,Параметры!AN$56,Параметры!AN$62)</f>
        <v>0.06</v>
      </c>
      <c r="AO398" s="324">
        <f>CHOOSE($D383,Параметры!AO$48,Параметры!AO$56,Параметры!AO$62)</f>
        <v>0.06</v>
      </c>
      <c r="AP398" s="324">
        <f>CHOOSE($D383,Параметры!AP$48,Параметры!AP$56,Параметры!AP$62)</f>
        <v>0.06</v>
      </c>
      <c r="AQ398" s="324">
        <f>CHOOSE($D383,Параметры!AQ$48,Параметры!AQ$56,Параметры!AQ$62)</f>
        <v>0.06</v>
      </c>
      <c r="AR398" s="324">
        <f>CHOOSE($D383,Параметры!AR$48,Параметры!AR$56,Параметры!AR$62)</f>
        <v>0.06</v>
      </c>
      <c r="AS398" s="324">
        <f>CHOOSE($D383,Параметры!AS$48,Параметры!AS$56,Параметры!AS$62)</f>
        <v>0.06</v>
      </c>
      <c r="AT398" s="324">
        <f>CHOOSE($D383,Параметры!AT$48,Параметры!AT$56,Параметры!AT$62)</f>
        <v>0.06</v>
      </c>
      <c r="AU398" s="324">
        <f>CHOOSE($D383,Параметры!AU$48,Параметры!AU$56,Параметры!AU$62)</f>
        <v>0.06</v>
      </c>
      <c r="AV398" s="324">
        <f>CHOOSE($D383,Параметры!AV$48,Параметры!AV$56,Параметры!AV$62)</f>
        <v>0.06</v>
      </c>
      <c r="AW398" s="192"/>
      <c r="AX398" s="184"/>
    </row>
    <row r="399" spans="1:50" hidden="1" outlineLevel="1" x14ac:dyDescent="0.2">
      <c r="A399" s="167" t="str">
        <f ca="1">Language!A$637</f>
        <v>ставка НДС</v>
      </c>
      <c r="B399" s="191"/>
      <c r="C399" s="103" t="s">
        <v>1</v>
      </c>
      <c r="D399" s="155"/>
      <c r="F399" s="57" t="s">
        <v>756</v>
      </c>
      <c r="G399" s="324">
        <f>Параметры!G$72</f>
        <v>0.18</v>
      </c>
      <c r="H399" s="324">
        <f>Параметры!H$72</f>
        <v>0.18</v>
      </c>
      <c r="I399" s="324">
        <f>Параметры!I$72</f>
        <v>0.18</v>
      </c>
      <c r="J399" s="324">
        <f>Параметры!J$72</f>
        <v>0.18</v>
      </c>
      <c r="K399" s="324">
        <f>Параметры!K$72</f>
        <v>0.18</v>
      </c>
      <c r="L399" s="324">
        <f>Параметры!L$72</f>
        <v>0.18</v>
      </c>
      <c r="M399" s="324">
        <f>Параметры!M$72</f>
        <v>0.18</v>
      </c>
      <c r="N399" s="324">
        <f>Параметры!N$72</f>
        <v>0.18</v>
      </c>
      <c r="O399" s="324">
        <f>Параметры!O$72</f>
        <v>0.18</v>
      </c>
      <c r="P399" s="324">
        <f>Параметры!P$72</f>
        <v>0.18</v>
      </c>
      <c r="Q399" s="324">
        <f>Параметры!Q$72</f>
        <v>0.18</v>
      </c>
      <c r="R399" s="324">
        <f>Параметры!R$72</f>
        <v>0.18</v>
      </c>
      <c r="S399" s="324">
        <f>Параметры!S$72</f>
        <v>0.18</v>
      </c>
      <c r="T399" s="324">
        <f>Параметры!T$72</f>
        <v>0.18</v>
      </c>
      <c r="U399" s="324">
        <f>Параметры!U$72</f>
        <v>0.18</v>
      </c>
      <c r="V399" s="324">
        <f>Параметры!V$72</f>
        <v>0.18</v>
      </c>
      <c r="W399" s="324">
        <f>Параметры!W$72</f>
        <v>0.18</v>
      </c>
      <c r="X399" s="324">
        <f>Параметры!X$72</f>
        <v>0.18</v>
      </c>
      <c r="Y399" s="324">
        <f>Параметры!Y$72</f>
        <v>0.18</v>
      </c>
      <c r="Z399" s="324">
        <f>Параметры!Z$72</f>
        <v>0.18</v>
      </c>
      <c r="AA399" s="324">
        <f>Параметры!AA$72</f>
        <v>0.18</v>
      </c>
      <c r="AB399" s="324">
        <f>Параметры!AB$72</f>
        <v>0.18</v>
      </c>
      <c r="AC399" s="324">
        <f>Параметры!AC$72</f>
        <v>0.18</v>
      </c>
      <c r="AD399" s="324">
        <f>Параметры!AD$72</f>
        <v>0.18</v>
      </c>
      <c r="AE399" s="324">
        <f>Параметры!AE$72</f>
        <v>0.18</v>
      </c>
      <c r="AF399" s="324">
        <f>Параметры!AF$72</f>
        <v>0.18</v>
      </c>
      <c r="AG399" s="324">
        <f>Параметры!AG$72</f>
        <v>0.18</v>
      </c>
      <c r="AH399" s="324">
        <f>Параметры!AH$72</f>
        <v>0.18</v>
      </c>
      <c r="AI399" s="324">
        <f>Параметры!AI$72</f>
        <v>0.18</v>
      </c>
      <c r="AJ399" s="324">
        <f>Параметры!AJ$72</f>
        <v>0.18</v>
      </c>
      <c r="AK399" s="324">
        <f>Параметры!AK$72</f>
        <v>0.18</v>
      </c>
      <c r="AL399" s="324">
        <f>Параметры!AL$72</f>
        <v>0.18</v>
      </c>
      <c r="AM399" s="324">
        <f>Параметры!AM$72</f>
        <v>0.18</v>
      </c>
      <c r="AN399" s="324">
        <f>Параметры!AN$72</f>
        <v>0.18</v>
      </c>
      <c r="AO399" s="324">
        <f>Параметры!AO$72</f>
        <v>0.18</v>
      </c>
      <c r="AP399" s="324">
        <f>Параметры!AP$72</f>
        <v>0.18</v>
      </c>
      <c r="AQ399" s="324">
        <f>Параметры!AQ$72</f>
        <v>0.18</v>
      </c>
      <c r="AR399" s="324">
        <f>Параметры!AR$72</f>
        <v>0.18</v>
      </c>
      <c r="AS399" s="324">
        <f>Параметры!AS$72</f>
        <v>0.18</v>
      </c>
      <c r="AT399" s="324">
        <f>Параметры!AT$72</f>
        <v>0.18</v>
      </c>
      <c r="AU399" s="324">
        <f>Параметры!AU$72</f>
        <v>0.18</v>
      </c>
      <c r="AV399" s="324">
        <f>Параметры!AV$72</f>
        <v>0.18</v>
      </c>
      <c r="AW399" s="192"/>
      <c r="AX399" s="182"/>
    </row>
    <row r="400" spans="1:50" hidden="1" outlineLevel="1" x14ac:dyDescent="0.2">
      <c r="A400" s="167" t="str">
        <f ca="1">Language!A$638</f>
        <v>ставка импортной пошлины</v>
      </c>
      <c r="B400" s="191"/>
      <c r="C400" s="103" t="s">
        <v>1</v>
      </c>
      <c r="D400" s="155"/>
      <c r="F400" s="57" t="s">
        <v>756</v>
      </c>
      <c r="G400" s="324">
        <v>0</v>
      </c>
      <c r="H400" s="324">
        <f t="shared" ref="H400" si="2261">G400</f>
        <v>0</v>
      </c>
      <c r="I400" s="324">
        <f t="shared" ref="I400" si="2262">H400</f>
        <v>0</v>
      </c>
      <c r="J400" s="324">
        <f t="shared" ref="J400" si="2263">I400</f>
        <v>0</v>
      </c>
      <c r="K400" s="324">
        <f t="shared" ref="K400" si="2264">J400</f>
        <v>0</v>
      </c>
      <c r="L400" s="324">
        <f t="shared" ref="L400" si="2265">K400</f>
        <v>0</v>
      </c>
      <c r="M400" s="324">
        <f t="shared" ref="M400" si="2266">L400</f>
        <v>0</v>
      </c>
      <c r="N400" s="324">
        <f t="shared" ref="N400" si="2267">M400</f>
        <v>0</v>
      </c>
      <c r="O400" s="324">
        <f t="shared" ref="O400" si="2268">N400</f>
        <v>0</v>
      </c>
      <c r="P400" s="324">
        <f t="shared" ref="P400" si="2269">O400</f>
        <v>0</v>
      </c>
      <c r="Q400" s="324">
        <f t="shared" ref="Q400" si="2270">P400</f>
        <v>0</v>
      </c>
      <c r="R400" s="324">
        <f t="shared" ref="R400" si="2271">Q400</f>
        <v>0</v>
      </c>
      <c r="S400" s="324">
        <f t="shared" ref="S400" si="2272">R400</f>
        <v>0</v>
      </c>
      <c r="T400" s="324">
        <f t="shared" ref="T400" si="2273">S400</f>
        <v>0</v>
      </c>
      <c r="U400" s="324">
        <f t="shared" ref="U400" si="2274">T400</f>
        <v>0</v>
      </c>
      <c r="V400" s="324">
        <f t="shared" ref="V400" si="2275">U400</f>
        <v>0</v>
      </c>
      <c r="W400" s="324">
        <f t="shared" ref="W400" si="2276">V400</f>
        <v>0</v>
      </c>
      <c r="X400" s="324">
        <f t="shared" ref="X400" si="2277">W400</f>
        <v>0</v>
      </c>
      <c r="Y400" s="324">
        <f t="shared" ref="Y400" si="2278">X400</f>
        <v>0</v>
      </c>
      <c r="Z400" s="324">
        <f t="shared" ref="Z400" si="2279">Y400</f>
        <v>0</v>
      </c>
      <c r="AA400" s="324">
        <f t="shared" ref="AA400" si="2280">Z400</f>
        <v>0</v>
      </c>
      <c r="AB400" s="324">
        <f t="shared" ref="AB400" si="2281">AA400</f>
        <v>0</v>
      </c>
      <c r="AC400" s="324">
        <f t="shared" ref="AC400" si="2282">AB400</f>
        <v>0</v>
      </c>
      <c r="AD400" s="324">
        <f t="shared" ref="AD400" si="2283">AC400</f>
        <v>0</v>
      </c>
      <c r="AE400" s="324">
        <f t="shared" ref="AE400" si="2284">AD400</f>
        <v>0</v>
      </c>
      <c r="AF400" s="324">
        <f t="shared" ref="AF400" si="2285">AE400</f>
        <v>0</v>
      </c>
      <c r="AG400" s="324">
        <f t="shared" ref="AG400" si="2286">AF400</f>
        <v>0</v>
      </c>
      <c r="AH400" s="324">
        <f t="shared" ref="AH400" si="2287">AG400</f>
        <v>0</v>
      </c>
      <c r="AI400" s="324">
        <f t="shared" ref="AI400" si="2288">AH400</f>
        <v>0</v>
      </c>
      <c r="AJ400" s="324">
        <f t="shared" ref="AJ400" si="2289">AI400</f>
        <v>0</v>
      </c>
      <c r="AK400" s="324">
        <f t="shared" ref="AK400" si="2290">AJ400</f>
        <v>0</v>
      </c>
      <c r="AL400" s="324">
        <f t="shared" ref="AL400" si="2291">AK400</f>
        <v>0</v>
      </c>
      <c r="AM400" s="324">
        <f t="shared" ref="AM400" si="2292">AL400</f>
        <v>0</v>
      </c>
      <c r="AN400" s="324">
        <f t="shared" ref="AN400" si="2293">AM400</f>
        <v>0</v>
      </c>
      <c r="AO400" s="324">
        <f t="shared" ref="AO400" si="2294">AN400</f>
        <v>0</v>
      </c>
      <c r="AP400" s="324">
        <f t="shared" ref="AP400" si="2295">AO400</f>
        <v>0</v>
      </c>
      <c r="AQ400" s="324">
        <f t="shared" ref="AQ400" si="2296">AP400</f>
        <v>0</v>
      </c>
      <c r="AR400" s="324">
        <f t="shared" ref="AR400" si="2297">AQ400</f>
        <v>0</v>
      </c>
      <c r="AS400" s="324">
        <f t="shared" ref="AS400" si="2298">AR400</f>
        <v>0</v>
      </c>
      <c r="AT400" s="324">
        <f t="shared" ref="AT400" si="2299">AS400</f>
        <v>0</v>
      </c>
      <c r="AU400" s="324">
        <f t="shared" ref="AU400" si="2300">AT400</f>
        <v>0</v>
      </c>
      <c r="AV400" s="324">
        <f t="shared" ref="AV400" si="2301">AU400</f>
        <v>0</v>
      </c>
      <c r="AW400" s="192"/>
      <c r="AX400" s="182"/>
    </row>
    <row r="401" spans="1:50" hidden="1" outlineLevel="1" x14ac:dyDescent="0.2">
      <c r="A401" s="179" t="str">
        <f ca="1">Language!A$639</f>
        <v>коэффициент изменения цен к началу проекта</v>
      </c>
      <c r="B401" s="191"/>
      <c r="C401" s="103" t="str">
        <f ca="1">Language!$A$1449</f>
        <v>раз</v>
      </c>
      <c r="D401" s="155"/>
      <c r="F401" s="57" t="s">
        <v>754</v>
      </c>
      <c r="G401" s="193">
        <f ca="1">IF(G$2=1,1,IF(Prj_Inflation=1,POWER(1+OFFSET(G398,0,-1),Параметры!G$30/360),1) * IF(G$2&gt;1, F401, 1))</f>
        <v>1</v>
      </c>
      <c r="H401" s="193">
        <f ca="1">IF(H$2=1,1,IF(Prj_Inflation=1,POWER(1+OFFSET(H398,0,-1),Параметры!H$30/360),1) * IF(H$2&gt;1, G401, 1))</f>
        <v>1.0146738461686593</v>
      </c>
      <c r="I401" s="193">
        <f ca="1">IF(I$2=1,1,IF(Prj_Inflation=1,POWER(1+OFFSET(I398,0,-1),Параметры!I$30/360),1) * IF(I$2&gt;1, H401, 1))</f>
        <v>1.0295630140987</v>
      </c>
      <c r="J401" s="193">
        <f ca="1">IF(J$2=1,1,IF(Prj_Inflation=1,POWER(1+OFFSET(J398,0,-1),Параметры!J$30/360),1) * IF(J$2&gt;1, I401, 1))</f>
        <v>1.0446706633885254</v>
      </c>
      <c r="K401" s="193">
        <f ca="1">IF(K$2=1,1,IF(Prj_Inflation=1,POWER(1+OFFSET(K398,0,-1),Параметры!K$30/360),1) * IF(K$2&gt;1, J401, 1))</f>
        <v>1.0599999999999998</v>
      </c>
      <c r="L401" s="193">
        <f ca="1">IF(L$2=1,1,IF(Prj_Inflation=1,POWER(1+OFFSET(L398,0,-1),Параметры!L$30/360),1) * IF(L$2&gt;1, K401, 1))</f>
        <v>1.0755542769387787</v>
      </c>
      <c r="M401" s="193">
        <f ca="1">IF(M$2=1,1,IF(Prj_Inflation=1,POWER(1+OFFSET(M398,0,-1),Параметры!M$30/360),1) * IF(M$2&gt;1, L401, 1))</f>
        <v>1.091336794944622</v>
      </c>
      <c r="N401" s="193">
        <f ca="1">IF(N$2=1,1,IF(Prj_Inflation=1,POWER(1+OFFSET(N398,0,-1),Параметры!N$30/360),1) * IF(N$2&gt;1, M401, 1))</f>
        <v>1.1073509031918372</v>
      </c>
      <c r="O401" s="193">
        <f ca="1">IF(O$2=1,1,IF(Prj_Inflation=1,POWER(1+OFFSET(O398,0,-1),Параметры!O$30/360),1) * IF(O$2&gt;1, N401, 1))</f>
        <v>1.1236000000000002</v>
      </c>
      <c r="P401" s="193">
        <f ca="1">IF(P$2=1,1,IF(Prj_Inflation=1,POWER(1+OFFSET(P398,0,-1),Параметры!P$30/360),1) * IF(P$2&gt;1, O401, 1))</f>
        <v>1.1400875335551057</v>
      </c>
      <c r="Q401" s="193">
        <f ca="1">IF(Q$2=1,1,IF(Prj_Inflation=1,POWER(1+OFFSET(Q398,0,-1),Параметры!Q$30/360),1) * IF(Q$2&gt;1, P401, 1))</f>
        <v>1.1568170026412996</v>
      </c>
      <c r="R401" s="193">
        <f ca="1">IF(R$2=1,1,IF(Prj_Inflation=1,POWER(1+OFFSET(R398,0,-1),Параметры!R$30/360),1) * IF(R$2&gt;1, Q401, 1))</f>
        <v>1.1737919573833475</v>
      </c>
      <c r="S401" s="193">
        <f ca="1">IF(S$2=1,1,IF(Prj_Inflation=1,POWER(1+OFFSET(S398,0,-1),Параметры!S$30/360),1) * IF(S$2&gt;1, R401, 1))</f>
        <v>1.1910160000000003</v>
      </c>
      <c r="T401" s="193">
        <f ca="1">IF(T$2=1,1,IF(Prj_Inflation=1,POWER(1+OFFSET(T398,0,-1),Параметры!T$30/360),1) * IF(T$2&gt;1, S401, 1))</f>
        <v>1.2084927855684122</v>
      </c>
      <c r="U401" s="193">
        <f ca="1">IF(U$2=1,1,IF(Prj_Inflation=1,POWER(1+OFFSET(U398,0,-1),Параметры!U$30/360),1) * IF(U$2&gt;1, T401, 1))</f>
        <v>1.2262260227997777</v>
      </c>
      <c r="V401" s="193">
        <f ca="1">IF(V$2=1,1,IF(Prj_Inflation=1,POWER(1+OFFSET(V398,0,-1),Параметры!V$30/360),1) * IF(V$2&gt;1, U401, 1))</f>
        <v>1.2442194748263484</v>
      </c>
      <c r="W401" s="193">
        <f ca="1">IF(W$2=1,1,IF(Prj_Inflation=1,POWER(1+OFFSET(W398,0,-1),Параметры!W$30/360),1) * IF(W$2&gt;1, V401, 1))</f>
        <v>1.2624769600000003</v>
      </c>
      <c r="X401" s="193">
        <f ca="1">IF(X$2=1,1,IF(Prj_Inflation=1,POWER(1+OFFSET(X398,0,-1),Параметры!X$30/360),1) * IF(X$2&gt;1, W401, 1))</f>
        <v>1.2810023527025169</v>
      </c>
      <c r="Y401" s="193">
        <f ca="1">IF(Y$2=1,1,IF(Prj_Inflation=1,POWER(1+OFFSET(Y398,0,-1),Параметры!Y$30/360),1) * IF(Y$2&gt;1, X401, 1))</f>
        <v>1.2997995841677643</v>
      </c>
      <c r="Z401" s="193">
        <f ca="1">IF(Z$2=1,1,IF(Prj_Inflation=1,POWER(1+OFFSET(Z398,0,-1),Параметры!Z$30/360),1) * IF(Z$2&gt;1, Y401, 1))</f>
        <v>1.3188726433159295</v>
      </c>
      <c r="AA401" s="193">
        <f ca="1">IF(AA$2=1,1,IF(Prj_Inflation=1,POWER(1+OFFSET(AA398,0,-1),Параметры!AA$30/360),1) * IF(AA$2&gt;1, Z401, 1))</f>
        <v>1.3382255776000005</v>
      </c>
      <c r="AB401" s="193">
        <f ca="1">IF(AB$2=1,1,IF(Prj_Inflation=1,POWER(1+OFFSET(AB398,0,-1),Параметры!AB$30/360),1) * IF(AB$2&gt;1, AA401, 1))</f>
        <v>1.3578624938646682</v>
      </c>
      <c r="AC401" s="193">
        <f ca="1">IF(AC$2=1,1,IF(Prj_Inflation=1,POWER(1+OFFSET(AC398,0,-1),Параметры!AC$30/360),1) * IF(AC$2&gt;1, AB401, 1))</f>
        <v>1.3777875592178304</v>
      </c>
      <c r="AD401" s="193">
        <f ca="1">IF(AD$2=1,1,IF(Prj_Inflation=1,POWER(1+OFFSET(AD398,0,-1),Параметры!AD$30/360),1) * IF(AD$2&gt;1, AC401, 1))</f>
        <v>1.3980050019148853</v>
      </c>
      <c r="AE401" s="193">
        <f ca="1">IF(AE$2=1,1,IF(Prj_Inflation=1,POWER(1+OFFSET(AE398,0,-1),Параметры!AE$30/360),1) * IF(AE$2&gt;1, AD401, 1))</f>
        <v>1.4185191122560006</v>
      </c>
      <c r="AF401" s="193">
        <f ca="1">IF(AF$2=1,1,IF(Prj_Inflation=1,POWER(1+OFFSET(AF398,0,-1),Параметры!AF$30/360),1) * IF(AF$2&gt;1, AE401, 1))</f>
        <v>1.4393342434965484</v>
      </c>
      <c r="AG401" s="193">
        <f ca="1">IF(AG$2=1,1,IF(Prj_Inflation=1,POWER(1+OFFSET(AG398,0,-1),Параметры!AG$30/360),1) * IF(AG$2&gt;1, AF401, 1))</f>
        <v>1.4604548127709003</v>
      </c>
      <c r="AH401" s="193">
        <f ca="1">IF(AH$2=1,1,IF(Prj_Inflation=1,POWER(1+OFFSET(AH398,0,-1),Параметры!AH$30/360),1) * IF(AH$2&gt;1, AG401, 1))</f>
        <v>1.4818853020297786</v>
      </c>
      <c r="AI401" s="193">
        <f ca="1">IF(AI$2=1,1,IF(Prj_Inflation=1,POWER(1+OFFSET(AI398,0,-1),Параметры!AI$30/360),1) * IF(AI$2&gt;1, AH401, 1))</f>
        <v>1.5036302589913608</v>
      </c>
      <c r="AJ401" s="193">
        <f ca="1">IF(AJ$2=1,1,IF(Prj_Inflation=1,POWER(1+OFFSET(AJ398,0,-1),Параметры!AJ$30/360),1) * IF(AJ$2&gt;1, AI401, 1))</f>
        <v>1.5256942981063415</v>
      </c>
      <c r="AK401" s="193">
        <f ca="1">IF(AK$2=1,1,IF(Prj_Inflation=1,POWER(1+OFFSET(AK398,0,-1),Параметры!AK$30/360),1) * IF(AK$2&gt;1, AJ401, 1))</f>
        <v>1.5480821015371546</v>
      </c>
      <c r="AL401" s="193">
        <f ca="1">IF(AL$2=1,1,IF(Prj_Inflation=1,POWER(1+OFFSET(AL398,0,-1),Параметры!AL$30/360),1) * IF(AL$2&gt;1, AK401, 1))</f>
        <v>1.5707984201515657</v>
      </c>
      <c r="AM401" s="193">
        <f ca="1">IF(AM$2=1,1,IF(Prj_Inflation=1,POWER(1+OFFSET(AM398,0,-1),Параметры!AM$30/360),1) * IF(AM$2&gt;1, AL401, 1))</f>
        <v>1.5938480745308428</v>
      </c>
      <c r="AN401" s="193">
        <f ca="1">IF(AN$2=1,1,IF(Prj_Inflation=1,POWER(1+OFFSET(AN398,0,-1),Параметры!AN$30/360),1) * IF(AN$2&gt;1, AM401, 1))</f>
        <v>1.6172359559927221</v>
      </c>
      <c r="AO401" s="193">
        <f ca="1">IF(AO$2=1,1,IF(Prj_Inflation=1,POWER(1+OFFSET(AO398,0,-1),Параметры!AO$30/360),1) * IF(AO$2&gt;1, AN401, 1))</f>
        <v>1.640967027629384</v>
      </c>
      <c r="AP401" s="193">
        <f ca="1">IF(AP$2=1,1,IF(Prj_Inflation=1,POWER(1+OFFSET(AP398,0,-1),Параметры!AP$30/360),1) * IF(AP$2&gt;1, AO401, 1))</f>
        <v>1.6650463253606596</v>
      </c>
      <c r="AQ401" s="193">
        <f ca="1">IF(AQ$2=1,1,IF(Prj_Inflation=1,POWER(1+OFFSET(AQ398,0,-1),Параметры!AQ$30/360),1) * IF(AQ$2&gt;1, AP401, 1))</f>
        <v>1.6894789590026933</v>
      </c>
      <c r="AR401" s="193">
        <f ca="1">IF(AR$2=1,1,IF(Prj_Inflation=1,POWER(1+OFFSET(AR398,0,-1),Параметры!AR$30/360),1) * IF(AR$2&gt;1, AQ401, 1))</f>
        <v>1.7142701133522855</v>
      </c>
      <c r="AS401" s="193">
        <f ca="1">IF(AS$2=1,1,IF(Prj_Inflation=1,POWER(1+OFFSET(AS398,0,-1),Параметры!AS$30/360),1) * IF(AS$2&gt;1, AR401, 1))</f>
        <v>1.739425049287147</v>
      </c>
      <c r="AT401" s="193">
        <f ca="1">IF(AT$2=1,1,IF(Prj_Inflation=1,POWER(1+OFFSET(AT398,0,-1),Параметры!AT$30/360),1) * IF(AT$2&gt;1, AS401, 1))</f>
        <v>1.7649491048822992</v>
      </c>
      <c r="AU401" s="193">
        <f ca="1">IF(AU$2=1,1,IF(Prj_Inflation=1,POWER(1+OFFSET(AU398,0,-1),Параметры!AU$30/360),1) * IF(AU$2&gt;1, AT401, 1))</f>
        <v>1.790847696542855</v>
      </c>
      <c r="AV401" s="193">
        <f ca="1">IF(AV$2=1,1,IF(Prj_Inflation=1,POWER(1+OFFSET(AV398,0,-1),Параметры!AV$30/360),1) * IF(AV$2&gt;1, AU401, 1))</f>
        <v>1.8171263201534227</v>
      </c>
      <c r="AW401" s="193"/>
      <c r="AX401" s="182"/>
    </row>
    <row r="402" spans="1:50" hidden="1" outlineLevel="1" x14ac:dyDescent="0.2">
      <c r="A402" s="167" t="str">
        <f ca="1">Language!A$640</f>
        <v>пошлины начисленные</v>
      </c>
      <c r="B402" s="153"/>
      <c r="C402" s="103" t="str">
        <f ca="1">CHOOSE(D402,CurName1,CurName2,CurName3)</f>
        <v>тыс. руб.</v>
      </c>
      <c r="D402" s="155">
        <f>D383</f>
        <v>1</v>
      </c>
      <c r="E402" s="57" t="s">
        <v>1011</v>
      </c>
      <c r="F402" s="57" t="s">
        <v>753</v>
      </c>
      <c r="G402" s="194">
        <f ca="1">G392*G400</f>
        <v>0</v>
      </c>
      <c r="H402" s="194">
        <f t="shared" ref="H402:AV402" ca="1" si="2302">H392*H400</f>
        <v>0</v>
      </c>
      <c r="I402" s="194">
        <f t="shared" ca="1" si="2302"/>
        <v>0</v>
      </c>
      <c r="J402" s="194">
        <f t="shared" ca="1" si="2302"/>
        <v>0</v>
      </c>
      <c r="K402" s="194">
        <f t="shared" ca="1" si="2302"/>
        <v>0</v>
      </c>
      <c r="L402" s="194">
        <f t="shared" ca="1" si="2302"/>
        <v>0</v>
      </c>
      <c r="M402" s="194">
        <f t="shared" ca="1" si="2302"/>
        <v>0</v>
      </c>
      <c r="N402" s="194">
        <f t="shared" ca="1" si="2302"/>
        <v>0</v>
      </c>
      <c r="O402" s="194">
        <f t="shared" ca="1" si="2302"/>
        <v>0</v>
      </c>
      <c r="P402" s="194">
        <f t="shared" ca="1" si="2302"/>
        <v>0</v>
      </c>
      <c r="Q402" s="194">
        <f t="shared" ca="1" si="2302"/>
        <v>0</v>
      </c>
      <c r="R402" s="194">
        <f t="shared" ca="1" si="2302"/>
        <v>0</v>
      </c>
      <c r="S402" s="194">
        <f t="shared" ca="1" si="2302"/>
        <v>0</v>
      </c>
      <c r="T402" s="194">
        <f t="shared" ca="1" si="2302"/>
        <v>0</v>
      </c>
      <c r="U402" s="194">
        <f t="shared" ca="1" si="2302"/>
        <v>0</v>
      </c>
      <c r="V402" s="194">
        <f t="shared" ca="1" si="2302"/>
        <v>0</v>
      </c>
      <c r="W402" s="194">
        <f t="shared" ca="1" si="2302"/>
        <v>0</v>
      </c>
      <c r="X402" s="194">
        <f t="shared" ca="1" si="2302"/>
        <v>0</v>
      </c>
      <c r="Y402" s="194">
        <f t="shared" ca="1" si="2302"/>
        <v>0</v>
      </c>
      <c r="Z402" s="194">
        <f t="shared" ca="1" si="2302"/>
        <v>0</v>
      </c>
      <c r="AA402" s="194">
        <f t="shared" ca="1" si="2302"/>
        <v>0</v>
      </c>
      <c r="AB402" s="194">
        <f t="shared" ca="1" si="2302"/>
        <v>0</v>
      </c>
      <c r="AC402" s="194">
        <f t="shared" ca="1" si="2302"/>
        <v>0</v>
      </c>
      <c r="AD402" s="194">
        <f t="shared" ca="1" si="2302"/>
        <v>0</v>
      </c>
      <c r="AE402" s="194">
        <f t="shared" ca="1" si="2302"/>
        <v>0</v>
      </c>
      <c r="AF402" s="194">
        <f t="shared" ca="1" si="2302"/>
        <v>0</v>
      </c>
      <c r="AG402" s="194">
        <f t="shared" ca="1" si="2302"/>
        <v>0</v>
      </c>
      <c r="AH402" s="194">
        <f t="shared" ca="1" si="2302"/>
        <v>0</v>
      </c>
      <c r="AI402" s="194">
        <f t="shared" ca="1" si="2302"/>
        <v>0</v>
      </c>
      <c r="AJ402" s="194">
        <f t="shared" ca="1" si="2302"/>
        <v>0</v>
      </c>
      <c r="AK402" s="194">
        <f t="shared" ca="1" si="2302"/>
        <v>0</v>
      </c>
      <c r="AL402" s="194">
        <f t="shared" ca="1" si="2302"/>
        <v>0</v>
      </c>
      <c r="AM402" s="194">
        <f t="shared" ca="1" si="2302"/>
        <v>0</v>
      </c>
      <c r="AN402" s="194">
        <f t="shared" ca="1" si="2302"/>
        <v>0</v>
      </c>
      <c r="AO402" s="194">
        <f t="shared" ca="1" si="2302"/>
        <v>0</v>
      </c>
      <c r="AP402" s="194">
        <f t="shared" ca="1" si="2302"/>
        <v>0</v>
      </c>
      <c r="AQ402" s="194">
        <f t="shared" ca="1" si="2302"/>
        <v>0</v>
      </c>
      <c r="AR402" s="194">
        <f t="shared" ca="1" si="2302"/>
        <v>0</v>
      </c>
      <c r="AS402" s="194">
        <f t="shared" ca="1" si="2302"/>
        <v>0</v>
      </c>
      <c r="AT402" s="194">
        <f t="shared" ca="1" si="2302"/>
        <v>0</v>
      </c>
      <c r="AU402" s="194">
        <f t="shared" ca="1" si="2302"/>
        <v>0</v>
      </c>
      <c r="AV402" s="194">
        <f t="shared" ca="1" si="2302"/>
        <v>0</v>
      </c>
      <c r="AW402" s="194"/>
      <c r="AX402" s="169">
        <f ca="1">SUM(G402:AW402)</f>
        <v>0</v>
      </c>
    </row>
    <row r="403" spans="1:50" hidden="1" outlineLevel="1" x14ac:dyDescent="0.2">
      <c r="A403" s="167" t="str">
        <f ca="1">Language!A$641</f>
        <v>НДС начисленный</v>
      </c>
      <c r="B403" s="153"/>
      <c r="C403" s="103" t="str">
        <f ca="1">CHOOSE(D403,CurName1,CurName2,CurName3)</f>
        <v>тыс. руб.</v>
      </c>
      <c r="D403" s="155">
        <f>D383</f>
        <v>1</v>
      </c>
      <c r="E403" s="57" t="s">
        <v>789</v>
      </c>
      <c r="F403" s="57" t="s">
        <v>753</v>
      </c>
      <c r="G403" s="194">
        <f ca="1">(G392+G402)*G399</f>
        <v>0</v>
      </c>
      <c r="H403" s="194">
        <f t="shared" ref="H403:AV403" ca="1" si="2303">(H392+H402)*H399</f>
        <v>0</v>
      </c>
      <c r="I403" s="194">
        <f t="shared" ca="1" si="2303"/>
        <v>4633.0335634441499</v>
      </c>
      <c r="J403" s="194">
        <f t="shared" ca="1" si="2303"/>
        <v>0</v>
      </c>
      <c r="K403" s="194">
        <f t="shared" ca="1" si="2303"/>
        <v>0</v>
      </c>
      <c r="L403" s="194">
        <f t="shared" ca="1" si="2303"/>
        <v>0</v>
      </c>
      <c r="M403" s="194">
        <f t="shared" ca="1" si="2303"/>
        <v>4911.0155772507987</v>
      </c>
      <c r="N403" s="194">
        <f t="shared" ca="1" si="2303"/>
        <v>0</v>
      </c>
      <c r="O403" s="194">
        <f t="shared" ca="1" si="2303"/>
        <v>0</v>
      </c>
      <c r="P403" s="194">
        <f t="shared" ca="1" si="2303"/>
        <v>0</v>
      </c>
      <c r="Q403" s="194">
        <f t="shared" ca="1" si="2303"/>
        <v>5205.6765118858484</v>
      </c>
      <c r="R403" s="194">
        <f t="shared" ca="1" si="2303"/>
        <v>0</v>
      </c>
      <c r="S403" s="194">
        <f t="shared" ca="1" si="2303"/>
        <v>0</v>
      </c>
      <c r="T403" s="194">
        <f t="shared" ca="1" si="2303"/>
        <v>0</v>
      </c>
      <c r="U403" s="194">
        <f t="shared" ca="1" si="2303"/>
        <v>5518.0171025989994</v>
      </c>
      <c r="V403" s="194">
        <f t="shared" ca="1" si="2303"/>
        <v>0</v>
      </c>
      <c r="W403" s="194">
        <f t="shared" ca="1" si="2303"/>
        <v>0</v>
      </c>
      <c r="X403" s="194">
        <f t="shared" ca="1" si="2303"/>
        <v>0</v>
      </c>
      <c r="Y403" s="194">
        <f t="shared" ca="1" si="2303"/>
        <v>5849.0981287549394</v>
      </c>
      <c r="Z403" s="194">
        <f t="shared" ca="1" si="2303"/>
        <v>0</v>
      </c>
      <c r="AA403" s="194">
        <f t="shared" ca="1" si="2303"/>
        <v>0</v>
      </c>
      <c r="AB403" s="194">
        <f t="shared" ca="1" si="2303"/>
        <v>0</v>
      </c>
      <c r="AC403" s="194">
        <f t="shared" ca="1" si="2303"/>
        <v>6200.0440164802367</v>
      </c>
      <c r="AD403" s="194">
        <f t="shared" ca="1" si="2303"/>
        <v>0</v>
      </c>
      <c r="AE403" s="194">
        <f t="shared" ca="1" si="2303"/>
        <v>0</v>
      </c>
      <c r="AF403" s="194">
        <f t="shared" ca="1" si="2303"/>
        <v>0</v>
      </c>
      <c r="AG403" s="194">
        <f t="shared" ca="1" si="2303"/>
        <v>6572.0466574690508</v>
      </c>
      <c r="AH403" s="194">
        <f t="shared" ca="1" si="2303"/>
        <v>0</v>
      </c>
      <c r="AI403" s="194">
        <f t="shared" ca="1" si="2303"/>
        <v>0</v>
      </c>
      <c r="AJ403" s="194">
        <f t="shared" ca="1" si="2303"/>
        <v>0</v>
      </c>
      <c r="AK403" s="194">
        <f t="shared" ca="1" si="2303"/>
        <v>6966.3694569171948</v>
      </c>
      <c r="AL403" s="194">
        <f t="shared" ca="1" si="2303"/>
        <v>0</v>
      </c>
      <c r="AM403" s="194">
        <f t="shared" ca="1" si="2303"/>
        <v>0</v>
      </c>
      <c r="AN403" s="194">
        <f t="shared" ca="1" si="2303"/>
        <v>0</v>
      </c>
      <c r="AO403" s="194">
        <f t="shared" ca="1" si="2303"/>
        <v>7384.3516243322274</v>
      </c>
      <c r="AP403" s="194">
        <f t="shared" ca="1" si="2303"/>
        <v>0</v>
      </c>
      <c r="AQ403" s="194">
        <f t="shared" ca="1" si="2303"/>
        <v>0</v>
      </c>
      <c r="AR403" s="194">
        <f t="shared" ca="1" si="2303"/>
        <v>0</v>
      </c>
      <c r="AS403" s="194">
        <f t="shared" ca="1" si="2303"/>
        <v>7827.4127217921614</v>
      </c>
      <c r="AT403" s="194">
        <f t="shared" ca="1" si="2303"/>
        <v>0</v>
      </c>
      <c r="AU403" s="194">
        <f t="shared" ca="1" si="2303"/>
        <v>0</v>
      </c>
      <c r="AV403" s="194">
        <f t="shared" ca="1" si="2303"/>
        <v>0</v>
      </c>
      <c r="AW403" s="194"/>
      <c r="AX403" s="169">
        <f ca="1">SUM(G403:AW403)</f>
        <v>61067.065360925611</v>
      </c>
    </row>
    <row r="404" spans="1:50" x14ac:dyDescent="0.2">
      <c r="A404" s="317" t="s">
        <v>2345</v>
      </c>
      <c r="B404" s="186"/>
      <c r="C404" s="157"/>
      <c r="D404" s="158">
        <v>1</v>
      </c>
      <c r="F404" s="57" t="s">
        <v>2346</v>
      </c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87"/>
    </row>
    <row r="405" spans="1:50" x14ac:dyDescent="0.2">
      <c r="A405" s="172" t="str">
        <f ca="1">Language!A$622</f>
        <v>расход за период, без учета инфляции, без НДС</v>
      </c>
      <c r="B405" s="337"/>
      <c r="C405" s="146" t="str">
        <f ca="1">CHOOSE(D404,CurName1,CurName2,CurName3)</f>
        <v>тыс. руб.</v>
      </c>
      <c r="F405" s="57" t="s">
        <v>753</v>
      </c>
      <c r="G405" s="311">
        <v>8000</v>
      </c>
      <c r="H405" s="311">
        <f t="shared" ref="H405:AV405" si="2304">IF(H$2&gt;Prj_Invest,$B405,0)</f>
        <v>0</v>
      </c>
      <c r="I405" s="311">
        <f t="shared" si="2304"/>
        <v>0</v>
      </c>
      <c r="J405" s="311">
        <f t="shared" si="2304"/>
        <v>0</v>
      </c>
      <c r="K405" s="311">
        <v>8000</v>
      </c>
      <c r="L405" s="311">
        <f t="shared" si="2304"/>
        <v>0</v>
      </c>
      <c r="M405" s="311">
        <f t="shared" si="2304"/>
        <v>0</v>
      </c>
      <c r="N405" s="311">
        <f t="shared" si="2304"/>
        <v>0</v>
      </c>
      <c r="O405" s="311">
        <v>8000</v>
      </c>
      <c r="P405" s="311">
        <f t="shared" si="2304"/>
        <v>0</v>
      </c>
      <c r="Q405" s="311">
        <f t="shared" si="2304"/>
        <v>0</v>
      </c>
      <c r="R405" s="311">
        <f t="shared" si="2304"/>
        <v>0</v>
      </c>
      <c r="S405" s="311">
        <v>8000</v>
      </c>
      <c r="T405" s="311">
        <f t="shared" si="2304"/>
        <v>0</v>
      </c>
      <c r="U405" s="311">
        <f t="shared" si="2304"/>
        <v>0</v>
      </c>
      <c r="V405" s="311">
        <f t="shared" si="2304"/>
        <v>0</v>
      </c>
      <c r="W405" s="311">
        <v>8000</v>
      </c>
      <c r="X405" s="311">
        <f t="shared" si="2304"/>
        <v>0</v>
      </c>
      <c r="Y405" s="311">
        <f t="shared" si="2304"/>
        <v>0</v>
      </c>
      <c r="Z405" s="311">
        <f t="shared" si="2304"/>
        <v>0</v>
      </c>
      <c r="AA405" s="311">
        <v>8000</v>
      </c>
      <c r="AB405" s="311">
        <f t="shared" si="2304"/>
        <v>0</v>
      </c>
      <c r="AC405" s="311">
        <f t="shared" si="2304"/>
        <v>0</v>
      </c>
      <c r="AD405" s="311">
        <f t="shared" si="2304"/>
        <v>0</v>
      </c>
      <c r="AE405" s="311">
        <v>8000</v>
      </c>
      <c r="AF405" s="311">
        <f t="shared" si="2304"/>
        <v>0</v>
      </c>
      <c r="AG405" s="311">
        <f t="shared" si="2304"/>
        <v>0</v>
      </c>
      <c r="AH405" s="311">
        <f t="shared" si="2304"/>
        <v>0</v>
      </c>
      <c r="AI405" s="311">
        <v>8000</v>
      </c>
      <c r="AJ405" s="311">
        <f t="shared" si="2304"/>
        <v>0</v>
      </c>
      <c r="AK405" s="311">
        <f t="shared" si="2304"/>
        <v>0</v>
      </c>
      <c r="AL405" s="311">
        <f t="shared" si="2304"/>
        <v>0</v>
      </c>
      <c r="AM405" s="311">
        <v>8000</v>
      </c>
      <c r="AN405" s="311">
        <f t="shared" si="2304"/>
        <v>0</v>
      </c>
      <c r="AO405" s="311">
        <f t="shared" si="2304"/>
        <v>0</v>
      </c>
      <c r="AP405" s="311">
        <f t="shared" si="2304"/>
        <v>0</v>
      </c>
      <c r="AQ405" s="311">
        <v>8000</v>
      </c>
      <c r="AR405" s="311">
        <f t="shared" si="2304"/>
        <v>0</v>
      </c>
      <c r="AS405" s="311">
        <f t="shared" si="2304"/>
        <v>0</v>
      </c>
      <c r="AT405" s="311">
        <f t="shared" si="2304"/>
        <v>0</v>
      </c>
      <c r="AU405" s="311">
        <v>8000</v>
      </c>
      <c r="AV405" s="311">
        <f t="shared" si="2304"/>
        <v>0</v>
      </c>
      <c r="AW405" s="148"/>
      <c r="AX405" s="171">
        <f>SUM(G405:AW405)</f>
        <v>88000</v>
      </c>
    </row>
    <row r="406" spans="1:50" collapsed="1" x14ac:dyDescent="0.2">
      <c r="A406" s="172" t="str">
        <f ca="1">Language!A$623</f>
        <v>затраты на проданный товар, без НДС</v>
      </c>
      <c r="B406" s="188"/>
      <c r="C406" s="146" t="str">
        <f t="shared" ref="C406:C407" ca="1" si="2305">CHOOSE(D406,CurName1,CurName2,CurName3)</f>
        <v>тыс. руб.</v>
      </c>
      <c r="D406" s="155">
        <f>D404</f>
        <v>1</v>
      </c>
      <c r="E406" s="57" t="s">
        <v>992</v>
      </c>
      <c r="F406" s="57" t="s">
        <v>753</v>
      </c>
      <c r="G406" s="148">
        <f ca="1">G405*G422*(1+G421)</f>
        <v>8000</v>
      </c>
      <c r="H406" s="148">
        <f t="shared" ref="H406:AV406" ca="1" si="2306">H405*H422*(1+H421)</f>
        <v>0</v>
      </c>
      <c r="I406" s="148">
        <f t="shared" ca="1" si="2306"/>
        <v>0</v>
      </c>
      <c r="J406" s="148">
        <f t="shared" ca="1" si="2306"/>
        <v>0</v>
      </c>
      <c r="K406" s="148">
        <f t="shared" ca="1" si="2306"/>
        <v>8479.9999999999982</v>
      </c>
      <c r="L406" s="148">
        <f t="shared" ca="1" si="2306"/>
        <v>0</v>
      </c>
      <c r="M406" s="148">
        <f t="shared" ca="1" si="2306"/>
        <v>0</v>
      </c>
      <c r="N406" s="148">
        <f t="shared" ca="1" si="2306"/>
        <v>0</v>
      </c>
      <c r="O406" s="148">
        <f t="shared" ca="1" si="2306"/>
        <v>8988.8000000000011</v>
      </c>
      <c r="P406" s="148">
        <f t="shared" ca="1" si="2306"/>
        <v>0</v>
      </c>
      <c r="Q406" s="148">
        <f t="shared" ca="1" si="2306"/>
        <v>0</v>
      </c>
      <c r="R406" s="148">
        <f t="shared" ca="1" si="2306"/>
        <v>0</v>
      </c>
      <c r="S406" s="148">
        <f t="shared" ca="1" si="2306"/>
        <v>9528.1280000000024</v>
      </c>
      <c r="T406" s="148">
        <f t="shared" ca="1" si="2306"/>
        <v>0</v>
      </c>
      <c r="U406" s="148">
        <f t="shared" ca="1" si="2306"/>
        <v>0</v>
      </c>
      <c r="V406" s="148">
        <f t="shared" ca="1" si="2306"/>
        <v>0</v>
      </c>
      <c r="W406" s="148">
        <f t="shared" ca="1" si="2306"/>
        <v>10099.815680000003</v>
      </c>
      <c r="X406" s="148">
        <f t="shared" ca="1" si="2306"/>
        <v>0</v>
      </c>
      <c r="Y406" s="148">
        <f t="shared" ca="1" si="2306"/>
        <v>0</v>
      </c>
      <c r="Z406" s="148">
        <f t="shared" ca="1" si="2306"/>
        <v>0</v>
      </c>
      <c r="AA406" s="148">
        <f t="shared" ca="1" si="2306"/>
        <v>10705.804620800003</v>
      </c>
      <c r="AB406" s="148">
        <f t="shared" ca="1" si="2306"/>
        <v>0</v>
      </c>
      <c r="AC406" s="148">
        <f t="shared" ca="1" si="2306"/>
        <v>0</v>
      </c>
      <c r="AD406" s="148">
        <f t="shared" ca="1" si="2306"/>
        <v>0</v>
      </c>
      <c r="AE406" s="148">
        <f t="shared" ca="1" si="2306"/>
        <v>11348.152898048005</v>
      </c>
      <c r="AF406" s="148">
        <f t="shared" ca="1" si="2306"/>
        <v>0</v>
      </c>
      <c r="AG406" s="148">
        <f t="shared" ca="1" si="2306"/>
        <v>0</v>
      </c>
      <c r="AH406" s="148">
        <f t="shared" ca="1" si="2306"/>
        <v>0</v>
      </c>
      <c r="AI406" s="148">
        <f t="shared" ca="1" si="2306"/>
        <v>12029.042071930886</v>
      </c>
      <c r="AJ406" s="148">
        <f t="shared" ca="1" si="2306"/>
        <v>0</v>
      </c>
      <c r="AK406" s="148">
        <f t="shared" ca="1" si="2306"/>
        <v>0</v>
      </c>
      <c r="AL406" s="148">
        <f t="shared" ca="1" si="2306"/>
        <v>0</v>
      </c>
      <c r="AM406" s="148">
        <f t="shared" ca="1" si="2306"/>
        <v>12750.784596246742</v>
      </c>
      <c r="AN406" s="148">
        <f t="shared" ca="1" si="2306"/>
        <v>0</v>
      </c>
      <c r="AO406" s="148">
        <f t="shared" ca="1" si="2306"/>
        <v>0</v>
      </c>
      <c r="AP406" s="148">
        <f t="shared" ca="1" si="2306"/>
        <v>0</v>
      </c>
      <c r="AQ406" s="148">
        <f t="shared" ca="1" si="2306"/>
        <v>13515.831672021546</v>
      </c>
      <c r="AR406" s="148">
        <f t="shared" ca="1" si="2306"/>
        <v>0</v>
      </c>
      <c r="AS406" s="148">
        <f t="shared" ca="1" si="2306"/>
        <v>0</v>
      </c>
      <c r="AT406" s="148">
        <f t="shared" ca="1" si="2306"/>
        <v>0</v>
      </c>
      <c r="AU406" s="148">
        <f t="shared" ca="1" si="2306"/>
        <v>14326.781572342839</v>
      </c>
      <c r="AV406" s="148">
        <f t="shared" ca="1" si="2306"/>
        <v>0</v>
      </c>
      <c r="AW406" s="148"/>
      <c r="AX406" s="171">
        <f ca="1">SUM(G406:AW406)</f>
        <v>119773.14111139004</v>
      </c>
    </row>
    <row r="407" spans="1:50" hidden="1" outlineLevel="1" x14ac:dyDescent="0.2">
      <c r="A407" s="179" t="str">
        <f ca="1">Language!A$624</f>
        <v>запасы сырья и материалов</v>
      </c>
      <c r="B407" s="188"/>
      <c r="C407" s="82" t="str">
        <f t="shared" ca="1" si="2305"/>
        <v>тыс. руб.</v>
      </c>
      <c r="D407" s="155">
        <f>D404</f>
        <v>1</v>
      </c>
      <c r="E407" s="57" t="s">
        <v>1012</v>
      </c>
      <c r="F407" s="57" t="s">
        <v>754</v>
      </c>
      <c r="G407" s="319">
        <f ca="1">IF(AND($B408=0,G$2&gt;1),F407,G406*$B408/Параметры!G$30)</f>
        <v>0</v>
      </c>
      <c r="H407" s="319">
        <f ca="1">IF(AND($B408=0,H$2&gt;1),G407,H406*$B408/Параметры!H$30)</f>
        <v>0</v>
      </c>
      <c r="I407" s="319">
        <f ca="1">IF(AND($B408=0,I$2&gt;1),H407,I406*$B408/Параметры!I$30)</f>
        <v>0</v>
      </c>
      <c r="J407" s="319">
        <f ca="1">IF(AND($B408=0,J$2&gt;1),I407,J406*$B408/Параметры!J$30)</f>
        <v>0</v>
      </c>
      <c r="K407" s="319">
        <f ca="1">IF(AND($B408=0,K$2&gt;1),J407,K406*$B408/Параметры!K$30)</f>
        <v>0</v>
      </c>
      <c r="L407" s="319">
        <f ca="1">IF(AND($B408=0,L$2&gt;1),K407,L406*$B408/Параметры!L$30)</f>
        <v>0</v>
      </c>
      <c r="M407" s="319">
        <f ca="1">IF(AND($B408=0,M$2&gt;1),L407,M406*$B408/Параметры!M$30)</f>
        <v>0</v>
      </c>
      <c r="N407" s="319">
        <f ca="1">IF(AND($B408=0,N$2&gt;1),M407,N406*$B408/Параметры!N$30)</f>
        <v>0</v>
      </c>
      <c r="O407" s="319">
        <f ca="1">IF(AND($B408=0,O$2&gt;1),N407,O406*$B408/Параметры!O$30)</f>
        <v>0</v>
      </c>
      <c r="P407" s="319">
        <f ca="1">IF(AND($B408=0,P$2&gt;1),O407,P406*$B408/Параметры!P$30)</f>
        <v>0</v>
      </c>
      <c r="Q407" s="319">
        <f ca="1">IF(AND($B408=0,Q$2&gt;1),P407,Q406*$B408/Параметры!Q$30)</f>
        <v>0</v>
      </c>
      <c r="R407" s="319">
        <f ca="1">IF(AND($B408=0,R$2&gt;1),Q407,R406*$B408/Параметры!R$30)</f>
        <v>0</v>
      </c>
      <c r="S407" s="319">
        <f ca="1">IF(AND($B408=0,S$2&gt;1),R407,S406*$B408/Параметры!S$30)</f>
        <v>0</v>
      </c>
      <c r="T407" s="319">
        <f ca="1">IF(AND($B408=0,T$2&gt;1),S407,T406*$B408/Параметры!T$30)</f>
        <v>0</v>
      </c>
      <c r="U407" s="319">
        <f ca="1">IF(AND($B408=0,U$2&gt;1),T407,U406*$B408/Параметры!U$30)</f>
        <v>0</v>
      </c>
      <c r="V407" s="319">
        <f ca="1">IF(AND($B408=0,V$2&gt;1),U407,V406*$B408/Параметры!V$30)</f>
        <v>0</v>
      </c>
      <c r="W407" s="319">
        <f ca="1">IF(AND($B408=0,W$2&gt;1),V407,W406*$B408/Параметры!W$30)</f>
        <v>0</v>
      </c>
      <c r="X407" s="319">
        <f ca="1">IF(AND($B408=0,X$2&gt;1),W407,X406*$B408/Параметры!X$30)</f>
        <v>0</v>
      </c>
      <c r="Y407" s="319">
        <f ca="1">IF(AND($B408=0,Y$2&gt;1),X407,Y406*$B408/Параметры!Y$30)</f>
        <v>0</v>
      </c>
      <c r="Z407" s="319">
        <f ca="1">IF(AND($B408=0,Z$2&gt;1),Y407,Z406*$B408/Параметры!Z$30)</f>
        <v>0</v>
      </c>
      <c r="AA407" s="319">
        <f ca="1">IF(AND($B408=0,AA$2&gt;1),Z407,AA406*$B408/Параметры!AA$30)</f>
        <v>0</v>
      </c>
      <c r="AB407" s="319">
        <f ca="1">IF(AND($B408=0,AB$2&gt;1),AA407,AB406*$B408/Параметры!AB$30)</f>
        <v>0</v>
      </c>
      <c r="AC407" s="319">
        <f ca="1">IF(AND($B408=0,AC$2&gt;1),AB407,AC406*$B408/Параметры!AC$30)</f>
        <v>0</v>
      </c>
      <c r="AD407" s="319">
        <f ca="1">IF(AND($B408=0,AD$2&gt;1),AC407,AD406*$B408/Параметры!AD$30)</f>
        <v>0</v>
      </c>
      <c r="AE407" s="319">
        <f ca="1">IF(AND($B408=0,AE$2&gt;1),AD407,AE406*$B408/Параметры!AE$30)</f>
        <v>0</v>
      </c>
      <c r="AF407" s="319">
        <f ca="1">IF(AND($B408=0,AF$2&gt;1),AE407,AF406*$B408/Параметры!AF$30)</f>
        <v>0</v>
      </c>
      <c r="AG407" s="319">
        <f ca="1">IF(AND($B408=0,AG$2&gt;1),AF407,AG406*$B408/Параметры!AG$30)</f>
        <v>0</v>
      </c>
      <c r="AH407" s="319">
        <f ca="1">IF(AND($B408=0,AH$2&gt;1),AG407,AH406*$B408/Параметры!AH$30)</f>
        <v>0</v>
      </c>
      <c r="AI407" s="319">
        <f ca="1">IF(AND($B408=0,AI$2&gt;1),AH407,AI406*$B408/Параметры!AI$30)</f>
        <v>0</v>
      </c>
      <c r="AJ407" s="319">
        <f ca="1">IF(AND($B408=0,AJ$2&gt;1),AI407,AJ406*$B408/Параметры!AJ$30)</f>
        <v>0</v>
      </c>
      <c r="AK407" s="319">
        <f ca="1">IF(AND($B408=0,AK$2&gt;1),AJ407,AK406*$B408/Параметры!AK$30)</f>
        <v>0</v>
      </c>
      <c r="AL407" s="319">
        <f ca="1">IF(AND($B408=0,AL$2&gt;1),AK407,AL406*$B408/Параметры!AL$30)</f>
        <v>0</v>
      </c>
      <c r="AM407" s="319">
        <f ca="1">IF(AND($B408=0,AM$2&gt;1),AL407,AM406*$B408/Параметры!AM$30)</f>
        <v>0</v>
      </c>
      <c r="AN407" s="319">
        <f ca="1">IF(AND($B408=0,AN$2&gt;1),AM407,AN406*$B408/Параметры!AN$30)</f>
        <v>0</v>
      </c>
      <c r="AO407" s="319">
        <f ca="1">IF(AND($B408=0,AO$2&gt;1),AN407,AO406*$B408/Параметры!AO$30)</f>
        <v>0</v>
      </c>
      <c r="AP407" s="319">
        <f ca="1">IF(AND($B408=0,AP$2&gt;1),AO407,AP406*$B408/Параметры!AP$30)</f>
        <v>0</v>
      </c>
      <c r="AQ407" s="319">
        <f ca="1">IF(AND($B408=0,AQ$2&gt;1),AP407,AQ406*$B408/Параметры!AQ$30)</f>
        <v>0</v>
      </c>
      <c r="AR407" s="319">
        <f ca="1">IF(AND($B408=0,AR$2&gt;1),AQ407,AR406*$B408/Параметры!AR$30)</f>
        <v>0</v>
      </c>
      <c r="AS407" s="319">
        <f ca="1">IF(AND($B408=0,AS$2&gt;1),AR407,AS406*$B408/Параметры!AS$30)</f>
        <v>0</v>
      </c>
      <c r="AT407" s="319">
        <f ca="1">IF(AND($B408=0,AT$2&gt;1),AS407,AT406*$B408/Параметры!AT$30)</f>
        <v>0</v>
      </c>
      <c r="AU407" s="319">
        <f ca="1">IF(AND($B408=0,AU$2&gt;1),AT407,AU406*$B408/Параметры!AU$30)</f>
        <v>0</v>
      </c>
      <c r="AV407" s="319">
        <f ca="1">IF(AND($B408=0,AV$2&gt;1),AU407,AV406*$B408/Параметры!AV$30)</f>
        <v>0</v>
      </c>
      <c r="AW407" s="45"/>
      <c r="AX407" s="171"/>
    </row>
    <row r="408" spans="1:50" hidden="1" outlineLevel="1" x14ac:dyDescent="0.2">
      <c r="A408" s="181" t="str">
        <f ca="1">Language!A$625</f>
        <v>периодичность закупки</v>
      </c>
      <c r="B408" s="320">
        <f>$B$630</f>
        <v>0</v>
      </c>
      <c r="C408" s="152" t="str">
        <f ca="1">Language!$A$1446</f>
        <v>дней</v>
      </c>
      <c r="D408" s="155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71"/>
    </row>
    <row r="409" spans="1:50" hidden="1" outlineLevel="1" x14ac:dyDescent="0.2">
      <c r="A409" s="179" t="str">
        <f ca="1">Language!A$626</f>
        <v>затраты в запасах готовой продукции</v>
      </c>
      <c r="B409" s="188"/>
      <c r="C409" s="82" t="str">
        <f t="shared" ref="C409" ca="1" si="2307">CHOOSE(D409,CurName1,CurName2,CurName3)</f>
        <v>тыс. руб.</v>
      </c>
      <c r="D409" s="155">
        <f>D404</f>
        <v>1</v>
      </c>
      <c r="E409" s="57" t="s">
        <v>1013</v>
      </c>
      <c r="F409" s="57" t="s">
        <v>754</v>
      </c>
      <c r="G409" s="319">
        <f ca="1">IF(AND($B410=0,G$2&gt;1),F409,G406*$B410/Параметры!G$30)</f>
        <v>0</v>
      </c>
      <c r="H409" s="319">
        <f ca="1">IF(AND($B410=0,H$2&gt;1),G409,H406*$B410/Параметры!H$30)</f>
        <v>0</v>
      </c>
      <c r="I409" s="319">
        <f ca="1">IF(AND($B410=0,I$2&gt;1),H409,I406*$B410/Параметры!I$30)</f>
        <v>0</v>
      </c>
      <c r="J409" s="319">
        <f ca="1">IF(AND($B410=0,J$2&gt;1),I409,J406*$B410/Параметры!J$30)</f>
        <v>0</v>
      </c>
      <c r="K409" s="319">
        <f ca="1">IF(AND($B410=0,K$2&gt;1),J409,K406*$B410/Параметры!K$30)</f>
        <v>0</v>
      </c>
      <c r="L409" s="319">
        <f ca="1">IF(AND($B410=0,L$2&gt;1),K409,L406*$B410/Параметры!L$30)</f>
        <v>0</v>
      </c>
      <c r="M409" s="319">
        <f ca="1">IF(AND($B410=0,M$2&gt;1),L409,M406*$B410/Параметры!M$30)</f>
        <v>0</v>
      </c>
      <c r="N409" s="319">
        <f ca="1">IF(AND($B410=0,N$2&gt;1),M409,N406*$B410/Параметры!N$30)</f>
        <v>0</v>
      </c>
      <c r="O409" s="319">
        <f ca="1">IF(AND($B410=0,O$2&gt;1),N409,O406*$B410/Параметры!O$30)</f>
        <v>0</v>
      </c>
      <c r="P409" s="319">
        <f ca="1">IF(AND($B410=0,P$2&gt;1),O409,P406*$B410/Параметры!P$30)</f>
        <v>0</v>
      </c>
      <c r="Q409" s="319">
        <f ca="1">IF(AND($B410=0,Q$2&gt;1),P409,Q406*$B410/Параметры!Q$30)</f>
        <v>0</v>
      </c>
      <c r="R409" s="319">
        <f ca="1">IF(AND($B410=0,R$2&gt;1),Q409,R406*$B410/Параметры!R$30)</f>
        <v>0</v>
      </c>
      <c r="S409" s="319">
        <f ca="1">IF(AND($B410=0,S$2&gt;1),R409,S406*$B410/Параметры!S$30)</f>
        <v>0</v>
      </c>
      <c r="T409" s="319">
        <f ca="1">IF(AND($B410=0,T$2&gt;1),S409,T406*$B410/Параметры!T$30)</f>
        <v>0</v>
      </c>
      <c r="U409" s="319">
        <f ca="1">IF(AND($B410=0,U$2&gt;1),T409,U406*$B410/Параметры!U$30)</f>
        <v>0</v>
      </c>
      <c r="V409" s="319">
        <f ca="1">IF(AND($B410=0,V$2&gt;1),U409,V406*$B410/Параметры!V$30)</f>
        <v>0</v>
      </c>
      <c r="W409" s="319">
        <f ca="1">IF(AND($B410=0,W$2&gt;1),V409,W406*$B410/Параметры!W$30)</f>
        <v>0</v>
      </c>
      <c r="X409" s="319">
        <f ca="1">IF(AND($B410=0,X$2&gt;1),W409,X406*$B410/Параметры!X$30)</f>
        <v>0</v>
      </c>
      <c r="Y409" s="319">
        <f ca="1">IF(AND($B410=0,Y$2&gt;1),X409,Y406*$B410/Параметры!Y$30)</f>
        <v>0</v>
      </c>
      <c r="Z409" s="319">
        <f ca="1">IF(AND($B410=0,Z$2&gt;1),Y409,Z406*$B410/Параметры!Z$30)</f>
        <v>0</v>
      </c>
      <c r="AA409" s="319">
        <f ca="1">IF(AND($B410=0,AA$2&gt;1),Z409,AA406*$B410/Параметры!AA$30)</f>
        <v>0</v>
      </c>
      <c r="AB409" s="319">
        <f ca="1">IF(AND($B410=0,AB$2&gt;1),AA409,AB406*$B410/Параметры!AB$30)</f>
        <v>0</v>
      </c>
      <c r="AC409" s="319">
        <f ca="1">IF(AND($B410=0,AC$2&gt;1),AB409,AC406*$B410/Параметры!AC$30)</f>
        <v>0</v>
      </c>
      <c r="AD409" s="319">
        <f ca="1">IF(AND($B410=0,AD$2&gt;1),AC409,AD406*$B410/Параметры!AD$30)</f>
        <v>0</v>
      </c>
      <c r="AE409" s="319">
        <f ca="1">IF(AND($B410=0,AE$2&gt;1),AD409,AE406*$B410/Параметры!AE$30)</f>
        <v>0</v>
      </c>
      <c r="AF409" s="319">
        <f ca="1">IF(AND($B410=0,AF$2&gt;1),AE409,AF406*$B410/Параметры!AF$30)</f>
        <v>0</v>
      </c>
      <c r="AG409" s="319">
        <f ca="1">IF(AND($B410=0,AG$2&gt;1),AF409,AG406*$B410/Параметры!AG$30)</f>
        <v>0</v>
      </c>
      <c r="AH409" s="319">
        <f ca="1">IF(AND($B410=0,AH$2&gt;1),AG409,AH406*$B410/Параметры!AH$30)</f>
        <v>0</v>
      </c>
      <c r="AI409" s="319">
        <f ca="1">IF(AND($B410=0,AI$2&gt;1),AH409,AI406*$B410/Параметры!AI$30)</f>
        <v>0</v>
      </c>
      <c r="AJ409" s="319">
        <f ca="1">IF(AND($B410=0,AJ$2&gt;1),AI409,AJ406*$B410/Параметры!AJ$30)</f>
        <v>0</v>
      </c>
      <c r="AK409" s="319">
        <f ca="1">IF(AND($B410=0,AK$2&gt;1),AJ409,AK406*$B410/Параметры!AK$30)</f>
        <v>0</v>
      </c>
      <c r="AL409" s="319">
        <f ca="1">IF(AND($B410=0,AL$2&gt;1),AK409,AL406*$B410/Параметры!AL$30)</f>
        <v>0</v>
      </c>
      <c r="AM409" s="319">
        <f ca="1">IF(AND($B410=0,AM$2&gt;1),AL409,AM406*$B410/Параметры!AM$30)</f>
        <v>0</v>
      </c>
      <c r="AN409" s="319">
        <f ca="1">IF(AND($B410=0,AN$2&gt;1),AM409,AN406*$B410/Параметры!AN$30)</f>
        <v>0</v>
      </c>
      <c r="AO409" s="319">
        <f ca="1">IF(AND($B410=0,AO$2&gt;1),AN409,AO406*$B410/Параметры!AO$30)</f>
        <v>0</v>
      </c>
      <c r="AP409" s="319">
        <f ca="1">IF(AND($B410=0,AP$2&gt;1),AO409,AP406*$B410/Параметры!AP$30)</f>
        <v>0</v>
      </c>
      <c r="AQ409" s="319">
        <f ca="1">IF(AND($B410=0,AQ$2&gt;1),AP409,AQ406*$B410/Параметры!AQ$30)</f>
        <v>0</v>
      </c>
      <c r="AR409" s="319">
        <f ca="1">IF(AND($B410=0,AR$2&gt;1),AQ409,AR406*$B410/Параметры!AR$30)</f>
        <v>0</v>
      </c>
      <c r="AS409" s="319">
        <f ca="1">IF(AND($B410=0,AS$2&gt;1),AR409,AS406*$B410/Параметры!AS$30)</f>
        <v>0</v>
      </c>
      <c r="AT409" s="319">
        <f ca="1">IF(AND($B410=0,AT$2&gt;1),AS409,AT406*$B410/Параметры!AT$30)</f>
        <v>0</v>
      </c>
      <c r="AU409" s="319">
        <f ca="1">IF(AND($B410=0,AU$2&gt;1),AT409,AU406*$B410/Параметры!AU$30)</f>
        <v>0</v>
      </c>
      <c r="AV409" s="319">
        <f ca="1">IF(AND($B410=0,AV$2&gt;1),AU409,AV406*$B410/Параметры!AV$30)</f>
        <v>0</v>
      </c>
      <c r="AW409" s="180"/>
      <c r="AX409" s="189"/>
    </row>
    <row r="410" spans="1:50" hidden="1" outlineLevel="1" x14ac:dyDescent="0.2">
      <c r="A410" s="181" t="str">
        <f ca="1">Language!A$627</f>
        <v>периодичность отгрузки</v>
      </c>
      <c r="B410" s="320">
        <f>$B$642</f>
        <v>0</v>
      </c>
      <c r="C410" s="152" t="str">
        <f ca="1">Language!$A$1446</f>
        <v>дней</v>
      </c>
      <c r="D410" s="155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71"/>
    </row>
    <row r="411" spans="1:50" hidden="1" outlineLevel="1" x14ac:dyDescent="0.2">
      <c r="A411" s="179" t="str">
        <f ca="1">Language!A$628</f>
        <v>затраты в незавершенном производстве</v>
      </c>
      <c r="B411" s="188"/>
      <c r="C411" s="82" t="str">
        <f t="shared" ref="C411" ca="1" si="2308">CHOOSE(D411,CurName1,CurName2,CurName3)</f>
        <v>тыс. руб.</v>
      </c>
      <c r="D411" s="155">
        <f>D404</f>
        <v>1</v>
      </c>
      <c r="E411" s="57" t="s">
        <v>760</v>
      </c>
      <c r="F411" s="57" t="s">
        <v>754</v>
      </c>
      <c r="G411" s="319">
        <f ca="1">IF(AND($B412=0,G$2&gt;1),F411,G406*$B412/Параметры!G$30)</f>
        <v>0</v>
      </c>
      <c r="H411" s="319">
        <f ca="1">IF(AND($B412=0,H$2&gt;1),G411,H406*$B412/Параметры!H$30)</f>
        <v>0</v>
      </c>
      <c r="I411" s="319">
        <f ca="1">IF(AND($B412=0,I$2&gt;1),H411,I406*$B412/Параметры!I$30)</f>
        <v>0</v>
      </c>
      <c r="J411" s="319">
        <f ca="1">IF(AND($B412=0,J$2&gt;1),I411,J406*$B412/Параметры!J$30)</f>
        <v>0</v>
      </c>
      <c r="K411" s="319">
        <f ca="1">IF(AND($B412=0,K$2&gt;1),J411,K406*$B412/Параметры!K$30)</f>
        <v>0</v>
      </c>
      <c r="L411" s="319">
        <f ca="1">IF(AND($B412=0,L$2&gt;1),K411,L406*$B412/Параметры!L$30)</f>
        <v>0</v>
      </c>
      <c r="M411" s="319">
        <f ca="1">IF(AND($B412=0,M$2&gt;1),L411,M406*$B412/Параметры!M$30)</f>
        <v>0</v>
      </c>
      <c r="N411" s="319">
        <f ca="1">IF(AND($B412=0,N$2&gt;1),M411,N406*$B412/Параметры!N$30)</f>
        <v>0</v>
      </c>
      <c r="O411" s="319">
        <f ca="1">IF(AND($B412=0,O$2&gt;1),N411,O406*$B412/Параметры!O$30)</f>
        <v>0</v>
      </c>
      <c r="P411" s="319">
        <f ca="1">IF(AND($B412=0,P$2&gt;1),O411,P406*$B412/Параметры!P$30)</f>
        <v>0</v>
      </c>
      <c r="Q411" s="319">
        <f ca="1">IF(AND($B412=0,Q$2&gt;1),P411,Q406*$B412/Параметры!Q$30)</f>
        <v>0</v>
      </c>
      <c r="R411" s="319">
        <f ca="1">IF(AND($B412=0,R$2&gt;1),Q411,R406*$B412/Параметры!R$30)</f>
        <v>0</v>
      </c>
      <c r="S411" s="319">
        <f ca="1">IF(AND($B412=0,S$2&gt;1),R411,S406*$B412/Параметры!S$30)</f>
        <v>0</v>
      </c>
      <c r="T411" s="319">
        <f ca="1">IF(AND($B412=0,T$2&gt;1),S411,T406*$B412/Параметры!T$30)</f>
        <v>0</v>
      </c>
      <c r="U411" s="319">
        <f ca="1">IF(AND($B412=0,U$2&gt;1),T411,U406*$B412/Параметры!U$30)</f>
        <v>0</v>
      </c>
      <c r="V411" s="319">
        <f ca="1">IF(AND($B412=0,V$2&gt;1),U411,V406*$B412/Параметры!V$30)</f>
        <v>0</v>
      </c>
      <c r="W411" s="319">
        <f ca="1">IF(AND($B412=0,W$2&gt;1),V411,W406*$B412/Параметры!W$30)</f>
        <v>0</v>
      </c>
      <c r="X411" s="319">
        <f ca="1">IF(AND($B412=0,X$2&gt;1),W411,X406*$B412/Параметры!X$30)</f>
        <v>0</v>
      </c>
      <c r="Y411" s="319">
        <f ca="1">IF(AND($B412=0,Y$2&gt;1),X411,Y406*$B412/Параметры!Y$30)</f>
        <v>0</v>
      </c>
      <c r="Z411" s="319">
        <f ca="1">IF(AND($B412=0,Z$2&gt;1),Y411,Z406*$B412/Параметры!Z$30)</f>
        <v>0</v>
      </c>
      <c r="AA411" s="319">
        <f ca="1">IF(AND($B412=0,AA$2&gt;1),Z411,AA406*$B412/Параметры!AA$30)</f>
        <v>0</v>
      </c>
      <c r="AB411" s="319">
        <f ca="1">IF(AND($B412=0,AB$2&gt;1),AA411,AB406*$B412/Параметры!AB$30)</f>
        <v>0</v>
      </c>
      <c r="AC411" s="319">
        <f ca="1">IF(AND($B412=0,AC$2&gt;1),AB411,AC406*$B412/Параметры!AC$30)</f>
        <v>0</v>
      </c>
      <c r="AD411" s="319">
        <f ca="1">IF(AND($B412=0,AD$2&gt;1),AC411,AD406*$B412/Параметры!AD$30)</f>
        <v>0</v>
      </c>
      <c r="AE411" s="319">
        <f ca="1">IF(AND($B412=0,AE$2&gt;1),AD411,AE406*$B412/Параметры!AE$30)</f>
        <v>0</v>
      </c>
      <c r="AF411" s="319">
        <f ca="1">IF(AND($B412=0,AF$2&gt;1),AE411,AF406*$B412/Параметры!AF$30)</f>
        <v>0</v>
      </c>
      <c r="AG411" s="319">
        <f ca="1">IF(AND($B412=0,AG$2&gt;1),AF411,AG406*$B412/Параметры!AG$30)</f>
        <v>0</v>
      </c>
      <c r="AH411" s="319">
        <f ca="1">IF(AND($B412=0,AH$2&gt;1),AG411,AH406*$B412/Параметры!AH$30)</f>
        <v>0</v>
      </c>
      <c r="AI411" s="319">
        <f ca="1">IF(AND($B412=0,AI$2&gt;1),AH411,AI406*$B412/Параметры!AI$30)</f>
        <v>0</v>
      </c>
      <c r="AJ411" s="319">
        <f ca="1">IF(AND($B412=0,AJ$2&gt;1),AI411,AJ406*$B412/Параметры!AJ$30)</f>
        <v>0</v>
      </c>
      <c r="AK411" s="319">
        <f ca="1">IF(AND($B412=0,AK$2&gt;1),AJ411,AK406*$B412/Параметры!AK$30)</f>
        <v>0</v>
      </c>
      <c r="AL411" s="319">
        <f ca="1">IF(AND($B412=0,AL$2&gt;1),AK411,AL406*$B412/Параметры!AL$30)</f>
        <v>0</v>
      </c>
      <c r="AM411" s="319">
        <f ca="1">IF(AND($B412=0,AM$2&gt;1),AL411,AM406*$B412/Параметры!AM$30)</f>
        <v>0</v>
      </c>
      <c r="AN411" s="319">
        <f ca="1">IF(AND($B412=0,AN$2&gt;1),AM411,AN406*$B412/Параметры!AN$30)</f>
        <v>0</v>
      </c>
      <c r="AO411" s="319">
        <f ca="1">IF(AND($B412=0,AO$2&gt;1),AN411,AO406*$B412/Параметры!AO$30)</f>
        <v>0</v>
      </c>
      <c r="AP411" s="319">
        <f ca="1">IF(AND($B412=0,AP$2&gt;1),AO411,AP406*$B412/Параметры!AP$30)</f>
        <v>0</v>
      </c>
      <c r="AQ411" s="319">
        <f ca="1">IF(AND($B412=0,AQ$2&gt;1),AP411,AQ406*$B412/Параметры!AQ$30)</f>
        <v>0</v>
      </c>
      <c r="AR411" s="319">
        <f ca="1">IF(AND($B412=0,AR$2&gt;1),AQ411,AR406*$B412/Параметры!AR$30)</f>
        <v>0</v>
      </c>
      <c r="AS411" s="319">
        <f ca="1">IF(AND($B412=0,AS$2&gt;1),AR411,AS406*$B412/Параметры!AS$30)</f>
        <v>0</v>
      </c>
      <c r="AT411" s="319">
        <f ca="1">IF(AND($B412=0,AT$2&gt;1),AS411,AT406*$B412/Параметры!AT$30)</f>
        <v>0</v>
      </c>
      <c r="AU411" s="319">
        <f ca="1">IF(AND($B412=0,AU$2&gt;1),AT411,AU406*$B412/Параметры!AU$30)</f>
        <v>0</v>
      </c>
      <c r="AV411" s="319">
        <f ca="1">IF(AND($B412=0,AV$2&gt;1),AU411,AV406*$B412/Параметры!AV$30)</f>
        <v>0</v>
      </c>
      <c r="AW411" s="180"/>
      <c r="AX411" s="189"/>
    </row>
    <row r="412" spans="1:50" hidden="1" outlineLevel="1" x14ac:dyDescent="0.2">
      <c r="A412" s="181" t="str">
        <f ca="1">Language!A$629</f>
        <v>длительность производственного цикла</v>
      </c>
      <c r="B412" s="320">
        <f>$B$636</f>
        <v>0</v>
      </c>
      <c r="C412" s="152" t="str">
        <f ca="1">Language!$A$1446</f>
        <v>дней</v>
      </c>
      <c r="D412" s="155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71"/>
    </row>
    <row r="413" spans="1:50" hidden="1" outlineLevel="1" x14ac:dyDescent="0.2">
      <c r="A413" s="179" t="str">
        <f ca="1">Language!A$630</f>
        <v>общий расход за период, без НДС</v>
      </c>
      <c r="B413" s="188"/>
      <c r="C413" s="82" t="str">
        <f t="shared" ref="C413" ca="1" si="2309">CHOOSE(D413,CurName1,CurName2,CurName3)</f>
        <v>тыс. руб.</v>
      </c>
      <c r="D413" s="155">
        <f>D404</f>
        <v>1</v>
      </c>
      <c r="F413" s="57" t="s">
        <v>753</v>
      </c>
      <c r="G413" s="190">
        <f t="shared" ref="G413" ca="1" si="2310">G406+IF(G$2=1,G407+G409+G411,G407+G409+G411-F407-F409-F411)</f>
        <v>8000</v>
      </c>
      <c r="H413" s="190">
        <f t="shared" ref="H413" ca="1" si="2311">H406+IF(H$2=1,H407+H409+H411,H407+H409+H411-G407-G409-G411)</f>
        <v>0</v>
      </c>
      <c r="I413" s="190">
        <f t="shared" ref="I413" ca="1" si="2312">I406+IF(I$2=1,I407+I409+I411,I407+I409+I411-H407-H409-H411)</f>
        <v>0</v>
      </c>
      <c r="J413" s="190">
        <f t="shared" ref="J413" ca="1" si="2313">J406+IF(J$2=1,J407+J409+J411,J407+J409+J411-I407-I409-I411)</f>
        <v>0</v>
      </c>
      <c r="K413" s="190">
        <f t="shared" ref="K413" ca="1" si="2314">K406+IF(K$2=1,K407+K409+K411,K407+K409+K411-J407-J409-J411)</f>
        <v>8479.9999999999982</v>
      </c>
      <c r="L413" s="190">
        <f t="shared" ref="L413" ca="1" si="2315">L406+IF(L$2=1,L407+L409+L411,L407+L409+L411-K407-K409-K411)</f>
        <v>0</v>
      </c>
      <c r="M413" s="190">
        <f t="shared" ref="M413" ca="1" si="2316">M406+IF(M$2=1,M407+M409+M411,M407+M409+M411-L407-L409-L411)</f>
        <v>0</v>
      </c>
      <c r="N413" s="190">
        <f t="shared" ref="N413" ca="1" si="2317">N406+IF(N$2=1,N407+N409+N411,N407+N409+N411-M407-M409-M411)</f>
        <v>0</v>
      </c>
      <c r="O413" s="190">
        <f t="shared" ref="O413" ca="1" si="2318">O406+IF(O$2=1,O407+O409+O411,O407+O409+O411-N407-N409-N411)</f>
        <v>8988.8000000000011</v>
      </c>
      <c r="P413" s="190">
        <f t="shared" ref="P413" ca="1" si="2319">P406+IF(P$2=1,P407+P409+P411,P407+P409+P411-O407-O409-O411)</f>
        <v>0</v>
      </c>
      <c r="Q413" s="190">
        <f t="shared" ref="Q413" ca="1" si="2320">Q406+IF(Q$2=1,Q407+Q409+Q411,Q407+Q409+Q411-P407-P409-P411)</f>
        <v>0</v>
      </c>
      <c r="R413" s="190">
        <f t="shared" ref="R413" ca="1" si="2321">R406+IF(R$2=1,R407+R409+R411,R407+R409+R411-Q407-Q409-Q411)</f>
        <v>0</v>
      </c>
      <c r="S413" s="190">
        <f t="shared" ref="S413" ca="1" si="2322">S406+IF(S$2=1,S407+S409+S411,S407+S409+S411-R407-R409-R411)</f>
        <v>9528.1280000000024</v>
      </c>
      <c r="T413" s="190">
        <f t="shared" ref="T413" ca="1" si="2323">T406+IF(T$2=1,T407+T409+T411,T407+T409+T411-S407-S409-S411)</f>
        <v>0</v>
      </c>
      <c r="U413" s="190">
        <f t="shared" ref="U413" ca="1" si="2324">U406+IF(U$2=1,U407+U409+U411,U407+U409+U411-T407-T409-T411)</f>
        <v>0</v>
      </c>
      <c r="V413" s="190">
        <f t="shared" ref="V413" ca="1" si="2325">V406+IF(V$2=1,V407+V409+V411,V407+V409+V411-U407-U409-U411)</f>
        <v>0</v>
      </c>
      <c r="W413" s="190">
        <f t="shared" ref="W413" ca="1" si="2326">W406+IF(W$2=1,W407+W409+W411,W407+W409+W411-V407-V409-V411)</f>
        <v>10099.815680000003</v>
      </c>
      <c r="X413" s="190">
        <f t="shared" ref="X413" ca="1" si="2327">X406+IF(X$2=1,X407+X409+X411,X407+X409+X411-W407-W409-W411)</f>
        <v>0</v>
      </c>
      <c r="Y413" s="190">
        <f t="shared" ref="Y413" ca="1" si="2328">Y406+IF(Y$2=1,Y407+Y409+Y411,Y407+Y409+Y411-X407-X409-X411)</f>
        <v>0</v>
      </c>
      <c r="Z413" s="190">
        <f t="shared" ref="Z413" ca="1" si="2329">Z406+IF(Z$2=1,Z407+Z409+Z411,Z407+Z409+Z411-Y407-Y409-Y411)</f>
        <v>0</v>
      </c>
      <c r="AA413" s="190">
        <f t="shared" ref="AA413" ca="1" si="2330">AA406+IF(AA$2=1,AA407+AA409+AA411,AA407+AA409+AA411-Z407-Z409-Z411)</f>
        <v>10705.804620800003</v>
      </c>
      <c r="AB413" s="190">
        <f t="shared" ref="AB413" ca="1" si="2331">AB406+IF(AB$2=1,AB407+AB409+AB411,AB407+AB409+AB411-AA407-AA409-AA411)</f>
        <v>0</v>
      </c>
      <c r="AC413" s="190">
        <f t="shared" ref="AC413" ca="1" si="2332">AC406+IF(AC$2=1,AC407+AC409+AC411,AC407+AC409+AC411-AB407-AB409-AB411)</f>
        <v>0</v>
      </c>
      <c r="AD413" s="190">
        <f t="shared" ref="AD413" ca="1" si="2333">AD406+IF(AD$2=1,AD407+AD409+AD411,AD407+AD409+AD411-AC407-AC409-AC411)</f>
        <v>0</v>
      </c>
      <c r="AE413" s="190">
        <f t="shared" ref="AE413" ca="1" si="2334">AE406+IF(AE$2=1,AE407+AE409+AE411,AE407+AE409+AE411-AD407-AD409-AD411)</f>
        <v>11348.152898048005</v>
      </c>
      <c r="AF413" s="190">
        <f t="shared" ref="AF413" ca="1" si="2335">AF406+IF(AF$2=1,AF407+AF409+AF411,AF407+AF409+AF411-AE407-AE409-AE411)</f>
        <v>0</v>
      </c>
      <c r="AG413" s="190">
        <f t="shared" ref="AG413" ca="1" si="2336">AG406+IF(AG$2=1,AG407+AG409+AG411,AG407+AG409+AG411-AF407-AF409-AF411)</f>
        <v>0</v>
      </c>
      <c r="AH413" s="190">
        <f t="shared" ref="AH413" ca="1" si="2337">AH406+IF(AH$2=1,AH407+AH409+AH411,AH407+AH409+AH411-AG407-AG409-AG411)</f>
        <v>0</v>
      </c>
      <c r="AI413" s="190">
        <f t="shared" ref="AI413" ca="1" si="2338">AI406+IF(AI$2=1,AI407+AI409+AI411,AI407+AI409+AI411-AH407-AH409-AH411)</f>
        <v>12029.042071930886</v>
      </c>
      <c r="AJ413" s="190">
        <f t="shared" ref="AJ413" ca="1" si="2339">AJ406+IF(AJ$2=1,AJ407+AJ409+AJ411,AJ407+AJ409+AJ411-AI407-AI409-AI411)</f>
        <v>0</v>
      </c>
      <c r="AK413" s="190">
        <f t="shared" ref="AK413" ca="1" si="2340">AK406+IF(AK$2=1,AK407+AK409+AK411,AK407+AK409+AK411-AJ407-AJ409-AJ411)</f>
        <v>0</v>
      </c>
      <c r="AL413" s="190">
        <f t="shared" ref="AL413" ca="1" si="2341">AL406+IF(AL$2=1,AL407+AL409+AL411,AL407+AL409+AL411-AK407-AK409-AK411)</f>
        <v>0</v>
      </c>
      <c r="AM413" s="190">
        <f t="shared" ref="AM413" ca="1" si="2342">AM406+IF(AM$2=1,AM407+AM409+AM411,AM407+AM409+AM411-AL407-AL409-AL411)</f>
        <v>12750.784596246742</v>
      </c>
      <c r="AN413" s="190">
        <f t="shared" ref="AN413" ca="1" si="2343">AN406+IF(AN$2=1,AN407+AN409+AN411,AN407+AN409+AN411-AM407-AM409-AM411)</f>
        <v>0</v>
      </c>
      <c r="AO413" s="190">
        <f t="shared" ref="AO413" ca="1" si="2344">AO406+IF(AO$2=1,AO407+AO409+AO411,AO407+AO409+AO411-AN407-AN409-AN411)</f>
        <v>0</v>
      </c>
      <c r="AP413" s="190">
        <f t="shared" ref="AP413" ca="1" si="2345">AP406+IF(AP$2=1,AP407+AP409+AP411,AP407+AP409+AP411-AO407-AO409-AO411)</f>
        <v>0</v>
      </c>
      <c r="AQ413" s="190">
        <f t="shared" ref="AQ413" ca="1" si="2346">AQ406+IF(AQ$2=1,AQ407+AQ409+AQ411,AQ407+AQ409+AQ411-AP407-AP409-AP411)</f>
        <v>13515.831672021546</v>
      </c>
      <c r="AR413" s="190">
        <f t="shared" ref="AR413" ca="1" si="2347">AR406+IF(AR$2=1,AR407+AR409+AR411,AR407+AR409+AR411-AQ407-AQ409-AQ411)</f>
        <v>0</v>
      </c>
      <c r="AS413" s="190">
        <f t="shared" ref="AS413" ca="1" si="2348">AS406+IF(AS$2=1,AS407+AS409+AS411,AS407+AS409+AS411-AR407-AR409-AR411)</f>
        <v>0</v>
      </c>
      <c r="AT413" s="190">
        <f t="shared" ref="AT413" ca="1" si="2349">AT406+IF(AT$2=1,AT407+AT409+AT411,AT407+AT409+AT411-AS407-AS409-AS411)</f>
        <v>0</v>
      </c>
      <c r="AU413" s="190">
        <f t="shared" ref="AU413" ca="1" si="2350">AU406+IF(AU$2=1,AU407+AU409+AU411,AU407+AU409+AU411-AT407-AT409-AT411)</f>
        <v>14326.781572342839</v>
      </c>
      <c r="AV413" s="190">
        <f t="shared" ref="AV413" ca="1" si="2351">AV406+IF(AV$2=1,AV407+AV409+AV411,AV407+AV409+AV411-AU407-AU409-AU411)</f>
        <v>0</v>
      </c>
      <c r="AW413" s="190"/>
      <c r="AX413" s="189">
        <f ca="1">SUM(G413:AW413)</f>
        <v>119773.14111139004</v>
      </c>
    </row>
    <row r="414" spans="1:50" hidden="1" outlineLevel="1" x14ac:dyDescent="0.2">
      <c r="A414" s="179" t="str">
        <f ca="1">Language!A$631</f>
        <v>кредиторская задолженность</v>
      </c>
      <c r="B414" s="188"/>
      <c r="C414" s="82" t="str">
        <f ca="1">CHOOSE(D414,CurName1,CurName2,CurName3)</f>
        <v>тыс. руб.</v>
      </c>
      <c r="D414" s="155">
        <f>D404</f>
        <v>1</v>
      </c>
      <c r="E414" s="57" t="s">
        <v>1014</v>
      </c>
      <c r="F414" s="57" t="s">
        <v>754</v>
      </c>
      <c r="G414" s="316">
        <f ca="1">IF(AND($B415=0,G$2&gt;1),F414,(G413+G424)*$B415/Параметры!G$30)</f>
        <v>0</v>
      </c>
      <c r="H414" s="316">
        <f ca="1">IF(AND($B415=0,H$2&gt;1),G414,(H413+H424)*$B415/Параметры!H$30)</f>
        <v>0</v>
      </c>
      <c r="I414" s="316">
        <f ca="1">IF(AND($B415=0,I$2&gt;1),H414,(I413+I424)*$B415/Параметры!I$30)</f>
        <v>0</v>
      </c>
      <c r="J414" s="316">
        <f ca="1">IF(AND($B415=0,J$2&gt;1),I414,(J413+J424)*$B415/Параметры!J$30)</f>
        <v>0</v>
      </c>
      <c r="K414" s="316">
        <f ca="1">IF(AND($B415=0,K$2&gt;1),J414,(K413+K424)*$B415/Параметры!K$30)</f>
        <v>0</v>
      </c>
      <c r="L414" s="316">
        <f ca="1">IF(AND($B415=0,L$2&gt;1),K414,(L413+L424)*$B415/Параметры!L$30)</f>
        <v>0</v>
      </c>
      <c r="M414" s="316">
        <f ca="1">IF(AND($B415=0,M$2&gt;1),L414,(M413+M424)*$B415/Параметры!M$30)</f>
        <v>0</v>
      </c>
      <c r="N414" s="316">
        <f ca="1">IF(AND($B415=0,N$2&gt;1),M414,(N413+N424)*$B415/Параметры!N$30)</f>
        <v>0</v>
      </c>
      <c r="O414" s="316">
        <f ca="1">IF(AND($B415=0,O$2&gt;1),N414,(O413+O424)*$B415/Параметры!O$30)</f>
        <v>0</v>
      </c>
      <c r="P414" s="316">
        <f ca="1">IF(AND($B415=0,P$2&gt;1),O414,(P413+P424)*$B415/Параметры!P$30)</f>
        <v>0</v>
      </c>
      <c r="Q414" s="316">
        <f ca="1">IF(AND($B415=0,Q$2&gt;1),P414,(Q413+Q424)*$B415/Параметры!Q$30)</f>
        <v>0</v>
      </c>
      <c r="R414" s="316">
        <f ca="1">IF(AND($B415=0,R$2&gt;1),Q414,(R413+R424)*$B415/Параметры!R$30)</f>
        <v>0</v>
      </c>
      <c r="S414" s="316">
        <f ca="1">IF(AND($B415=0,S$2&gt;1),R414,(S413+S424)*$B415/Параметры!S$30)</f>
        <v>0</v>
      </c>
      <c r="T414" s="316">
        <f ca="1">IF(AND($B415=0,T$2&gt;1),S414,(T413+T424)*$B415/Параметры!T$30)</f>
        <v>0</v>
      </c>
      <c r="U414" s="316">
        <f ca="1">IF(AND($B415=0,U$2&gt;1),T414,(U413+U424)*$B415/Параметры!U$30)</f>
        <v>0</v>
      </c>
      <c r="V414" s="316">
        <f ca="1">IF(AND($B415=0,V$2&gt;1),U414,(V413+V424)*$B415/Параметры!V$30)</f>
        <v>0</v>
      </c>
      <c r="W414" s="316">
        <f ca="1">IF(AND($B415=0,W$2&gt;1),V414,(W413+W424)*$B415/Параметры!W$30)</f>
        <v>0</v>
      </c>
      <c r="X414" s="316">
        <f ca="1">IF(AND($B415=0,X$2&gt;1),W414,(X413+X424)*$B415/Параметры!X$30)</f>
        <v>0</v>
      </c>
      <c r="Y414" s="316">
        <f ca="1">IF(AND($B415=0,Y$2&gt;1),X414,(Y413+Y424)*$B415/Параметры!Y$30)</f>
        <v>0</v>
      </c>
      <c r="Z414" s="316">
        <f ca="1">IF(AND($B415=0,Z$2&gt;1),Y414,(Z413+Z424)*$B415/Параметры!Z$30)</f>
        <v>0</v>
      </c>
      <c r="AA414" s="316">
        <f ca="1">IF(AND($B415=0,AA$2&gt;1),Z414,(AA413+AA424)*$B415/Параметры!AA$30)</f>
        <v>0</v>
      </c>
      <c r="AB414" s="316">
        <f ca="1">IF(AND($B415=0,AB$2&gt;1),AA414,(AB413+AB424)*$B415/Параметры!AB$30)</f>
        <v>0</v>
      </c>
      <c r="AC414" s="316">
        <f ca="1">IF(AND($B415=0,AC$2&gt;1),AB414,(AC413+AC424)*$B415/Параметры!AC$30)</f>
        <v>0</v>
      </c>
      <c r="AD414" s="316">
        <f ca="1">IF(AND($B415=0,AD$2&gt;1),AC414,(AD413+AD424)*$B415/Параметры!AD$30)</f>
        <v>0</v>
      </c>
      <c r="AE414" s="316">
        <f ca="1">IF(AND($B415=0,AE$2&gt;1),AD414,(AE413+AE424)*$B415/Параметры!AE$30)</f>
        <v>0</v>
      </c>
      <c r="AF414" s="316">
        <f ca="1">IF(AND($B415=0,AF$2&gt;1),AE414,(AF413+AF424)*$B415/Параметры!AF$30)</f>
        <v>0</v>
      </c>
      <c r="AG414" s="316">
        <f ca="1">IF(AND($B415=0,AG$2&gt;1),AF414,(AG413+AG424)*$B415/Параметры!AG$30)</f>
        <v>0</v>
      </c>
      <c r="AH414" s="316">
        <f ca="1">IF(AND($B415=0,AH$2&gt;1),AG414,(AH413+AH424)*$B415/Параметры!AH$30)</f>
        <v>0</v>
      </c>
      <c r="AI414" s="316">
        <f ca="1">IF(AND($B415=0,AI$2&gt;1),AH414,(AI413+AI424)*$B415/Параметры!AI$30)</f>
        <v>0</v>
      </c>
      <c r="AJ414" s="316">
        <f ca="1">IF(AND($B415=0,AJ$2&gt;1),AI414,(AJ413+AJ424)*$B415/Параметры!AJ$30)</f>
        <v>0</v>
      </c>
      <c r="AK414" s="316">
        <f ca="1">IF(AND($B415=0,AK$2&gt;1),AJ414,(AK413+AK424)*$B415/Параметры!AK$30)</f>
        <v>0</v>
      </c>
      <c r="AL414" s="316">
        <f ca="1">IF(AND($B415=0,AL$2&gt;1),AK414,(AL413+AL424)*$B415/Параметры!AL$30)</f>
        <v>0</v>
      </c>
      <c r="AM414" s="316">
        <f ca="1">IF(AND($B415=0,AM$2&gt;1),AL414,(AM413+AM424)*$B415/Параметры!AM$30)</f>
        <v>0</v>
      </c>
      <c r="AN414" s="316">
        <f ca="1">IF(AND($B415=0,AN$2&gt;1),AM414,(AN413+AN424)*$B415/Параметры!AN$30)</f>
        <v>0</v>
      </c>
      <c r="AO414" s="316">
        <f ca="1">IF(AND($B415=0,AO$2&gt;1),AN414,(AO413+AO424)*$B415/Параметры!AO$30)</f>
        <v>0</v>
      </c>
      <c r="AP414" s="316">
        <f ca="1">IF(AND($B415=0,AP$2&gt;1),AO414,(AP413+AP424)*$B415/Параметры!AP$30)</f>
        <v>0</v>
      </c>
      <c r="AQ414" s="316">
        <f ca="1">IF(AND($B415=0,AQ$2&gt;1),AP414,(AQ413+AQ424)*$B415/Параметры!AQ$30)</f>
        <v>0</v>
      </c>
      <c r="AR414" s="316">
        <f ca="1">IF(AND($B415=0,AR$2&gt;1),AQ414,(AR413+AR424)*$B415/Параметры!AR$30)</f>
        <v>0</v>
      </c>
      <c r="AS414" s="316">
        <f ca="1">IF(AND($B415=0,AS$2&gt;1),AR414,(AS413+AS424)*$B415/Параметры!AS$30)</f>
        <v>0</v>
      </c>
      <c r="AT414" s="316">
        <f ca="1">IF(AND($B415=0,AT$2&gt;1),AS414,(AT413+AT424)*$B415/Параметры!AT$30)</f>
        <v>0</v>
      </c>
      <c r="AU414" s="316">
        <f ca="1">IF(AND($B415=0,AU$2&gt;1),AT414,(AU413+AU424)*$B415/Параметры!AU$30)</f>
        <v>0</v>
      </c>
      <c r="AV414" s="316">
        <f ca="1">IF(AND($B415=0,AV$2&gt;1),AU414,(AV413+AV424)*$B415/Параметры!AV$30)</f>
        <v>0</v>
      </c>
      <c r="AW414" s="168"/>
      <c r="AX414" s="87"/>
    </row>
    <row r="415" spans="1:50" hidden="1" outlineLevel="1" x14ac:dyDescent="0.2">
      <c r="A415" s="181" t="str">
        <f ca="1">Language!A$632</f>
        <v>период отсрочки платежа</v>
      </c>
      <c r="B415" s="320">
        <f>$B$648</f>
        <v>0</v>
      </c>
      <c r="C415" s="152" t="str">
        <f ca="1">Language!$A$1446</f>
        <v>дней</v>
      </c>
      <c r="D415" s="100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48"/>
      <c r="AX415" s="150"/>
    </row>
    <row r="416" spans="1:50" hidden="1" outlineLevel="1" x14ac:dyDescent="0.2">
      <c r="A416" s="179" t="str">
        <f ca="1">Language!A$633</f>
        <v>авансы уплаченные</v>
      </c>
      <c r="B416" s="188"/>
      <c r="C416" s="103" t="str">
        <f ca="1">CHOOSE(D416,CurName1,CurName2,CurName3)</f>
        <v>тыс. руб.</v>
      </c>
      <c r="D416" s="155">
        <f>D404</f>
        <v>1</v>
      </c>
      <c r="E416" s="57" t="s">
        <v>995</v>
      </c>
      <c r="F416" s="57" t="s">
        <v>754</v>
      </c>
      <c r="G416" s="316">
        <f ca="1">IF(AND($B417=0,G$2&gt;1),F416,(OFFSET(G413,0,1)+OFFSET(G424,0,1))*$B417/Параметры!G$30)</f>
        <v>0</v>
      </c>
      <c r="H416" s="316">
        <f ca="1">IF(AND($B417=0,H$2&gt;1),G416,(OFFSET(H413,0,1)+OFFSET(H424,0,1))*$B417/Параметры!H$30)</f>
        <v>0</v>
      </c>
      <c r="I416" s="316">
        <f ca="1">IF(AND($B417=0,I$2&gt;1),H416,(OFFSET(I413,0,1)+OFFSET(I424,0,1))*$B417/Параметры!I$30)</f>
        <v>0</v>
      </c>
      <c r="J416" s="316">
        <f ca="1">IF(AND($B417=0,J$2&gt;1),I416,(OFFSET(J413,0,1)+OFFSET(J424,0,1))*$B417/Параметры!J$30)</f>
        <v>0</v>
      </c>
      <c r="K416" s="316">
        <f ca="1">IF(AND($B417=0,K$2&gt;1),J416,(OFFSET(K413,0,1)+OFFSET(K424,0,1))*$B417/Параметры!K$30)</f>
        <v>0</v>
      </c>
      <c r="L416" s="316">
        <f ca="1">IF(AND($B417=0,L$2&gt;1),K416,(OFFSET(L413,0,1)+OFFSET(L424,0,1))*$B417/Параметры!L$30)</f>
        <v>0</v>
      </c>
      <c r="M416" s="316">
        <f ca="1">IF(AND($B417=0,M$2&gt;1),L416,(OFFSET(M413,0,1)+OFFSET(M424,0,1))*$B417/Параметры!M$30)</f>
        <v>0</v>
      </c>
      <c r="N416" s="316">
        <f ca="1">IF(AND($B417=0,N$2&gt;1),M416,(OFFSET(N413,0,1)+OFFSET(N424,0,1))*$B417/Параметры!N$30)</f>
        <v>0</v>
      </c>
      <c r="O416" s="316">
        <f ca="1">IF(AND($B417=0,O$2&gt;1),N416,(OFFSET(O413,0,1)+OFFSET(O424,0,1))*$B417/Параметры!O$30)</f>
        <v>0</v>
      </c>
      <c r="P416" s="316">
        <f ca="1">IF(AND($B417=0,P$2&gt;1),O416,(OFFSET(P413,0,1)+OFFSET(P424,0,1))*$B417/Параметры!P$30)</f>
        <v>0</v>
      </c>
      <c r="Q416" s="316">
        <f ca="1">IF(AND($B417=0,Q$2&gt;1),P416,(OFFSET(Q413,0,1)+OFFSET(Q424,0,1))*$B417/Параметры!Q$30)</f>
        <v>0</v>
      </c>
      <c r="R416" s="316">
        <f ca="1">IF(AND($B417=0,R$2&gt;1),Q416,(OFFSET(R413,0,1)+OFFSET(R424,0,1))*$B417/Параметры!R$30)</f>
        <v>0</v>
      </c>
      <c r="S416" s="316">
        <f ca="1">IF(AND($B417=0,S$2&gt;1),R416,(OFFSET(S413,0,1)+OFFSET(S424,0,1))*$B417/Параметры!S$30)</f>
        <v>0</v>
      </c>
      <c r="T416" s="316">
        <f ca="1">IF(AND($B417=0,T$2&gt;1),S416,(OFFSET(T413,0,1)+OFFSET(T424,0,1))*$B417/Параметры!T$30)</f>
        <v>0</v>
      </c>
      <c r="U416" s="316">
        <f ca="1">IF(AND($B417=0,U$2&gt;1),T416,(OFFSET(U413,0,1)+OFFSET(U424,0,1))*$B417/Параметры!U$30)</f>
        <v>0</v>
      </c>
      <c r="V416" s="316">
        <f ca="1">IF(AND($B417=0,V$2&gt;1),U416,(OFFSET(V413,0,1)+OFFSET(V424,0,1))*$B417/Параметры!V$30)</f>
        <v>0</v>
      </c>
      <c r="W416" s="316">
        <f ca="1">IF(AND($B417=0,W$2&gt;1),V416,(OFFSET(W413,0,1)+OFFSET(W424,0,1))*$B417/Параметры!W$30)</f>
        <v>0</v>
      </c>
      <c r="X416" s="316">
        <f ca="1">IF(AND($B417=0,X$2&gt;1),W416,(OFFSET(X413,0,1)+OFFSET(X424,0,1))*$B417/Параметры!X$30)</f>
        <v>0</v>
      </c>
      <c r="Y416" s="316">
        <f ca="1">IF(AND($B417=0,Y$2&gt;1),X416,(OFFSET(Y413,0,1)+OFFSET(Y424,0,1))*$B417/Параметры!Y$30)</f>
        <v>0</v>
      </c>
      <c r="Z416" s="316">
        <f ca="1">IF(AND($B417=0,Z$2&gt;1),Y416,(OFFSET(Z413,0,1)+OFFSET(Z424,0,1))*$B417/Параметры!Z$30)</f>
        <v>0</v>
      </c>
      <c r="AA416" s="316">
        <f ca="1">IF(AND($B417=0,AA$2&gt;1),Z416,(OFFSET(AA413,0,1)+OFFSET(AA424,0,1))*$B417/Параметры!AA$30)</f>
        <v>0</v>
      </c>
      <c r="AB416" s="316">
        <f ca="1">IF(AND($B417=0,AB$2&gt;1),AA416,(OFFSET(AB413,0,1)+OFFSET(AB424,0,1))*$B417/Параметры!AB$30)</f>
        <v>0</v>
      </c>
      <c r="AC416" s="316">
        <f ca="1">IF(AND($B417=0,AC$2&gt;1),AB416,(OFFSET(AC413,0,1)+OFFSET(AC424,0,1))*$B417/Параметры!AC$30)</f>
        <v>0</v>
      </c>
      <c r="AD416" s="316">
        <f ca="1">IF(AND($B417=0,AD$2&gt;1),AC416,(OFFSET(AD413,0,1)+OFFSET(AD424,0,1))*$B417/Параметры!AD$30)</f>
        <v>0</v>
      </c>
      <c r="AE416" s="316">
        <f ca="1">IF(AND($B417=0,AE$2&gt;1),AD416,(OFFSET(AE413,0,1)+OFFSET(AE424,0,1))*$B417/Параметры!AE$30)</f>
        <v>0</v>
      </c>
      <c r="AF416" s="316">
        <f ca="1">IF(AND($B417=0,AF$2&gt;1),AE416,(OFFSET(AF413,0,1)+OFFSET(AF424,0,1))*$B417/Параметры!AF$30)</f>
        <v>0</v>
      </c>
      <c r="AG416" s="316">
        <f ca="1">IF(AND($B417=0,AG$2&gt;1),AF416,(OFFSET(AG413,0,1)+OFFSET(AG424,0,1))*$B417/Параметры!AG$30)</f>
        <v>0</v>
      </c>
      <c r="AH416" s="316">
        <f ca="1">IF(AND($B417=0,AH$2&gt;1),AG416,(OFFSET(AH413,0,1)+OFFSET(AH424,0,1))*$B417/Параметры!AH$30)</f>
        <v>0</v>
      </c>
      <c r="AI416" s="316">
        <f ca="1">IF(AND($B417=0,AI$2&gt;1),AH416,(OFFSET(AI413,0,1)+OFFSET(AI424,0,1))*$B417/Параметры!AI$30)</f>
        <v>0</v>
      </c>
      <c r="AJ416" s="316">
        <f ca="1">IF(AND($B417=0,AJ$2&gt;1),AI416,(OFFSET(AJ413,0,1)+OFFSET(AJ424,0,1))*$B417/Параметры!AJ$30)</f>
        <v>0</v>
      </c>
      <c r="AK416" s="316">
        <f ca="1">IF(AND($B417=0,AK$2&gt;1),AJ416,(OFFSET(AK413,0,1)+OFFSET(AK424,0,1))*$B417/Параметры!AK$30)</f>
        <v>0</v>
      </c>
      <c r="AL416" s="316">
        <f ca="1">IF(AND($B417=0,AL$2&gt;1),AK416,(OFFSET(AL413,0,1)+OFFSET(AL424,0,1))*$B417/Параметры!AL$30)</f>
        <v>0</v>
      </c>
      <c r="AM416" s="316">
        <f ca="1">IF(AND($B417=0,AM$2&gt;1),AL416,(OFFSET(AM413,0,1)+OFFSET(AM424,0,1))*$B417/Параметры!AM$30)</f>
        <v>0</v>
      </c>
      <c r="AN416" s="316">
        <f ca="1">IF(AND($B417=0,AN$2&gt;1),AM416,(OFFSET(AN413,0,1)+OFFSET(AN424,0,1))*$B417/Параметры!AN$30)</f>
        <v>0</v>
      </c>
      <c r="AO416" s="316">
        <f ca="1">IF(AND($B417=0,AO$2&gt;1),AN416,(OFFSET(AO413,0,1)+OFFSET(AO424,0,1))*$B417/Параметры!AO$30)</f>
        <v>0</v>
      </c>
      <c r="AP416" s="316">
        <f ca="1">IF(AND($B417=0,AP$2&gt;1),AO416,(OFFSET(AP413,0,1)+OFFSET(AP424,0,1))*$B417/Параметры!AP$30)</f>
        <v>0</v>
      </c>
      <c r="AQ416" s="316">
        <f ca="1">IF(AND($B417=0,AQ$2&gt;1),AP416,(OFFSET(AQ413,0,1)+OFFSET(AQ424,0,1))*$B417/Параметры!AQ$30)</f>
        <v>0</v>
      </c>
      <c r="AR416" s="316">
        <f ca="1">IF(AND($B417=0,AR$2&gt;1),AQ416,(OFFSET(AR413,0,1)+OFFSET(AR424,0,1))*$B417/Параметры!AR$30)</f>
        <v>0</v>
      </c>
      <c r="AS416" s="316">
        <f ca="1">IF(AND($B417=0,AS$2&gt;1),AR416,(OFFSET(AS413,0,1)+OFFSET(AS424,0,1))*$B417/Параметры!AS$30)</f>
        <v>0</v>
      </c>
      <c r="AT416" s="316">
        <f ca="1">IF(AND($B417=0,AT$2&gt;1),AS416,(OFFSET(AT413,0,1)+OFFSET(AT424,0,1))*$B417/Параметры!AT$30)</f>
        <v>0</v>
      </c>
      <c r="AU416" s="316">
        <f ca="1">IF(AND($B417=0,AU$2&gt;1),AT416,(OFFSET(AU413,0,1)+OFFSET(AU424,0,1))*$B417/Параметры!AU$30)</f>
        <v>0</v>
      </c>
      <c r="AV416" s="316">
        <f ca="1">IF(AND($B417=0,AV$2&gt;1),AU416,(OFFSET(AV413,0,1)+OFFSET(AV424,0,1))*$B417/Параметры!AV$30)</f>
        <v>0</v>
      </c>
      <c r="AW416" s="168"/>
      <c r="AX416" s="182"/>
    </row>
    <row r="417" spans="1:50" hidden="1" outlineLevel="1" x14ac:dyDescent="0.2">
      <c r="A417" s="181" t="str">
        <f ca="1">Language!A$634</f>
        <v>период предоплаты</v>
      </c>
      <c r="B417" s="320">
        <f>$B$654</f>
        <v>0</v>
      </c>
      <c r="C417" s="152" t="str">
        <f ca="1">Language!$A$1446</f>
        <v>дней</v>
      </c>
      <c r="D417" s="100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48"/>
      <c r="AX417" s="150"/>
    </row>
    <row r="418" spans="1:50" hidden="1" outlineLevel="1" x14ac:dyDescent="0.2">
      <c r="A418" s="179" t="str">
        <f ca="1">Language!A$635</f>
        <v>оплата расходов, c НДС</v>
      </c>
      <c r="B418" s="57"/>
      <c r="C418" s="82" t="str">
        <f t="shared" ref="C418" ca="1" si="2352">CHOOSE(D418,CurName1,CurName2,CurName3)</f>
        <v>тыс. руб.</v>
      </c>
      <c r="D418" s="155">
        <f>D404</f>
        <v>1</v>
      </c>
      <c r="E418" s="57" t="s">
        <v>993</v>
      </c>
      <c r="F418" s="57" t="s">
        <v>753</v>
      </c>
      <c r="G418" s="180">
        <f ca="1">G413+G424-IF(G$2=1,G414,G414-F414)+IF(G$2=1,G416,G416-F416)</f>
        <v>9440</v>
      </c>
      <c r="H418" s="180">
        <f t="shared" ref="H418" ca="1" si="2353">H413+H424-IF(H$2=1,H414,H414-G414)+IF(H$2=1,H416,H416-G416)</f>
        <v>0</v>
      </c>
      <c r="I418" s="180">
        <f t="shared" ref="I418" ca="1" si="2354">I413+I424-IF(I$2=1,I414,I414-H414)+IF(I$2=1,I416,I416-H416)</f>
        <v>0</v>
      </c>
      <c r="J418" s="180">
        <f t="shared" ref="J418" ca="1" si="2355">J413+J424-IF(J$2=1,J414,J414-I414)+IF(J$2=1,J416,J416-I416)</f>
        <v>0</v>
      </c>
      <c r="K418" s="180">
        <f t="shared" ref="K418" ca="1" si="2356">K413+K424-IF(K$2=1,K414,K414-J414)+IF(K$2=1,K416,K416-J416)</f>
        <v>10006.399999999998</v>
      </c>
      <c r="L418" s="180">
        <f t="shared" ref="L418" ca="1" si="2357">L413+L424-IF(L$2=1,L414,L414-K414)+IF(L$2=1,L416,L416-K416)</f>
        <v>0</v>
      </c>
      <c r="M418" s="180">
        <f t="shared" ref="M418" ca="1" si="2358">M413+M424-IF(M$2=1,M414,M414-L414)+IF(M$2=1,M416,M416-L416)</f>
        <v>0</v>
      </c>
      <c r="N418" s="180">
        <f t="shared" ref="N418" ca="1" si="2359">N413+N424-IF(N$2=1,N414,N414-M414)+IF(N$2=1,N416,N416-M416)</f>
        <v>0</v>
      </c>
      <c r="O418" s="180">
        <f t="shared" ref="O418" ca="1" si="2360">O413+O424-IF(O$2=1,O414,O414-N414)+IF(O$2=1,O416,O416-N416)</f>
        <v>10606.784000000001</v>
      </c>
      <c r="P418" s="180">
        <f t="shared" ref="P418" ca="1" si="2361">P413+P424-IF(P$2=1,P414,P414-O414)+IF(P$2=1,P416,P416-O416)</f>
        <v>0</v>
      </c>
      <c r="Q418" s="180">
        <f t="shared" ref="Q418" ca="1" si="2362">Q413+Q424-IF(Q$2=1,Q414,Q414-P414)+IF(Q$2=1,Q416,Q416-P416)</f>
        <v>0</v>
      </c>
      <c r="R418" s="180">
        <f t="shared" ref="R418" ca="1" si="2363">R413+R424-IF(R$2=1,R414,R414-Q414)+IF(R$2=1,R416,R416-Q416)</f>
        <v>0</v>
      </c>
      <c r="S418" s="180">
        <f t="shared" ref="S418" ca="1" si="2364">S413+S424-IF(S$2=1,S414,S414-R414)+IF(S$2=1,S416,S416-R416)</f>
        <v>11243.191040000003</v>
      </c>
      <c r="T418" s="180">
        <f t="shared" ref="T418" ca="1" si="2365">T413+T424-IF(T$2=1,T414,T414-S414)+IF(T$2=1,T416,T416-S416)</f>
        <v>0</v>
      </c>
      <c r="U418" s="180">
        <f t="shared" ref="U418" ca="1" si="2366">U413+U424-IF(U$2=1,U414,U414-T414)+IF(U$2=1,U416,U416-T416)</f>
        <v>0</v>
      </c>
      <c r="V418" s="180">
        <f t="shared" ref="V418" ca="1" si="2367">V413+V424-IF(V$2=1,V414,V414-U414)+IF(V$2=1,V416,V416-U416)</f>
        <v>0</v>
      </c>
      <c r="W418" s="180">
        <f t="shared" ref="W418" ca="1" si="2368">W413+W424-IF(W$2=1,W414,W414-V414)+IF(W$2=1,W416,W416-V416)</f>
        <v>11917.782502400005</v>
      </c>
      <c r="X418" s="180">
        <f t="shared" ref="X418" ca="1" si="2369">X413+X424-IF(X$2=1,X414,X414-W414)+IF(X$2=1,X416,X416-W416)</f>
        <v>0</v>
      </c>
      <c r="Y418" s="180">
        <f t="shared" ref="Y418" ca="1" si="2370">Y413+Y424-IF(Y$2=1,Y414,Y414-X414)+IF(Y$2=1,Y416,Y416-X416)</f>
        <v>0</v>
      </c>
      <c r="Z418" s="180">
        <f t="shared" ref="Z418" ca="1" si="2371">Z413+Z424-IF(Z$2=1,Z414,Z414-Y414)+IF(Z$2=1,Z416,Z416-Y416)</f>
        <v>0</v>
      </c>
      <c r="AA418" s="180">
        <f t="shared" ref="AA418" ca="1" si="2372">AA413+AA424-IF(AA$2=1,AA414,AA414-Z414)+IF(AA$2=1,AA416,AA416-Z416)</f>
        <v>12632.849452544004</v>
      </c>
      <c r="AB418" s="180">
        <f t="shared" ref="AB418" ca="1" si="2373">AB413+AB424-IF(AB$2=1,AB414,AB414-AA414)+IF(AB$2=1,AB416,AB416-AA416)</f>
        <v>0</v>
      </c>
      <c r="AC418" s="180">
        <f t="shared" ref="AC418" ca="1" si="2374">AC413+AC424-IF(AC$2=1,AC414,AC414-AB414)+IF(AC$2=1,AC416,AC416-AB416)</f>
        <v>0</v>
      </c>
      <c r="AD418" s="180">
        <f t="shared" ref="AD418" ca="1" si="2375">AD413+AD424-IF(AD$2=1,AD414,AD414-AC414)+IF(AD$2=1,AD416,AD416-AC416)</f>
        <v>0</v>
      </c>
      <c r="AE418" s="180">
        <f t="shared" ref="AE418" ca="1" si="2376">AE413+AE424-IF(AE$2=1,AE414,AE414-AD414)+IF(AE$2=1,AE416,AE416-AD416)</f>
        <v>13390.820419696645</v>
      </c>
      <c r="AF418" s="180">
        <f t="shared" ref="AF418" ca="1" si="2377">AF413+AF424-IF(AF$2=1,AF414,AF414-AE414)+IF(AF$2=1,AF416,AF416-AE416)</f>
        <v>0</v>
      </c>
      <c r="AG418" s="180">
        <f t="shared" ref="AG418" ca="1" si="2378">AG413+AG424-IF(AG$2=1,AG414,AG414-AF414)+IF(AG$2=1,AG416,AG416-AF416)</f>
        <v>0</v>
      </c>
      <c r="AH418" s="180">
        <f t="shared" ref="AH418" ca="1" si="2379">AH413+AH424-IF(AH$2=1,AH414,AH414-AG414)+IF(AH$2=1,AH416,AH416-AG416)</f>
        <v>0</v>
      </c>
      <c r="AI418" s="180">
        <f t="shared" ref="AI418" ca="1" si="2380">AI413+AI424-IF(AI$2=1,AI414,AI414-AH414)+IF(AI$2=1,AI416,AI416-AH416)</f>
        <v>14194.269644878445</v>
      </c>
      <c r="AJ418" s="180">
        <f t="shared" ref="AJ418" ca="1" si="2381">AJ413+AJ424-IF(AJ$2=1,AJ414,AJ414-AI414)+IF(AJ$2=1,AJ416,AJ416-AI416)</f>
        <v>0</v>
      </c>
      <c r="AK418" s="180">
        <f t="shared" ref="AK418" ca="1" si="2382">AK413+AK424-IF(AK$2=1,AK414,AK414-AJ414)+IF(AK$2=1,AK416,AK416-AJ416)</f>
        <v>0</v>
      </c>
      <c r="AL418" s="180">
        <f t="shared" ref="AL418" ca="1" si="2383">AL413+AL424-IF(AL$2=1,AL414,AL414-AK414)+IF(AL$2=1,AL416,AL416-AK416)</f>
        <v>0</v>
      </c>
      <c r="AM418" s="180">
        <f t="shared" ref="AM418" ca="1" si="2384">AM413+AM424-IF(AM$2=1,AM414,AM414-AL414)+IF(AM$2=1,AM416,AM416-AL416)</f>
        <v>15045.925823571155</v>
      </c>
      <c r="AN418" s="180">
        <f t="shared" ref="AN418" ca="1" si="2385">AN413+AN424-IF(AN$2=1,AN414,AN414-AM414)+IF(AN$2=1,AN416,AN416-AM416)</f>
        <v>0</v>
      </c>
      <c r="AO418" s="180">
        <f t="shared" ref="AO418" ca="1" si="2386">AO413+AO424-IF(AO$2=1,AO414,AO414-AN414)+IF(AO$2=1,AO416,AO416-AN416)</f>
        <v>0</v>
      </c>
      <c r="AP418" s="180">
        <f t="shared" ref="AP418" ca="1" si="2387">AP413+AP424-IF(AP$2=1,AP414,AP414-AO414)+IF(AP$2=1,AP416,AP416-AO416)</f>
        <v>0</v>
      </c>
      <c r="AQ418" s="180">
        <f t="shared" ref="AQ418" ca="1" si="2388">AQ413+AQ424-IF(AQ$2=1,AQ414,AQ414-AP414)+IF(AQ$2=1,AQ416,AQ416-AP416)</f>
        <v>15948.681372985424</v>
      </c>
      <c r="AR418" s="180">
        <f t="shared" ref="AR418" ca="1" si="2389">AR413+AR424-IF(AR$2=1,AR414,AR414-AQ414)+IF(AR$2=1,AR416,AR416-AQ416)</f>
        <v>0</v>
      </c>
      <c r="AS418" s="180">
        <f t="shared" ref="AS418" ca="1" si="2390">AS413+AS424-IF(AS$2=1,AS414,AS414-AR414)+IF(AS$2=1,AS416,AS416-AR416)</f>
        <v>0</v>
      </c>
      <c r="AT418" s="180">
        <f t="shared" ref="AT418" ca="1" si="2391">AT413+AT424-IF(AT$2=1,AT414,AT414-AS414)+IF(AT$2=1,AT416,AT416-AS416)</f>
        <v>0</v>
      </c>
      <c r="AU418" s="180">
        <f t="shared" ref="AU418" ca="1" si="2392">AU413+AU424-IF(AU$2=1,AU414,AU414-AT414)+IF(AU$2=1,AU416,AU416-AT416)</f>
        <v>16905.602255364549</v>
      </c>
      <c r="AV418" s="180">
        <f t="shared" ref="AV418" ca="1" si="2393">AV413+AV424-IF(AV$2=1,AV414,AV414-AU414)+IF(AV$2=1,AV416,AV416-AU416)</f>
        <v>0</v>
      </c>
      <c r="AW418" s="180"/>
      <c r="AX418" s="169">
        <f ca="1">SUM(G418:AW418)</f>
        <v>141332.30651144023</v>
      </c>
    </row>
    <row r="419" spans="1:50" hidden="1" outlineLevel="1" x14ac:dyDescent="0.2">
      <c r="A419" s="167" t="str">
        <f ca="1">Language!A$636</f>
        <v>темп изменения цен</v>
      </c>
      <c r="B419" s="191"/>
      <c r="C419" s="103" t="str">
        <f ca="1">Language!$A$471</f>
        <v>% в год</v>
      </c>
      <c r="D419" s="153"/>
      <c r="F419" s="57" t="s">
        <v>756</v>
      </c>
      <c r="G419" s="324">
        <f>CHOOSE($D404,Параметры!G$48,Параметры!G$56,Параметры!G$62)</f>
        <v>0.06</v>
      </c>
      <c r="H419" s="324">
        <f>CHOOSE($D404,Параметры!H$48,Параметры!H$56,Параметры!H$62)</f>
        <v>0.06</v>
      </c>
      <c r="I419" s="324">
        <f>CHOOSE($D404,Параметры!I$48,Параметры!I$56,Параметры!I$62)</f>
        <v>0.06</v>
      </c>
      <c r="J419" s="324">
        <f>CHOOSE($D404,Параметры!J$48,Параметры!J$56,Параметры!J$62)</f>
        <v>0.06</v>
      </c>
      <c r="K419" s="324">
        <f>CHOOSE($D404,Параметры!K$48,Параметры!K$56,Параметры!K$62)</f>
        <v>0.06</v>
      </c>
      <c r="L419" s="324">
        <f>CHOOSE($D404,Параметры!L$48,Параметры!L$56,Параметры!L$62)</f>
        <v>0.06</v>
      </c>
      <c r="M419" s="324">
        <f>CHOOSE($D404,Параметры!M$48,Параметры!M$56,Параметры!M$62)</f>
        <v>0.06</v>
      </c>
      <c r="N419" s="324">
        <f>CHOOSE($D404,Параметры!N$48,Параметры!N$56,Параметры!N$62)</f>
        <v>0.06</v>
      </c>
      <c r="O419" s="324">
        <f>CHOOSE($D404,Параметры!O$48,Параметры!O$56,Параметры!O$62)</f>
        <v>0.06</v>
      </c>
      <c r="P419" s="324">
        <f>CHOOSE($D404,Параметры!P$48,Параметры!P$56,Параметры!P$62)</f>
        <v>0.06</v>
      </c>
      <c r="Q419" s="324">
        <f>CHOOSE($D404,Параметры!Q$48,Параметры!Q$56,Параметры!Q$62)</f>
        <v>0.06</v>
      </c>
      <c r="R419" s="324">
        <f>CHOOSE($D404,Параметры!R$48,Параметры!R$56,Параметры!R$62)</f>
        <v>0.06</v>
      </c>
      <c r="S419" s="324">
        <f>CHOOSE($D404,Параметры!S$48,Параметры!S$56,Параметры!S$62)</f>
        <v>0.06</v>
      </c>
      <c r="T419" s="324">
        <f>CHOOSE($D404,Параметры!T$48,Параметры!T$56,Параметры!T$62)</f>
        <v>0.06</v>
      </c>
      <c r="U419" s="324">
        <f>CHOOSE($D404,Параметры!U$48,Параметры!U$56,Параметры!U$62)</f>
        <v>0.06</v>
      </c>
      <c r="V419" s="324">
        <f>CHOOSE($D404,Параметры!V$48,Параметры!V$56,Параметры!V$62)</f>
        <v>0.06</v>
      </c>
      <c r="W419" s="324">
        <f>CHOOSE($D404,Параметры!W$48,Параметры!W$56,Параметры!W$62)</f>
        <v>0.06</v>
      </c>
      <c r="X419" s="324">
        <f>CHOOSE($D404,Параметры!X$48,Параметры!X$56,Параметры!X$62)</f>
        <v>0.06</v>
      </c>
      <c r="Y419" s="324">
        <f>CHOOSE($D404,Параметры!Y$48,Параметры!Y$56,Параметры!Y$62)</f>
        <v>0.06</v>
      </c>
      <c r="Z419" s="324">
        <f>CHOOSE($D404,Параметры!Z$48,Параметры!Z$56,Параметры!Z$62)</f>
        <v>0.06</v>
      </c>
      <c r="AA419" s="324">
        <f>CHOOSE($D404,Параметры!AA$48,Параметры!AA$56,Параметры!AA$62)</f>
        <v>0.06</v>
      </c>
      <c r="AB419" s="324">
        <f>CHOOSE($D404,Параметры!AB$48,Параметры!AB$56,Параметры!AB$62)</f>
        <v>0.06</v>
      </c>
      <c r="AC419" s="324">
        <f>CHOOSE($D404,Параметры!AC$48,Параметры!AC$56,Параметры!AC$62)</f>
        <v>0.06</v>
      </c>
      <c r="AD419" s="324">
        <f>CHOOSE($D404,Параметры!AD$48,Параметры!AD$56,Параметры!AD$62)</f>
        <v>0.06</v>
      </c>
      <c r="AE419" s="324">
        <f>CHOOSE($D404,Параметры!AE$48,Параметры!AE$56,Параметры!AE$62)</f>
        <v>0.06</v>
      </c>
      <c r="AF419" s="324">
        <f>CHOOSE($D404,Параметры!AF$48,Параметры!AF$56,Параметры!AF$62)</f>
        <v>0.06</v>
      </c>
      <c r="AG419" s="324">
        <f>CHOOSE($D404,Параметры!AG$48,Параметры!AG$56,Параметры!AG$62)</f>
        <v>0.06</v>
      </c>
      <c r="AH419" s="324">
        <f>CHOOSE($D404,Параметры!AH$48,Параметры!AH$56,Параметры!AH$62)</f>
        <v>0.06</v>
      </c>
      <c r="AI419" s="324">
        <f>CHOOSE($D404,Параметры!AI$48,Параметры!AI$56,Параметры!AI$62)</f>
        <v>0.06</v>
      </c>
      <c r="AJ419" s="324">
        <f>CHOOSE($D404,Параметры!AJ$48,Параметры!AJ$56,Параметры!AJ$62)</f>
        <v>0.06</v>
      </c>
      <c r="AK419" s="324">
        <f>CHOOSE($D404,Параметры!AK$48,Параметры!AK$56,Параметры!AK$62)</f>
        <v>0.06</v>
      </c>
      <c r="AL419" s="324">
        <f>CHOOSE($D404,Параметры!AL$48,Параметры!AL$56,Параметры!AL$62)</f>
        <v>0.06</v>
      </c>
      <c r="AM419" s="324">
        <f>CHOOSE($D404,Параметры!AM$48,Параметры!AM$56,Параметры!AM$62)</f>
        <v>0.06</v>
      </c>
      <c r="AN419" s="324">
        <f>CHOOSE($D404,Параметры!AN$48,Параметры!AN$56,Параметры!AN$62)</f>
        <v>0.06</v>
      </c>
      <c r="AO419" s="324">
        <f>CHOOSE($D404,Параметры!AO$48,Параметры!AO$56,Параметры!AO$62)</f>
        <v>0.06</v>
      </c>
      <c r="AP419" s="324">
        <f>CHOOSE($D404,Параметры!AP$48,Параметры!AP$56,Параметры!AP$62)</f>
        <v>0.06</v>
      </c>
      <c r="AQ419" s="324">
        <f>CHOOSE($D404,Параметры!AQ$48,Параметры!AQ$56,Параметры!AQ$62)</f>
        <v>0.06</v>
      </c>
      <c r="AR419" s="324">
        <f>CHOOSE($D404,Параметры!AR$48,Параметры!AR$56,Параметры!AR$62)</f>
        <v>0.06</v>
      </c>
      <c r="AS419" s="324">
        <f>CHOOSE($D404,Параметры!AS$48,Параметры!AS$56,Параметры!AS$62)</f>
        <v>0.06</v>
      </c>
      <c r="AT419" s="324">
        <f>CHOOSE($D404,Параметры!AT$48,Параметры!AT$56,Параметры!AT$62)</f>
        <v>0.06</v>
      </c>
      <c r="AU419" s="324">
        <f>CHOOSE($D404,Параметры!AU$48,Параметры!AU$56,Параметры!AU$62)</f>
        <v>0.06</v>
      </c>
      <c r="AV419" s="324">
        <f>CHOOSE($D404,Параметры!AV$48,Параметры!AV$56,Параметры!AV$62)</f>
        <v>0.06</v>
      </c>
      <c r="AW419" s="192"/>
      <c r="AX419" s="184"/>
    </row>
    <row r="420" spans="1:50" hidden="1" outlineLevel="1" x14ac:dyDescent="0.2">
      <c r="A420" s="167" t="str">
        <f ca="1">Language!A$637</f>
        <v>ставка НДС</v>
      </c>
      <c r="B420" s="191"/>
      <c r="C420" s="103" t="s">
        <v>1</v>
      </c>
      <c r="D420" s="155"/>
      <c r="F420" s="57" t="s">
        <v>756</v>
      </c>
      <c r="G420" s="324">
        <f>Параметры!G$72</f>
        <v>0.18</v>
      </c>
      <c r="H420" s="324">
        <f>Параметры!H$72</f>
        <v>0.18</v>
      </c>
      <c r="I420" s="324">
        <f>Параметры!I$72</f>
        <v>0.18</v>
      </c>
      <c r="J420" s="324">
        <f>Параметры!J$72</f>
        <v>0.18</v>
      </c>
      <c r="K420" s="324">
        <f>Параметры!K$72</f>
        <v>0.18</v>
      </c>
      <c r="L420" s="324">
        <f>Параметры!L$72</f>
        <v>0.18</v>
      </c>
      <c r="M420" s="324">
        <f>Параметры!M$72</f>
        <v>0.18</v>
      </c>
      <c r="N420" s="324">
        <f>Параметры!N$72</f>
        <v>0.18</v>
      </c>
      <c r="O420" s="324">
        <f>Параметры!O$72</f>
        <v>0.18</v>
      </c>
      <c r="P420" s="324">
        <f>Параметры!P$72</f>
        <v>0.18</v>
      </c>
      <c r="Q420" s="324">
        <f>Параметры!Q$72</f>
        <v>0.18</v>
      </c>
      <c r="R420" s="324">
        <f>Параметры!R$72</f>
        <v>0.18</v>
      </c>
      <c r="S420" s="324">
        <f>Параметры!S$72</f>
        <v>0.18</v>
      </c>
      <c r="T420" s="324">
        <f>Параметры!T$72</f>
        <v>0.18</v>
      </c>
      <c r="U420" s="324">
        <f>Параметры!U$72</f>
        <v>0.18</v>
      </c>
      <c r="V420" s="324">
        <f>Параметры!V$72</f>
        <v>0.18</v>
      </c>
      <c r="W420" s="324">
        <f>Параметры!W$72</f>
        <v>0.18</v>
      </c>
      <c r="X420" s="324">
        <f>Параметры!X$72</f>
        <v>0.18</v>
      </c>
      <c r="Y420" s="324">
        <f>Параметры!Y$72</f>
        <v>0.18</v>
      </c>
      <c r="Z420" s="324">
        <f>Параметры!Z$72</f>
        <v>0.18</v>
      </c>
      <c r="AA420" s="324">
        <f>Параметры!AA$72</f>
        <v>0.18</v>
      </c>
      <c r="AB420" s="324">
        <f>Параметры!AB$72</f>
        <v>0.18</v>
      </c>
      <c r="AC420" s="324">
        <f>Параметры!AC$72</f>
        <v>0.18</v>
      </c>
      <c r="AD420" s="324">
        <f>Параметры!AD$72</f>
        <v>0.18</v>
      </c>
      <c r="AE420" s="324">
        <f>Параметры!AE$72</f>
        <v>0.18</v>
      </c>
      <c r="AF420" s="324">
        <f>Параметры!AF$72</f>
        <v>0.18</v>
      </c>
      <c r="AG420" s="324">
        <f>Параметры!AG$72</f>
        <v>0.18</v>
      </c>
      <c r="AH420" s="324">
        <f>Параметры!AH$72</f>
        <v>0.18</v>
      </c>
      <c r="AI420" s="324">
        <f>Параметры!AI$72</f>
        <v>0.18</v>
      </c>
      <c r="AJ420" s="324">
        <f>Параметры!AJ$72</f>
        <v>0.18</v>
      </c>
      <c r="AK420" s="324">
        <f>Параметры!AK$72</f>
        <v>0.18</v>
      </c>
      <c r="AL420" s="324">
        <f>Параметры!AL$72</f>
        <v>0.18</v>
      </c>
      <c r="AM420" s="324">
        <f>Параметры!AM$72</f>
        <v>0.18</v>
      </c>
      <c r="AN420" s="324">
        <f>Параметры!AN$72</f>
        <v>0.18</v>
      </c>
      <c r="AO420" s="324">
        <f>Параметры!AO$72</f>
        <v>0.18</v>
      </c>
      <c r="AP420" s="324">
        <f>Параметры!AP$72</f>
        <v>0.18</v>
      </c>
      <c r="AQ420" s="324">
        <f>Параметры!AQ$72</f>
        <v>0.18</v>
      </c>
      <c r="AR420" s="324">
        <f>Параметры!AR$72</f>
        <v>0.18</v>
      </c>
      <c r="AS420" s="324">
        <f>Параметры!AS$72</f>
        <v>0.18</v>
      </c>
      <c r="AT420" s="324">
        <f>Параметры!AT$72</f>
        <v>0.18</v>
      </c>
      <c r="AU420" s="324">
        <f>Параметры!AU$72</f>
        <v>0.18</v>
      </c>
      <c r="AV420" s="324">
        <f>Параметры!AV$72</f>
        <v>0.18</v>
      </c>
      <c r="AW420" s="192"/>
      <c r="AX420" s="182"/>
    </row>
    <row r="421" spans="1:50" hidden="1" outlineLevel="1" x14ac:dyDescent="0.2">
      <c r="A421" s="167" t="str">
        <f ca="1">Language!A$638</f>
        <v>ставка импортной пошлины</v>
      </c>
      <c r="B421" s="191"/>
      <c r="C421" s="103" t="s">
        <v>1</v>
      </c>
      <c r="D421" s="155"/>
      <c r="F421" s="57" t="s">
        <v>756</v>
      </c>
      <c r="G421" s="324">
        <v>0</v>
      </c>
      <c r="H421" s="324">
        <f t="shared" ref="H421" si="2394">G421</f>
        <v>0</v>
      </c>
      <c r="I421" s="324">
        <f t="shared" ref="I421" si="2395">H421</f>
        <v>0</v>
      </c>
      <c r="J421" s="324">
        <f t="shared" ref="J421" si="2396">I421</f>
        <v>0</v>
      </c>
      <c r="K421" s="324">
        <f t="shared" ref="K421" si="2397">J421</f>
        <v>0</v>
      </c>
      <c r="L421" s="324">
        <f t="shared" ref="L421" si="2398">K421</f>
        <v>0</v>
      </c>
      <c r="M421" s="324">
        <f t="shared" ref="M421" si="2399">L421</f>
        <v>0</v>
      </c>
      <c r="N421" s="324">
        <f t="shared" ref="N421" si="2400">M421</f>
        <v>0</v>
      </c>
      <c r="O421" s="324">
        <f t="shared" ref="O421" si="2401">N421</f>
        <v>0</v>
      </c>
      <c r="P421" s="324">
        <f t="shared" ref="P421" si="2402">O421</f>
        <v>0</v>
      </c>
      <c r="Q421" s="324">
        <f t="shared" ref="Q421" si="2403">P421</f>
        <v>0</v>
      </c>
      <c r="R421" s="324">
        <f t="shared" ref="R421" si="2404">Q421</f>
        <v>0</v>
      </c>
      <c r="S421" s="324">
        <f t="shared" ref="S421" si="2405">R421</f>
        <v>0</v>
      </c>
      <c r="T421" s="324">
        <f t="shared" ref="T421" si="2406">S421</f>
        <v>0</v>
      </c>
      <c r="U421" s="324">
        <f t="shared" ref="U421" si="2407">T421</f>
        <v>0</v>
      </c>
      <c r="V421" s="324">
        <f t="shared" ref="V421" si="2408">U421</f>
        <v>0</v>
      </c>
      <c r="W421" s="324">
        <f t="shared" ref="W421" si="2409">V421</f>
        <v>0</v>
      </c>
      <c r="X421" s="324">
        <f t="shared" ref="X421" si="2410">W421</f>
        <v>0</v>
      </c>
      <c r="Y421" s="324">
        <f t="shared" ref="Y421" si="2411">X421</f>
        <v>0</v>
      </c>
      <c r="Z421" s="324">
        <f t="shared" ref="Z421" si="2412">Y421</f>
        <v>0</v>
      </c>
      <c r="AA421" s="324">
        <f t="shared" ref="AA421" si="2413">Z421</f>
        <v>0</v>
      </c>
      <c r="AB421" s="324">
        <f t="shared" ref="AB421" si="2414">AA421</f>
        <v>0</v>
      </c>
      <c r="AC421" s="324">
        <f t="shared" ref="AC421" si="2415">AB421</f>
        <v>0</v>
      </c>
      <c r="AD421" s="324">
        <f t="shared" ref="AD421" si="2416">AC421</f>
        <v>0</v>
      </c>
      <c r="AE421" s="324">
        <f t="shared" ref="AE421" si="2417">AD421</f>
        <v>0</v>
      </c>
      <c r="AF421" s="324">
        <f t="shared" ref="AF421" si="2418">AE421</f>
        <v>0</v>
      </c>
      <c r="AG421" s="324">
        <f t="shared" ref="AG421" si="2419">AF421</f>
        <v>0</v>
      </c>
      <c r="AH421" s="324">
        <f t="shared" ref="AH421" si="2420">AG421</f>
        <v>0</v>
      </c>
      <c r="AI421" s="324">
        <f t="shared" ref="AI421" si="2421">AH421</f>
        <v>0</v>
      </c>
      <c r="AJ421" s="324">
        <f t="shared" ref="AJ421" si="2422">AI421</f>
        <v>0</v>
      </c>
      <c r="AK421" s="324">
        <f t="shared" ref="AK421" si="2423">AJ421</f>
        <v>0</v>
      </c>
      <c r="AL421" s="324">
        <f t="shared" ref="AL421" si="2424">AK421</f>
        <v>0</v>
      </c>
      <c r="AM421" s="324">
        <f t="shared" ref="AM421" si="2425">AL421</f>
        <v>0</v>
      </c>
      <c r="AN421" s="324">
        <f t="shared" ref="AN421" si="2426">AM421</f>
        <v>0</v>
      </c>
      <c r="AO421" s="324">
        <f t="shared" ref="AO421" si="2427">AN421</f>
        <v>0</v>
      </c>
      <c r="AP421" s="324">
        <f t="shared" ref="AP421" si="2428">AO421</f>
        <v>0</v>
      </c>
      <c r="AQ421" s="324">
        <f t="shared" ref="AQ421" si="2429">AP421</f>
        <v>0</v>
      </c>
      <c r="AR421" s="324">
        <f t="shared" ref="AR421" si="2430">AQ421</f>
        <v>0</v>
      </c>
      <c r="AS421" s="324">
        <f t="shared" ref="AS421" si="2431">AR421</f>
        <v>0</v>
      </c>
      <c r="AT421" s="324">
        <f t="shared" ref="AT421" si="2432">AS421</f>
        <v>0</v>
      </c>
      <c r="AU421" s="324">
        <f t="shared" ref="AU421" si="2433">AT421</f>
        <v>0</v>
      </c>
      <c r="AV421" s="324">
        <f t="shared" ref="AV421" si="2434">AU421</f>
        <v>0</v>
      </c>
      <c r="AW421" s="192"/>
      <c r="AX421" s="182"/>
    </row>
    <row r="422" spans="1:50" hidden="1" outlineLevel="1" x14ac:dyDescent="0.2">
      <c r="A422" s="179" t="str">
        <f ca="1">Language!A$639</f>
        <v>коэффициент изменения цен к началу проекта</v>
      </c>
      <c r="B422" s="191"/>
      <c r="C422" s="103" t="str">
        <f ca="1">Language!$A$1449</f>
        <v>раз</v>
      </c>
      <c r="D422" s="155"/>
      <c r="F422" s="57" t="s">
        <v>754</v>
      </c>
      <c r="G422" s="193">
        <f ca="1">IF(G$2=1,1,IF(Prj_Inflation=1,POWER(1+OFFSET(G419,0,-1),Параметры!G$30/360),1) * IF(G$2&gt;1, F422, 1))</f>
        <v>1</v>
      </c>
      <c r="H422" s="193">
        <f ca="1">IF(H$2=1,1,IF(Prj_Inflation=1,POWER(1+OFFSET(H419,0,-1),Параметры!H$30/360),1) * IF(H$2&gt;1, G422, 1))</f>
        <v>1.0146738461686593</v>
      </c>
      <c r="I422" s="193">
        <f ca="1">IF(I$2=1,1,IF(Prj_Inflation=1,POWER(1+OFFSET(I419,0,-1),Параметры!I$30/360),1) * IF(I$2&gt;1, H422, 1))</f>
        <v>1.0295630140987</v>
      </c>
      <c r="J422" s="193">
        <f ca="1">IF(J$2=1,1,IF(Prj_Inflation=1,POWER(1+OFFSET(J419,0,-1),Параметры!J$30/360),1) * IF(J$2&gt;1, I422, 1))</f>
        <v>1.0446706633885254</v>
      </c>
      <c r="K422" s="193">
        <f ca="1">IF(K$2=1,1,IF(Prj_Inflation=1,POWER(1+OFFSET(K419,0,-1),Параметры!K$30/360),1) * IF(K$2&gt;1, J422, 1))</f>
        <v>1.0599999999999998</v>
      </c>
      <c r="L422" s="193">
        <f ca="1">IF(L$2=1,1,IF(Prj_Inflation=1,POWER(1+OFFSET(L419,0,-1),Параметры!L$30/360),1) * IF(L$2&gt;1, K422, 1))</f>
        <v>1.0755542769387787</v>
      </c>
      <c r="M422" s="193">
        <f ca="1">IF(M$2=1,1,IF(Prj_Inflation=1,POWER(1+OFFSET(M419,0,-1),Параметры!M$30/360),1) * IF(M$2&gt;1, L422, 1))</f>
        <v>1.091336794944622</v>
      </c>
      <c r="N422" s="193">
        <f ca="1">IF(N$2=1,1,IF(Prj_Inflation=1,POWER(1+OFFSET(N419,0,-1),Параметры!N$30/360),1) * IF(N$2&gt;1, M422, 1))</f>
        <v>1.1073509031918372</v>
      </c>
      <c r="O422" s="193">
        <f ca="1">IF(O$2=1,1,IF(Prj_Inflation=1,POWER(1+OFFSET(O419,0,-1),Параметры!O$30/360),1) * IF(O$2&gt;1, N422, 1))</f>
        <v>1.1236000000000002</v>
      </c>
      <c r="P422" s="193">
        <f ca="1">IF(P$2=1,1,IF(Prj_Inflation=1,POWER(1+OFFSET(P419,0,-1),Параметры!P$30/360),1) * IF(P$2&gt;1, O422, 1))</f>
        <v>1.1400875335551057</v>
      </c>
      <c r="Q422" s="193">
        <f ca="1">IF(Q$2=1,1,IF(Prj_Inflation=1,POWER(1+OFFSET(Q419,0,-1),Параметры!Q$30/360),1) * IF(Q$2&gt;1, P422, 1))</f>
        <v>1.1568170026412996</v>
      </c>
      <c r="R422" s="193">
        <f ca="1">IF(R$2=1,1,IF(Prj_Inflation=1,POWER(1+OFFSET(R419,0,-1),Параметры!R$30/360),1) * IF(R$2&gt;1, Q422, 1))</f>
        <v>1.1737919573833475</v>
      </c>
      <c r="S422" s="193">
        <f ca="1">IF(S$2=1,1,IF(Prj_Inflation=1,POWER(1+OFFSET(S419,0,-1),Параметры!S$30/360),1) * IF(S$2&gt;1, R422, 1))</f>
        <v>1.1910160000000003</v>
      </c>
      <c r="T422" s="193">
        <f ca="1">IF(T$2=1,1,IF(Prj_Inflation=1,POWER(1+OFFSET(T419,0,-1),Параметры!T$30/360),1) * IF(T$2&gt;1, S422, 1))</f>
        <v>1.2084927855684122</v>
      </c>
      <c r="U422" s="193">
        <f ca="1">IF(U$2=1,1,IF(Prj_Inflation=1,POWER(1+OFFSET(U419,0,-1),Параметры!U$30/360),1) * IF(U$2&gt;1, T422, 1))</f>
        <v>1.2262260227997777</v>
      </c>
      <c r="V422" s="193">
        <f ca="1">IF(V$2=1,1,IF(Prj_Inflation=1,POWER(1+OFFSET(V419,0,-1),Параметры!V$30/360),1) * IF(V$2&gt;1, U422, 1))</f>
        <v>1.2442194748263484</v>
      </c>
      <c r="W422" s="193">
        <f ca="1">IF(W$2=1,1,IF(Prj_Inflation=1,POWER(1+OFFSET(W419,0,-1),Параметры!W$30/360),1) * IF(W$2&gt;1, V422, 1))</f>
        <v>1.2624769600000003</v>
      </c>
      <c r="X422" s="193">
        <f ca="1">IF(X$2=1,1,IF(Prj_Inflation=1,POWER(1+OFFSET(X419,0,-1),Параметры!X$30/360),1) * IF(X$2&gt;1, W422, 1))</f>
        <v>1.2810023527025169</v>
      </c>
      <c r="Y422" s="193">
        <f ca="1">IF(Y$2=1,1,IF(Prj_Inflation=1,POWER(1+OFFSET(Y419,0,-1),Параметры!Y$30/360),1) * IF(Y$2&gt;1, X422, 1))</f>
        <v>1.2997995841677643</v>
      </c>
      <c r="Z422" s="193">
        <f ca="1">IF(Z$2=1,1,IF(Prj_Inflation=1,POWER(1+OFFSET(Z419,0,-1),Параметры!Z$30/360),1) * IF(Z$2&gt;1, Y422, 1))</f>
        <v>1.3188726433159295</v>
      </c>
      <c r="AA422" s="193">
        <f ca="1">IF(AA$2=1,1,IF(Prj_Inflation=1,POWER(1+OFFSET(AA419,0,-1),Параметры!AA$30/360),1) * IF(AA$2&gt;1, Z422, 1))</f>
        <v>1.3382255776000005</v>
      </c>
      <c r="AB422" s="193">
        <f ca="1">IF(AB$2=1,1,IF(Prj_Inflation=1,POWER(1+OFFSET(AB419,0,-1),Параметры!AB$30/360),1) * IF(AB$2&gt;1, AA422, 1))</f>
        <v>1.3578624938646682</v>
      </c>
      <c r="AC422" s="193">
        <f ca="1">IF(AC$2=1,1,IF(Prj_Inflation=1,POWER(1+OFFSET(AC419,0,-1),Параметры!AC$30/360),1) * IF(AC$2&gt;1, AB422, 1))</f>
        <v>1.3777875592178304</v>
      </c>
      <c r="AD422" s="193">
        <f ca="1">IF(AD$2=1,1,IF(Prj_Inflation=1,POWER(1+OFFSET(AD419,0,-1),Параметры!AD$30/360),1) * IF(AD$2&gt;1, AC422, 1))</f>
        <v>1.3980050019148853</v>
      </c>
      <c r="AE422" s="193">
        <f ca="1">IF(AE$2=1,1,IF(Prj_Inflation=1,POWER(1+OFFSET(AE419,0,-1),Параметры!AE$30/360),1) * IF(AE$2&gt;1, AD422, 1))</f>
        <v>1.4185191122560006</v>
      </c>
      <c r="AF422" s="193">
        <f ca="1">IF(AF$2=1,1,IF(Prj_Inflation=1,POWER(1+OFFSET(AF419,0,-1),Параметры!AF$30/360),1) * IF(AF$2&gt;1, AE422, 1))</f>
        <v>1.4393342434965484</v>
      </c>
      <c r="AG422" s="193">
        <f ca="1">IF(AG$2=1,1,IF(Prj_Inflation=1,POWER(1+OFFSET(AG419,0,-1),Параметры!AG$30/360),1) * IF(AG$2&gt;1, AF422, 1))</f>
        <v>1.4604548127709003</v>
      </c>
      <c r="AH422" s="193">
        <f ca="1">IF(AH$2=1,1,IF(Prj_Inflation=1,POWER(1+OFFSET(AH419,0,-1),Параметры!AH$30/360),1) * IF(AH$2&gt;1, AG422, 1))</f>
        <v>1.4818853020297786</v>
      </c>
      <c r="AI422" s="193">
        <f ca="1">IF(AI$2=1,1,IF(Prj_Inflation=1,POWER(1+OFFSET(AI419,0,-1),Параметры!AI$30/360),1) * IF(AI$2&gt;1, AH422, 1))</f>
        <v>1.5036302589913608</v>
      </c>
      <c r="AJ422" s="193">
        <f ca="1">IF(AJ$2=1,1,IF(Prj_Inflation=1,POWER(1+OFFSET(AJ419,0,-1),Параметры!AJ$30/360),1) * IF(AJ$2&gt;1, AI422, 1))</f>
        <v>1.5256942981063415</v>
      </c>
      <c r="AK422" s="193">
        <f ca="1">IF(AK$2=1,1,IF(Prj_Inflation=1,POWER(1+OFFSET(AK419,0,-1),Параметры!AK$30/360),1) * IF(AK$2&gt;1, AJ422, 1))</f>
        <v>1.5480821015371546</v>
      </c>
      <c r="AL422" s="193">
        <f ca="1">IF(AL$2=1,1,IF(Prj_Inflation=1,POWER(1+OFFSET(AL419,0,-1),Параметры!AL$30/360),1) * IF(AL$2&gt;1, AK422, 1))</f>
        <v>1.5707984201515657</v>
      </c>
      <c r="AM422" s="193">
        <f ca="1">IF(AM$2=1,1,IF(Prj_Inflation=1,POWER(1+OFFSET(AM419,0,-1),Параметры!AM$30/360),1) * IF(AM$2&gt;1, AL422, 1))</f>
        <v>1.5938480745308428</v>
      </c>
      <c r="AN422" s="193">
        <f ca="1">IF(AN$2=1,1,IF(Prj_Inflation=1,POWER(1+OFFSET(AN419,0,-1),Параметры!AN$30/360),1) * IF(AN$2&gt;1, AM422, 1))</f>
        <v>1.6172359559927221</v>
      </c>
      <c r="AO422" s="193">
        <f ca="1">IF(AO$2=1,1,IF(Prj_Inflation=1,POWER(1+OFFSET(AO419,0,-1),Параметры!AO$30/360),1) * IF(AO$2&gt;1, AN422, 1))</f>
        <v>1.640967027629384</v>
      </c>
      <c r="AP422" s="193">
        <f ca="1">IF(AP$2=1,1,IF(Prj_Inflation=1,POWER(1+OFFSET(AP419,0,-1),Параметры!AP$30/360),1) * IF(AP$2&gt;1, AO422, 1))</f>
        <v>1.6650463253606596</v>
      </c>
      <c r="AQ422" s="193">
        <f ca="1">IF(AQ$2=1,1,IF(Prj_Inflation=1,POWER(1+OFFSET(AQ419,0,-1),Параметры!AQ$30/360),1) * IF(AQ$2&gt;1, AP422, 1))</f>
        <v>1.6894789590026933</v>
      </c>
      <c r="AR422" s="193">
        <f ca="1">IF(AR$2=1,1,IF(Prj_Inflation=1,POWER(1+OFFSET(AR419,0,-1),Параметры!AR$30/360),1) * IF(AR$2&gt;1, AQ422, 1))</f>
        <v>1.7142701133522855</v>
      </c>
      <c r="AS422" s="193">
        <f ca="1">IF(AS$2=1,1,IF(Prj_Inflation=1,POWER(1+OFFSET(AS419,0,-1),Параметры!AS$30/360),1) * IF(AS$2&gt;1, AR422, 1))</f>
        <v>1.739425049287147</v>
      </c>
      <c r="AT422" s="193">
        <f ca="1">IF(AT$2=1,1,IF(Prj_Inflation=1,POWER(1+OFFSET(AT419,0,-1),Параметры!AT$30/360),1) * IF(AT$2&gt;1, AS422, 1))</f>
        <v>1.7649491048822992</v>
      </c>
      <c r="AU422" s="193">
        <f ca="1">IF(AU$2=1,1,IF(Prj_Inflation=1,POWER(1+OFFSET(AU419,0,-1),Параметры!AU$30/360),1) * IF(AU$2&gt;1, AT422, 1))</f>
        <v>1.790847696542855</v>
      </c>
      <c r="AV422" s="193">
        <f ca="1">IF(AV$2=1,1,IF(Prj_Inflation=1,POWER(1+OFFSET(AV419,0,-1),Параметры!AV$30/360),1) * IF(AV$2&gt;1, AU422, 1))</f>
        <v>1.8171263201534227</v>
      </c>
      <c r="AW422" s="193"/>
      <c r="AX422" s="182"/>
    </row>
    <row r="423" spans="1:50" hidden="1" outlineLevel="1" x14ac:dyDescent="0.2">
      <c r="A423" s="167" t="str">
        <f ca="1">Language!A$640</f>
        <v>пошлины начисленные</v>
      </c>
      <c r="B423" s="153"/>
      <c r="C423" s="103" t="str">
        <f ca="1">CHOOSE(D423,CurName1,CurName2,CurName3)</f>
        <v>тыс. руб.</v>
      </c>
      <c r="D423" s="155">
        <f>D404</f>
        <v>1</v>
      </c>
      <c r="E423" s="57" t="s">
        <v>1011</v>
      </c>
      <c r="F423" s="57" t="s">
        <v>753</v>
      </c>
      <c r="G423" s="194">
        <f ca="1">G413*G421</f>
        <v>0</v>
      </c>
      <c r="H423" s="194">
        <f t="shared" ref="H423:AV423" ca="1" si="2435">H413*H421</f>
        <v>0</v>
      </c>
      <c r="I423" s="194">
        <f t="shared" ca="1" si="2435"/>
        <v>0</v>
      </c>
      <c r="J423" s="194">
        <f t="shared" ca="1" si="2435"/>
        <v>0</v>
      </c>
      <c r="K423" s="194">
        <f t="shared" ca="1" si="2435"/>
        <v>0</v>
      </c>
      <c r="L423" s="194">
        <f t="shared" ca="1" si="2435"/>
        <v>0</v>
      </c>
      <c r="M423" s="194">
        <f t="shared" ca="1" si="2435"/>
        <v>0</v>
      </c>
      <c r="N423" s="194">
        <f t="shared" ca="1" si="2435"/>
        <v>0</v>
      </c>
      <c r="O423" s="194">
        <f t="shared" ca="1" si="2435"/>
        <v>0</v>
      </c>
      <c r="P423" s="194">
        <f t="shared" ca="1" si="2435"/>
        <v>0</v>
      </c>
      <c r="Q423" s="194">
        <f t="shared" ca="1" si="2435"/>
        <v>0</v>
      </c>
      <c r="R423" s="194">
        <f t="shared" ca="1" si="2435"/>
        <v>0</v>
      </c>
      <c r="S423" s="194">
        <f t="shared" ca="1" si="2435"/>
        <v>0</v>
      </c>
      <c r="T423" s="194">
        <f t="shared" ca="1" si="2435"/>
        <v>0</v>
      </c>
      <c r="U423" s="194">
        <f t="shared" ca="1" si="2435"/>
        <v>0</v>
      </c>
      <c r="V423" s="194">
        <f t="shared" ca="1" si="2435"/>
        <v>0</v>
      </c>
      <c r="W423" s="194">
        <f t="shared" ca="1" si="2435"/>
        <v>0</v>
      </c>
      <c r="X423" s="194">
        <f t="shared" ca="1" si="2435"/>
        <v>0</v>
      </c>
      <c r="Y423" s="194">
        <f t="shared" ca="1" si="2435"/>
        <v>0</v>
      </c>
      <c r="Z423" s="194">
        <f t="shared" ca="1" si="2435"/>
        <v>0</v>
      </c>
      <c r="AA423" s="194">
        <f t="shared" ca="1" si="2435"/>
        <v>0</v>
      </c>
      <c r="AB423" s="194">
        <f t="shared" ca="1" si="2435"/>
        <v>0</v>
      </c>
      <c r="AC423" s="194">
        <f t="shared" ca="1" si="2435"/>
        <v>0</v>
      </c>
      <c r="AD423" s="194">
        <f t="shared" ca="1" si="2435"/>
        <v>0</v>
      </c>
      <c r="AE423" s="194">
        <f t="shared" ca="1" si="2435"/>
        <v>0</v>
      </c>
      <c r="AF423" s="194">
        <f t="shared" ca="1" si="2435"/>
        <v>0</v>
      </c>
      <c r="AG423" s="194">
        <f t="shared" ca="1" si="2435"/>
        <v>0</v>
      </c>
      <c r="AH423" s="194">
        <f t="shared" ca="1" si="2435"/>
        <v>0</v>
      </c>
      <c r="AI423" s="194">
        <f t="shared" ca="1" si="2435"/>
        <v>0</v>
      </c>
      <c r="AJ423" s="194">
        <f t="shared" ca="1" si="2435"/>
        <v>0</v>
      </c>
      <c r="AK423" s="194">
        <f t="shared" ca="1" si="2435"/>
        <v>0</v>
      </c>
      <c r="AL423" s="194">
        <f t="shared" ca="1" si="2435"/>
        <v>0</v>
      </c>
      <c r="AM423" s="194">
        <f t="shared" ca="1" si="2435"/>
        <v>0</v>
      </c>
      <c r="AN423" s="194">
        <f t="shared" ca="1" si="2435"/>
        <v>0</v>
      </c>
      <c r="AO423" s="194">
        <f t="shared" ca="1" si="2435"/>
        <v>0</v>
      </c>
      <c r="AP423" s="194">
        <f t="shared" ca="1" si="2435"/>
        <v>0</v>
      </c>
      <c r="AQ423" s="194">
        <f t="shared" ca="1" si="2435"/>
        <v>0</v>
      </c>
      <c r="AR423" s="194">
        <f t="shared" ca="1" si="2435"/>
        <v>0</v>
      </c>
      <c r="AS423" s="194">
        <f t="shared" ca="1" si="2435"/>
        <v>0</v>
      </c>
      <c r="AT423" s="194">
        <f t="shared" ca="1" si="2435"/>
        <v>0</v>
      </c>
      <c r="AU423" s="194">
        <f t="shared" ca="1" si="2435"/>
        <v>0</v>
      </c>
      <c r="AV423" s="194">
        <f t="shared" ca="1" si="2435"/>
        <v>0</v>
      </c>
      <c r="AW423" s="194"/>
      <c r="AX423" s="169">
        <f ca="1">SUM(G423:AW423)</f>
        <v>0</v>
      </c>
    </row>
    <row r="424" spans="1:50" hidden="1" outlineLevel="1" x14ac:dyDescent="0.2">
      <c r="A424" s="167" t="str">
        <f ca="1">Language!A$641</f>
        <v>НДС начисленный</v>
      </c>
      <c r="B424" s="153"/>
      <c r="C424" s="103" t="str">
        <f ca="1">CHOOSE(D424,CurName1,CurName2,CurName3)</f>
        <v>тыс. руб.</v>
      </c>
      <c r="D424" s="155">
        <f>D404</f>
        <v>1</v>
      </c>
      <c r="E424" s="57" t="s">
        <v>789</v>
      </c>
      <c r="F424" s="57" t="s">
        <v>753</v>
      </c>
      <c r="G424" s="194">
        <f ca="1">(G413+G423)*G420</f>
        <v>1440</v>
      </c>
      <c r="H424" s="194">
        <f t="shared" ref="H424:AV424" ca="1" si="2436">(H413+H423)*H420</f>
        <v>0</v>
      </c>
      <c r="I424" s="194">
        <f t="shared" ca="1" si="2436"/>
        <v>0</v>
      </c>
      <c r="J424" s="194">
        <f t="shared" ca="1" si="2436"/>
        <v>0</v>
      </c>
      <c r="K424" s="194">
        <f t="shared" ca="1" si="2436"/>
        <v>1526.3999999999996</v>
      </c>
      <c r="L424" s="194">
        <f t="shared" ca="1" si="2436"/>
        <v>0</v>
      </c>
      <c r="M424" s="194">
        <f t="shared" ca="1" si="2436"/>
        <v>0</v>
      </c>
      <c r="N424" s="194">
        <f t="shared" ca="1" si="2436"/>
        <v>0</v>
      </c>
      <c r="O424" s="194">
        <f t="shared" ca="1" si="2436"/>
        <v>1617.9840000000002</v>
      </c>
      <c r="P424" s="194">
        <f t="shared" ca="1" si="2436"/>
        <v>0</v>
      </c>
      <c r="Q424" s="194">
        <f t="shared" ca="1" si="2436"/>
        <v>0</v>
      </c>
      <c r="R424" s="194">
        <f t="shared" ca="1" si="2436"/>
        <v>0</v>
      </c>
      <c r="S424" s="194">
        <f t="shared" ca="1" si="2436"/>
        <v>1715.0630400000005</v>
      </c>
      <c r="T424" s="194">
        <f t="shared" ca="1" si="2436"/>
        <v>0</v>
      </c>
      <c r="U424" s="194">
        <f t="shared" ca="1" si="2436"/>
        <v>0</v>
      </c>
      <c r="V424" s="194">
        <f t="shared" ca="1" si="2436"/>
        <v>0</v>
      </c>
      <c r="W424" s="194">
        <f t="shared" ca="1" si="2436"/>
        <v>1817.9668224000006</v>
      </c>
      <c r="X424" s="194">
        <f t="shared" ca="1" si="2436"/>
        <v>0</v>
      </c>
      <c r="Y424" s="194">
        <f t="shared" ca="1" si="2436"/>
        <v>0</v>
      </c>
      <c r="Z424" s="194">
        <f t="shared" ca="1" si="2436"/>
        <v>0</v>
      </c>
      <c r="AA424" s="194">
        <f t="shared" ca="1" si="2436"/>
        <v>1927.0448317440005</v>
      </c>
      <c r="AB424" s="194">
        <f t="shared" ca="1" si="2436"/>
        <v>0</v>
      </c>
      <c r="AC424" s="194">
        <f t="shared" ca="1" si="2436"/>
        <v>0</v>
      </c>
      <c r="AD424" s="194">
        <f t="shared" ca="1" si="2436"/>
        <v>0</v>
      </c>
      <c r="AE424" s="194">
        <f t="shared" ca="1" si="2436"/>
        <v>2042.6675216486408</v>
      </c>
      <c r="AF424" s="194">
        <f t="shared" ca="1" si="2436"/>
        <v>0</v>
      </c>
      <c r="AG424" s="194">
        <f t="shared" ca="1" si="2436"/>
        <v>0</v>
      </c>
      <c r="AH424" s="194">
        <f t="shared" ca="1" si="2436"/>
        <v>0</v>
      </c>
      <c r="AI424" s="194">
        <f t="shared" ca="1" si="2436"/>
        <v>2165.2275729475596</v>
      </c>
      <c r="AJ424" s="194">
        <f t="shared" ca="1" si="2436"/>
        <v>0</v>
      </c>
      <c r="AK424" s="194">
        <f t="shared" ca="1" si="2436"/>
        <v>0</v>
      </c>
      <c r="AL424" s="194">
        <f t="shared" ca="1" si="2436"/>
        <v>0</v>
      </c>
      <c r="AM424" s="194">
        <f t="shared" ca="1" si="2436"/>
        <v>2295.1412273244136</v>
      </c>
      <c r="AN424" s="194">
        <f t="shared" ca="1" si="2436"/>
        <v>0</v>
      </c>
      <c r="AO424" s="194">
        <f t="shared" ca="1" si="2436"/>
        <v>0</v>
      </c>
      <c r="AP424" s="194">
        <f t="shared" ca="1" si="2436"/>
        <v>0</v>
      </c>
      <c r="AQ424" s="194">
        <f t="shared" ca="1" si="2436"/>
        <v>2432.8497009638781</v>
      </c>
      <c r="AR424" s="194">
        <f t="shared" ca="1" si="2436"/>
        <v>0</v>
      </c>
      <c r="AS424" s="194">
        <f t="shared" ca="1" si="2436"/>
        <v>0</v>
      </c>
      <c r="AT424" s="194">
        <f t="shared" ca="1" si="2436"/>
        <v>0</v>
      </c>
      <c r="AU424" s="194">
        <f t="shared" ca="1" si="2436"/>
        <v>2578.8206830217109</v>
      </c>
      <c r="AV424" s="194">
        <f t="shared" ca="1" si="2436"/>
        <v>0</v>
      </c>
      <c r="AW424" s="194"/>
      <c r="AX424" s="169">
        <f ca="1">SUM(G424:AW424)</f>
        <v>21559.165400050202</v>
      </c>
    </row>
    <row r="425" spans="1:50" x14ac:dyDescent="0.2">
      <c r="A425" s="317" t="s">
        <v>2326</v>
      </c>
      <c r="B425" s="186"/>
      <c r="C425" s="157"/>
      <c r="D425" s="158">
        <v>1</v>
      </c>
      <c r="F425" s="57" t="s">
        <v>2327</v>
      </c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87"/>
    </row>
    <row r="426" spans="1:50" x14ac:dyDescent="0.2">
      <c r="A426" s="172" t="str">
        <f ca="1">Language!A$643</f>
        <v>физический расход на проданные товары за период</v>
      </c>
      <c r="B426" s="325">
        <v>300</v>
      </c>
      <c r="C426" s="326" t="s">
        <v>2259</v>
      </c>
      <c r="D426" s="114"/>
      <c r="E426" s="57" t="s">
        <v>950</v>
      </c>
      <c r="F426" s="57" t="s">
        <v>753</v>
      </c>
      <c r="G426" s="311">
        <f t="shared" ref="G426:AV426" si="2437">IF(G$2&gt;Prj_Invest,$B426,0)</f>
        <v>300</v>
      </c>
      <c r="H426" s="311">
        <f t="shared" si="2437"/>
        <v>300</v>
      </c>
      <c r="I426" s="311">
        <f t="shared" si="2437"/>
        <v>300</v>
      </c>
      <c r="J426" s="311">
        <f t="shared" si="2437"/>
        <v>300</v>
      </c>
      <c r="K426" s="311">
        <f t="shared" si="2437"/>
        <v>300</v>
      </c>
      <c r="L426" s="311">
        <f t="shared" si="2437"/>
        <v>300</v>
      </c>
      <c r="M426" s="311">
        <f t="shared" si="2437"/>
        <v>300</v>
      </c>
      <c r="N426" s="311">
        <f t="shared" si="2437"/>
        <v>300</v>
      </c>
      <c r="O426" s="311">
        <f t="shared" si="2437"/>
        <v>300</v>
      </c>
      <c r="P426" s="311">
        <f t="shared" si="2437"/>
        <v>300</v>
      </c>
      <c r="Q426" s="311">
        <f t="shared" si="2437"/>
        <v>300</v>
      </c>
      <c r="R426" s="311">
        <f t="shared" si="2437"/>
        <v>300</v>
      </c>
      <c r="S426" s="311">
        <f t="shared" si="2437"/>
        <v>300</v>
      </c>
      <c r="T426" s="311">
        <f t="shared" si="2437"/>
        <v>300</v>
      </c>
      <c r="U426" s="311">
        <f t="shared" si="2437"/>
        <v>300</v>
      </c>
      <c r="V426" s="311">
        <f t="shared" si="2437"/>
        <v>300</v>
      </c>
      <c r="W426" s="311">
        <f t="shared" si="2437"/>
        <v>300</v>
      </c>
      <c r="X426" s="311">
        <f t="shared" si="2437"/>
        <v>300</v>
      </c>
      <c r="Y426" s="311">
        <f t="shared" si="2437"/>
        <v>300</v>
      </c>
      <c r="Z426" s="311">
        <f t="shared" si="2437"/>
        <v>300</v>
      </c>
      <c r="AA426" s="311">
        <f t="shared" si="2437"/>
        <v>300</v>
      </c>
      <c r="AB426" s="311">
        <f t="shared" si="2437"/>
        <v>300</v>
      </c>
      <c r="AC426" s="311">
        <f t="shared" si="2437"/>
        <v>300</v>
      </c>
      <c r="AD426" s="311">
        <f t="shared" si="2437"/>
        <v>300</v>
      </c>
      <c r="AE426" s="311">
        <f t="shared" si="2437"/>
        <v>300</v>
      </c>
      <c r="AF426" s="311">
        <f t="shared" si="2437"/>
        <v>300</v>
      </c>
      <c r="AG426" s="311">
        <f t="shared" si="2437"/>
        <v>300</v>
      </c>
      <c r="AH426" s="311">
        <f t="shared" si="2437"/>
        <v>300</v>
      </c>
      <c r="AI426" s="311">
        <f t="shared" si="2437"/>
        <v>300</v>
      </c>
      <c r="AJ426" s="311">
        <f t="shared" si="2437"/>
        <v>300</v>
      </c>
      <c r="AK426" s="311">
        <f t="shared" si="2437"/>
        <v>300</v>
      </c>
      <c r="AL426" s="311">
        <f t="shared" si="2437"/>
        <v>300</v>
      </c>
      <c r="AM426" s="311">
        <f t="shared" si="2437"/>
        <v>300</v>
      </c>
      <c r="AN426" s="311">
        <f t="shared" si="2437"/>
        <v>300</v>
      </c>
      <c r="AO426" s="311">
        <f t="shared" si="2437"/>
        <v>300</v>
      </c>
      <c r="AP426" s="311">
        <f t="shared" si="2437"/>
        <v>300</v>
      </c>
      <c r="AQ426" s="311">
        <f t="shared" si="2437"/>
        <v>300</v>
      </c>
      <c r="AR426" s="311">
        <f t="shared" si="2437"/>
        <v>300</v>
      </c>
      <c r="AS426" s="311">
        <f t="shared" si="2437"/>
        <v>300</v>
      </c>
      <c r="AT426" s="311">
        <f t="shared" si="2437"/>
        <v>300</v>
      </c>
      <c r="AU426" s="311">
        <f t="shared" si="2437"/>
        <v>300</v>
      </c>
      <c r="AV426" s="311">
        <f t="shared" si="2437"/>
        <v>300</v>
      </c>
      <c r="AW426" s="148"/>
      <c r="AX426" s="171">
        <f>SUM(G426:AW426)</f>
        <v>12600</v>
      </c>
    </row>
    <row r="427" spans="1:50" x14ac:dyDescent="0.2">
      <c r="A427" s="172" t="str">
        <f ca="1">Language!A$644 &amp; C426 &amp; Language!A$1457</f>
        <v>цена за единицу (тн), без НДС</v>
      </c>
      <c r="B427" s="325">
        <v>35</v>
      </c>
      <c r="C427" s="146" t="str">
        <f ca="1">CHOOSE(D425,CurName1,CurName2,CurName3)</f>
        <v>тыс. руб.</v>
      </c>
      <c r="E427" s="57" t="s">
        <v>848</v>
      </c>
      <c r="F427" s="57" t="s">
        <v>756</v>
      </c>
      <c r="G427" s="304">
        <f t="shared" ref="G427" ca="1" si="2438">IF(G$2=1,$B427,F427)*G444</f>
        <v>35</v>
      </c>
      <c r="H427" s="304">
        <f t="shared" ref="H427" ca="1" si="2439">IF(H$2=1,$B427,G427)*H444</f>
        <v>35.513584615903078</v>
      </c>
      <c r="I427" s="304">
        <f t="shared" ref="I427" ca="1" si="2440">IF(I$2=1,$B427,H427)*I444</f>
        <v>36.034705493454503</v>
      </c>
      <c r="J427" s="304">
        <f t="shared" ref="J427" ca="1" si="2441">IF(J$2=1,$B427,I427)*J444</f>
        <v>36.563473218598396</v>
      </c>
      <c r="K427" s="304">
        <f t="shared" ref="K427" ca="1" si="2442">IF(K$2=1,$B427,J427)*K444</f>
        <v>37.1</v>
      </c>
      <c r="L427" s="304">
        <f t="shared" ref="L427" ca="1" si="2443">IF(L$2=1,$B427,K427)*L444</f>
        <v>37.644399692857263</v>
      </c>
      <c r="M427" s="304">
        <f t="shared" ref="M427" ca="1" si="2444">IF(M$2=1,$B427,L427)*M444</f>
        <v>38.196787823061776</v>
      </c>
      <c r="N427" s="304">
        <f t="shared" ref="N427" ca="1" si="2445">IF(N$2=1,$B427,M427)*N444</f>
        <v>38.757281611714305</v>
      </c>
      <c r="O427" s="304">
        <f t="shared" ref="O427" ca="1" si="2446">IF(O$2=1,$B427,N427)*O444</f>
        <v>39.326000000000008</v>
      </c>
      <c r="P427" s="304">
        <f t="shared" ref="P427" ca="1" si="2447">IF(P$2=1,$B427,O427)*P444</f>
        <v>39.903063674428701</v>
      </c>
      <c r="Q427" s="304">
        <f t="shared" ref="Q427" ca="1" si="2448">IF(Q$2=1,$B427,P427)*Q444</f>
        <v>40.488595092445486</v>
      </c>
      <c r="R427" s="304">
        <f t="shared" ref="R427" ca="1" si="2449">IF(R$2=1,$B427,Q427)*R444</f>
        <v>41.082718508417166</v>
      </c>
      <c r="S427" s="304">
        <f t="shared" ref="S427" ca="1" si="2450">IF(S$2=1,$B427,R427)*S444</f>
        <v>41.685560000000009</v>
      </c>
      <c r="T427" s="304">
        <f t="shared" ref="T427" ca="1" si="2451">IF(T$2=1,$B427,S427)*T444</f>
        <v>42.297247494894428</v>
      </c>
      <c r="U427" s="304">
        <f t="shared" ref="U427" ca="1" si="2452">IF(U$2=1,$B427,T427)*U444</f>
        <v>42.917910797992221</v>
      </c>
      <c r="V427" s="304">
        <f t="shared" ref="V427" ca="1" si="2453">IF(V$2=1,$B427,U427)*V444</f>
        <v>43.547681618922198</v>
      </c>
      <c r="W427" s="304">
        <f t="shared" ref="W427" ca="1" si="2454">IF(W$2=1,$B427,V427)*W444</f>
        <v>44.186693600000012</v>
      </c>
      <c r="X427" s="304">
        <f t="shared" ref="X427" ca="1" si="2455">IF(X$2=1,$B427,W427)*X444</f>
        <v>44.835082344588095</v>
      </c>
      <c r="Y427" s="304">
        <f t="shared" ref="Y427" ca="1" si="2456">IF(Y$2=1,$B427,X427)*Y444</f>
        <v>45.492985445871753</v>
      </c>
      <c r="Z427" s="304">
        <f t="shared" ref="Z427" ca="1" si="2457">IF(Z$2=1,$B427,Y427)*Z444</f>
        <v>46.160542516057532</v>
      </c>
      <c r="AA427" s="304">
        <f t="shared" ref="AA427" ca="1" si="2458">IF(AA$2=1,$B427,Z427)*AA444</f>
        <v>46.837895216000021</v>
      </c>
      <c r="AB427" s="304">
        <f t="shared" ref="AB427" ca="1" si="2459">IF(AB$2=1,$B427,AA427)*AB444</f>
        <v>47.525187285263385</v>
      </c>
      <c r="AC427" s="304">
        <f t="shared" ref="AC427" ca="1" si="2460">IF(AC$2=1,$B427,AB427)*AC444</f>
        <v>48.222564572624066</v>
      </c>
      <c r="AD427" s="304">
        <f t="shared" ref="AD427" ca="1" si="2461">IF(AD$2=1,$B427,AC427)*AD444</f>
        <v>48.93017506702099</v>
      </c>
      <c r="AE427" s="304">
        <f t="shared" ref="AE427" ca="1" si="2462">IF(AE$2=1,$B427,AD427)*AE444</f>
        <v>49.648168928960025</v>
      </c>
      <c r="AF427" s="304">
        <f t="shared" ref="AF427" ca="1" si="2463">IF(AF$2=1,$B427,AE427)*AF444</f>
        <v>50.376698522379193</v>
      </c>
      <c r="AG427" s="304">
        <f t="shared" ref="AG427" ca="1" si="2464">IF(AG$2=1,$B427,AF427)*AG444</f>
        <v>51.11591844698151</v>
      </c>
      <c r="AH427" s="304">
        <f t="shared" ref="AH427" ca="1" si="2465">IF(AH$2=1,$B427,AG427)*AH444</f>
        <v>51.865985571042252</v>
      </c>
      <c r="AI427" s="304">
        <f t="shared" ref="AI427" ca="1" si="2466">IF(AI$2=1,$B427,AH427)*AI444</f>
        <v>52.627059064697626</v>
      </c>
      <c r="AJ427" s="304">
        <f t="shared" ref="AJ427" ca="1" si="2467">IF(AJ$2=1,$B427,AI427)*AJ444</f>
        <v>53.399300433721947</v>
      </c>
      <c r="AK427" s="304">
        <f t="shared" ref="AK427" ca="1" si="2468">IF(AK$2=1,$B427,AJ427)*AK444</f>
        <v>54.182873553800405</v>
      </c>
      <c r="AL427" s="304">
        <f t="shared" ref="AL427" ca="1" si="2469">IF(AL$2=1,$B427,AK427)*AL444</f>
        <v>54.977944705304793</v>
      </c>
      <c r="AM427" s="304">
        <f t="shared" ref="AM427" ca="1" si="2470">IF(AM$2=1,$B427,AL427)*AM444</f>
        <v>55.784682608579494</v>
      </c>
      <c r="AN427" s="304">
        <f t="shared" ref="AN427" ca="1" si="2471">IF(AN$2=1,$B427,AM427)*AN444</f>
        <v>56.603258459745277</v>
      </c>
      <c r="AO427" s="304">
        <f t="shared" ref="AO427" ca="1" si="2472">IF(AO$2=1,$B427,AN427)*AO444</f>
        <v>57.433845967028439</v>
      </c>
      <c r="AP427" s="304">
        <f t="shared" ref="AP427" ca="1" si="2473">IF(AP$2=1,$B427,AO427)*AP444</f>
        <v>58.276621387623088</v>
      </c>
      <c r="AQ427" s="304">
        <f t="shared" ref="AQ427" ca="1" si="2474">IF(AQ$2=1,$B427,AP427)*AQ444</f>
        <v>59.131763565094268</v>
      </c>
      <c r="AR427" s="304">
        <f t="shared" ref="AR427" ca="1" si="2475">IF(AR$2=1,$B427,AQ427)*AR444</f>
        <v>59.999453967329991</v>
      </c>
      <c r="AS427" s="304">
        <f t="shared" ref="AS427" ca="1" si="2476">IF(AS$2=1,$B427,AR427)*AS444</f>
        <v>60.879876725050146</v>
      </c>
      <c r="AT427" s="304">
        <f t="shared" ref="AT427" ca="1" si="2477">IF(AT$2=1,$B427,AS427)*AT444</f>
        <v>61.773218670880475</v>
      </c>
      <c r="AU427" s="304">
        <f t="shared" ref="AU427" ca="1" si="2478">IF(AU$2=1,$B427,AT427)*AU444</f>
        <v>62.679669378999925</v>
      </c>
      <c r="AV427" s="304">
        <f t="shared" ref="AV427" ca="1" si="2479">IF(AV$2=1,$B427,AU427)*AV444</f>
        <v>63.599421205369794</v>
      </c>
      <c r="AW427" s="148"/>
      <c r="AX427" s="187"/>
    </row>
    <row r="428" spans="1:50" collapsed="1" x14ac:dyDescent="0.2">
      <c r="A428" s="172" t="str">
        <f ca="1">Language!A$645</f>
        <v>затраты на проданный товар, без НДС</v>
      </c>
      <c r="B428" s="188"/>
      <c r="C428" s="146" t="str">
        <f t="shared" ref="C428:C429" ca="1" si="2480">CHOOSE(D428,CurName1,CurName2,CurName3)</f>
        <v>тыс. руб.</v>
      </c>
      <c r="D428" s="155">
        <f>D425</f>
        <v>1</v>
      </c>
      <c r="E428" s="57" t="s">
        <v>992</v>
      </c>
      <c r="F428" s="57" t="s">
        <v>753</v>
      </c>
      <c r="G428" s="148">
        <f t="shared" ref="G428:AV428" ca="1" si="2481">G427*G426*(1+G443)</f>
        <v>10500</v>
      </c>
      <c r="H428" s="148">
        <f t="shared" ca="1" si="2481"/>
        <v>10654.075384770924</v>
      </c>
      <c r="I428" s="148">
        <f t="shared" ca="1" si="2481"/>
        <v>10810.41164803635</v>
      </c>
      <c r="J428" s="148">
        <f t="shared" ca="1" si="2481"/>
        <v>10969.041965579519</v>
      </c>
      <c r="K428" s="148">
        <f t="shared" ca="1" si="2481"/>
        <v>11130</v>
      </c>
      <c r="L428" s="148">
        <f t="shared" ca="1" si="2481"/>
        <v>11293.31990785718</v>
      </c>
      <c r="M428" s="148">
        <f t="shared" ca="1" si="2481"/>
        <v>11459.036346918532</v>
      </c>
      <c r="N428" s="148">
        <f t="shared" ca="1" si="2481"/>
        <v>11627.184483514291</v>
      </c>
      <c r="O428" s="148">
        <f t="shared" ca="1" si="2481"/>
        <v>11797.800000000003</v>
      </c>
      <c r="P428" s="148">
        <f t="shared" ca="1" si="2481"/>
        <v>11970.919102328609</v>
      </c>
      <c r="Q428" s="148">
        <f t="shared" ca="1" si="2481"/>
        <v>12146.578527733645</v>
      </c>
      <c r="R428" s="148">
        <f t="shared" ca="1" si="2481"/>
        <v>12324.81555252515</v>
      </c>
      <c r="S428" s="148">
        <f t="shared" ca="1" si="2481"/>
        <v>12505.668000000003</v>
      </c>
      <c r="T428" s="148">
        <f t="shared" ca="1" si="2481"/>
        <v>12689.174248468329</v>
      </c>
      <c r="U428" s="148">
        <f t="shared" ca="1" si="2481"/>
        <v>12875.373239397666</v>
      </c>
      <c r="V428" s="148">
        <f t="shared" ca="1" si="2481"/>
        <v>13064.304485676659</v>
      </c>
      <c r="W428" s="148">
        <f t="shared" ca="1" si="2481"/>
        <v>13256.008080000003</v>
      </c>
      <c r="X428" s="148">
        <f t="shared" ca="1" si="2481"/>
        <v>13450.524703376428</v>
      </c>
      <c r="Y428" s="148">
        <f t="shared" ca="1" si="2481"/>
        <v>13647.895633761525</v>
      </c>
      <c r="Z428" s="148">
        <f t="shared" ca="1" si="2481"/>
        <v>13848.16275481726</v>
      </c>
      <c r="AA428" s="148">
        <f t="shared" ca="1" si="2481"/>
        <v>14051.368564800006</v>
      </c>
      <c r="AB428" s="148">
        <f t="shared" ca="1" si="2481"/>
        <v>14257.556185579015</v>
      </c>
      <c r="AC428" s="148">
        <f t="shared" ca="1" si="2481"/>
        <v>14466.769371787219</v>
      </c>
      <c r="AD428" s="148">
        <f t="shared" ca="1" si="2481"/>
        <v>14679.052520106297</v>
      </c>
      <c r="AE428" s="148">
        <f t="shared" ca="1" si="2481"/>
        <v>14894.450678688008</v>
      </c>
      <c r="AF428" s="148">
        <f t="shared" ca="1" si="2481"/>
        <v>15113.009556713758</v>
      </c>
      <c r="AG428" s="148">
        <f t="shared" ca="1" si="2481"/>
        <v>15334.775534094453</v>
      </c>
      <c r="AH428" s="148">
        <f t="shared" ca="1" si="2481"/>
        <v>15559.795671312675</v>
      </c>
      <c r="AI428" s="148">
        <f t="shared" ca="1" si="2481"/>
        <v>15788.117719409287</v>
      </c>
      <c r="AJ428" s="148">
        <f t="shared" ca="1" si="2481"/>
        <v>16019.790130116584</v>
      </c>
      <c r="AK428" s="148">
        <f t="shared" ca="1" si="2481"/>
        <v>16254.862066140122</v>
      </c>
      <c r="AL428" s="148">
        <f t="shared" ca="1" si="2481"/>
        <v>16493.38341159144</v>
      </c>
      <c r="AM428" s="148">
        <f t="shared" ca="1" si="2481"/>
        <v>16735.404782573849</v>
      </c>
      <c r="AN428" s="148">
        <f t="shared" ca="1" si="2481"/>
        <v>16980.977537923583</v>
      </c>
      <c r="AO428" s="148">
        <f t="shared" ca="1" si="2481"/>
        <v>17230.153790108532</v>
      </c>
      <c r="AP428" s="148">
        <f t="shared" ca="1" si="2481"/>
        <v>17482.986416286927</v>
      </c>
      <c r="AQ428" s="148">
        <f t="shared" ca="1" si="2481"/>
        <v>17739.529069528282</v>
      </c>
      <c r="AR428" s="148">
        <f t="shared" ca="1" si="2481"/>
        <v>17999.836190198996</v>
      </c>
      <c r="AS428" s="148">
        <f t="shared" ca="1" si="2481"/>
        <v>18263.963017515045</v>
      </c>
      <c r="AT428" s="148">
        <f t="shared" ca="1" si="2481"/>
        <v>18531.965601264143</v>
      </c>
      <c r="AU428" s="148">
        <f t="shared" ca="1" si="2481"/>
        <v>18803.900813699976</v>
      </c>
      <c r="AV428" s="148">
        <f t="shared" ca="1" si="2481"/>
        <v>19079.82636161094</v>
      </c>
      <c r="AW428" s="148"/>
      <c r="AX428" s="171">
        <f ca="1">SUM(G428:AW428)</f>
        <v>603781.76905581111</v>
      </c>
    </row>
    <row r="429" spans="1:50" hidden="1" outlineLevel="1" x14ac:dyDescent="0.2">
      <c r="A429" s="179" t="str">
        <f ca="1">Language!A$646</f>
        <v>запасы сырья и материалов</v>
      </c>
      <c r="B429" s="188"/>
      <c r="C429" s="82" t="str">
        <f t="shared" ca="1" si="2480"/>
        <v>тыс. руб.</v>
      </c>
      <c r="D429" s="155">
        <f>D425</f>
        <v>1</v>
      </c>
      <c r="E429" s="57" t="s">
        <v>1012</v>
      </c>
      <c r="F429" s="57" t="s">
        <v>754</v>
      </c>
      <c r="G429" s="319">
        <f ca="1">IF(AND($B430=0,G$2&gt;1),F429,G428*$B430/Параметры!G$30)</f>
        <v>0</v>
      </c>
      <c r="H429" s="319">
        <f ca="1">IF(AND($B430=0,H$2&gt;1),G429,H428*$B430/Параметры!H$30)</f>
        <v>0</v>
      </c>
      <c r="I429" s="319">
        <f ca="1">IF(AND($B430=0,I$2&gt;1),H429,I428*$B430/Параметры!I$30)</f>
        <v>0</v>
      </c>
      <c r="J429" s="319">
        <f ca="1">IF(AND($B430=0,J$2&gt;1),I429,J428*$B430/Параметры!J$30)</f>
        <v>0</v>
      </c>
      <c r="K429" s="319">
        <f ca="1">IF(AND($B430=0,K$2&gt;1),J429,K428*$B430/Параметры!K$30)</f>
        <v>0</v>
      </c>
      <c r="L429" s="319">
        <f ca="1">IF(AND($B430=0,L$2&gt;1),K429,L428*$B430/Параметры!L$30)</f>
        <v>0</v>
      </c>
      <c r="M429" s="319">
        <f ca="1">IF(AND($B430=0,M$2&gt;1),L429,M428*$B430/Параметры!M$30)</f>
        <v>0</v>
      </c>
      <c r="N429" s="319">
        <f ca="1">IF(AND($B430=0,N$2&gt;1),M429,N428*$B430/Параметры!N$30)</f>
        <v>0</v>
      </c>
      <c r="O429" s="319">
        <f ca="1">IF(AND($B430=0,O$2&gt;1),N429,O428*$B430/Параметры!O$30)</f>
        <v>0</v>
      </c>
      <c r="P429" s="319">
        <f ca="1">IF(AND($B430=0,P$2&gt;1),O429,P428*$B430/Параметры!P$30)</f>
        <v>0</v>
      </c>
      <c r="Q429" s="319">
        <f ca="1">IF(AND($B430=0,Q$2&gt;1),P429,Q428*$B430/Параметры!Q$30)</f>
        <v>0</v>
      </c>
      <c r="R429" s="319">
        <f ca="1">IF(AND($B430=0,R$2&gt;1),Q429,R428*$B430/Параметры!R$30)</f>
        <v>0</v>
      </c>
      <c r="S429" s="319">
        <f ca="1">IF(AND($B430=0,S$2&gt;1),R429,S428*$B430/Параметры!S$30)</f>
        <v>0</v>
      </c>
      <c r="T429" s="319">
        <f ca="1">IF(AND($B430=0,T$2&gt;1),S429,T428*$B430/Параметры!T$30)</f>
        <v>0</v>
      </c>
      <c r="U429" s="319">
        <f ca="1">IF(AND($B430=0,U$2&gt;1),T429,U428*$B430/Параметры!U$30)</f>
        <v>0</v>
      </c>
      <c r="V429" s="319">
        <f ca="1">IF(AND($B430=0,V$2&gt;1),U429,V428*$B430/Параметры!V$30)</f>
        <v>0</v>
      </c>
      <c r="W429" s="319">
        <f ca="1">IF(AND($B430=0,W$2&gt;1),V429,W428*$B430/Параметры!W$30)</f>
        <v>0</v>
      </c>
      <c r="X429" s="319">
        <f ca="1">IF(AND($B430=0,X$2&gt;1),W429,X428*$B430/Параметры!X$30)</f>
        <v>0</v>
      </c>
      <c r="Y429" s="319">
        <f ca="1">IF(AND($B430=0,Y$2&gt;1),X429,Y428*$B430/Параметры!Y$30)</f>
        <v>0</v>
      </c>
      <c r="Z429" s="319">
        <f ca="1">IF(AND($B430=0,Z$2&gt;1),Y429,Z428*$B430/Параметры!Z$30)</f>
        <v>0</v>
      </c>
      <c r="AA429" s="319">
        <f ca="1">IF(AND($B430=0,AA$2&gt;1),Z429,AA428*$B430/Параметры!AA$30)</f>
        <v>0</v>
      </c>
      <c r="AB429" s="319">
        <f ca="1">IF(AND($B430=0,AB$2&gt;1),AA429,AB428*$B430/Параметры!AB$30)</f>
        <v>0</v>
      </c>
      <c r="AC429" s="319">
        <f ca="1">IF(AND($B430=0,AC$2&gt;1),AB429,AC428*$B430/Параметры!AC$30)</f>
        <v>0</v>
      </c>
      <c r="AD429" s="319">
        <f ca="1">IF(AND($B430=0,AD$2&gt;1),AC429,AD428*$B430/Параметры!AD$30)</f>
        <v>0</v>
      </c>
      <c r="AE429" s="319">
        <f ca="1">IF(AND($B430=0,AE$2&gt;1),AD429,AE428*$B430/Параметры!AE$30)</f>
        <v>0</v>
      </c>
      <c r="AF429" s="319">
        <f ca="1">IF(AND($B430=0,AF$2&gt;1),AE429,AF428*$B430/Параметры!AF$30)</f>
        <v>0</v>
      </c>
      <c r="AG429" s="319">
        <f ca="1">IF(AND($B430=0,AG$2&gt;1),AF429,AG428*$B430/Параметры!AG$30)</f>
        <v>0</v>
      </c>
      <c r="AH429" s="319">
        <f ca="1">IF(AND($B430=0,AH$2&gt;1),AG429,AH428*$B430/Параметры!AH$30)</f>
        <v>0</v>
      </c>
      <c r="AI429" s="319">
        <f ca="1">IF(AND($B430=0,AI$2&gt;1),AH429,AI428*$B430/Параметры!AI$30)</f>
        <v>0</v>
      </c>
      <c r="AJ429" s="319">
        <f ca="1">IF(AND($B430=0,AJ$2&gt;1),AI429,AJ428*$B430/Параметры!AJ$30)</f>
        <v>0</v>
      </c>
      <c r="AK429" s="319">
        <f ca="1">IF(AND($B430=0,AK$2&gt;1),AJ429,AK428*$B430/Параметры!AK$30)</f>
        <v>0</v>
      </c>
      <c r="AL429" s="319">
        <f ca="1">IF(AND($B430=0,AL$2&gt;1),AK429,AL428*$B430/Параметры!AL$30)</f>
        <v>0</v>
      </c>
      <c r="AM429" s="319">
        <f ca="1">IF(AND($B430=0,AM$2&gt;1),AL429,AM428*$B430/Параметры!AM$30)</f>
        <v>0</v>
      </c>
      <c r="AN429" s="319">
        <f ca="1">IF(AND($B430=0,AN$2&gt;1),AM429,AN428*$B430/Параметры!AN$30)</f>
        <v>0</v>
      </c>
      <c r="AO429" s="319">
        <f ca="1">IF(AND($B430=0,AO$2&gt;1),AN429,AO428*$B430/Параметры!AO$30)</f>
        <v>0</v>
      </c>
      <c r="AP429" s="319">
        <f ca="1">IF(AND($B430=0,AP$2&gt;1),AO429,AP428*$B430/Параметры!AP$30)</f>
        <v>0</v>
      </c>
      <c r="AQ429" s="319">
        <f ca="1">IF(AND($B430=0,AQ$2&gt;1),AP429,AQ428*$B430/Параметры!AQ$30)</f>
        <v>0</v>
      </c>
      <c r="AR429" s="319">
        <f ca="1">IF(AND($B430=0,AR$2&gt;1),AQ429,AR428*$B430/Параметры!AR$30)</f>
        <v>0</v>
      </c>
      <c r="AS429" s="319">
        <f ca="1">IF(AND($B430=0,AS$2&gt;1),AR429,AS428*$B430/Параметры!AS$30)</f>
        <v>0</v>
      </c>
      <c r="AT429" s="319">
        <f ca="1">IF(AND($B430=0,AT$2&gt;1),AS429,AT428*$B430/Параметры!AT$30)</f>
        <v>0</v>
      </c>
      <c r="AU429" s="319">
        <f ca="1">IF(AND($B430=0,AU$2&gt;1),AT429,AU428*$B430/Параметры!AU$30)</f>
        <v>0</v>
      </c>
      <c r="AV429" s="319">
        <f ca="1">IF(AND($B430=0,AV$2&gt;1),AU429,AV428*$B430/Параметры!AV$30)</f>
        <v>0</v>
      </c>
      <c r="AW429" s="45"/>
      <c r="AX429" s="171"/>
    </row>
    <row r="430" spans="1:50" hidden="1" outlineLevel="1" x14ac:dyDescent="0.2">
      <c r="A430" s="181" t="str">
        <f ca="1">Language!A$647</f>
        <v>периодичность закупки</v>
      </c>
      <c r="B430" s="320">
        <f>$B$630</f>
        <v>0</v>
      </c>
      <c r="C430" s="152" t="str">
        <f ca="1">Language!$A$1446</f>
        <v>дней</v>
      </c>
      <c r="D430" s="155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71"/>
    </row>
    <row r="431" spans="1:50" hidden="1" outlineLevel="1" x14ac:dyDescent="0.2">
      <c r="A431" s="179" t="str">
        <f ca="1">Language!A$648</f>
        <v>затраты в запасах готовой продукции</v>
      </c>
      <c r="B431" s="188"/>
      <c r="C431" s="82" t="str">
        <f t="shared" ref="C431" ca="1" si="2482">CHOOSE(D431,CurName1,CurName2,CurName3)</f>
        <v>тыс. руб.</v>
      </c>
      <c r="D431" s="155">
        <f>D425</f>
        <v>1</v>
      </c>
      <c r="E431" s="57" t="s">
        <v>1013</v>
      </c>
      <c r="F431" s="57" t="s">
        <v>754</v>
      </c>
      <c r="G431" s="319">
        <f ca="1">IF(AND($B432=0,G$2&gt;1),F431,G428*$B432/Параметры!G$30)</f>
        <v>0</v>
      </c>
      <c r="H431" s="319">
        <f ca="1">IF(AND($B432=0,H$2&gt;1),G431,H428*$B432/Параметры!H$30)</f>
        <v>0</v>
      </c>
      <c r="I431" s="319">
        <f ca="1">IF(AND($B432=0,I$2&gt;1),H431,I428*$B432/Параметры!I$30)</f>
        <v>0</v>
      </c>
      <c r="J431" s="319">
        <f ca="1">IF(AND($B432=0,J$2&gt;1),I431,J428*$B432/Параметры!J$30)</f>
        <v>0</v>
      </c>
      <c r="K431" s="319">
        <f ca="1">IF(AND($B432=0,K$2&gt;1),J431,K428*$B432/Параметры!K$30)</f>
        <v>0</v>
      </c>
      <c r="L431" s="319">
        <f ca="1">IF(AND($B432=0,L$2&gt;1),K431,L428*$B432/Параметры!L$30)</f>
        <v>0</v>
      </c>
      <c r="M431" s="319">
        <f ca="1">IF(AND($B432=0,M$2&gt;1),L431,M428*$B432/Параметры!M$30)</f>
        <v>0</v>
      </c>
      <c r="N431" s="319">
        <f ca="1">IF(AND($B432=0,N$2&gt;1),M431,N428*$B432/Параметры!N$30)</f>
        <v>0</v>
      </c>
      <c r="O431" s="319">
        <f ca="1">IF(AND($B432=0,O$2&gt;1),N431,O428*$B432/Параметры!O$30)</f>
        <v>0</v>
      </c>
      <c r="P431" s="319">
        <f ca="1">IF(AND($B432=0,P$2&gt;1),O431,P428*$B432/Параметры!P$30)</f>
        <v>0</v>
      </c>
      <c r="Q431" s="319">
        <f ca="1">IF(AND($B432=0,Q$2&gt;1),P431,Q428*$B432/Параметры!Q$30)</f>
        <v>0</v>
      </c>
      <c r="R431" s="319">
        <f ca="1">IF(AND($B432=0,R$2&gt;1),Q431,R428*$B432/Параметры!R$30)</f>
        <v>0</v>
      </c>
      <c r="S431" s="319">
        <f ca="1">IF(AND($B432=0,S$2&gt;1),R431,S428*$B432/Параметры!S$30)</f>
        <v>0</v>
      </c>
      <c r="T431" s="319">
        <f ca="1">IF(AND($B432=0,T$2&gt;1),S431,T428*$B432/Параметры!T$30)</f>
        <v>0</v>
      </c>
      <c r="U431" s="319">
        <f ca="1">IF(AND($B432=0,U$2&gt;1),T431,U428*$B432/Параметры!U$30)</f>
        <v>0</v>
      </c>
      <c r="V431" s="319">
        <f ca="1">IF(AND($B432=0,V$2&gt;1),U431,V428*$B432/Параметры!V$30)</f>
        <v>0</v>
      </c>
      <c r="W431" s="319">
        <f ca="1">IF(AND($B432=0,W$2&gt;1),V431,W428*$B432/Параметры!W$30)</f>
        <v>0</v>
      </c>
      <c r="X431" s="319">
        <f ca="1">IF(AND($B432=0,X$2&gt;1),W431,X428*$B432/Параметры!X$30)</f>
        <v>0</v>
      </c>
      <c r="Y431" s="319">
        <f ca="1">IF(AND($B432=0,Y$2&gt;1),X431,Y428*$B432/Параметры!Y$30)</f>
        <v>0</v>
      </c>
      <c r="Z431" s="319">
        <f ca="1">IF(AND($B432=0,Z$2&gt;1),Y431,Z428*$B432/Параметры!Z$30)</f>
        <v>0</v>
      </c>
      <c r="AA431" s="319">
        <f ca="1">IF(AND($B432=0,AA$2&gt;1),Z431,AA428*$B432/Параметры!AA$30)</f>
        <v>0</v>
      </c>
      <c r="AB431" s="319">
        <f ca="1">IF(AND($B432=0,AB$2&gt;1),AA431,AB428*$B432/Параметры!AB$30)</f>
        <v>0</v>
      </c>
      <c r="AC431" s="319">
        <f ca="1">IF(AND($B432=0,AC$2&gt;1),AB431,AC428*$B432/Параметры!AC$30)</f>
        <v>0</v>
      </c>
      <c r="AD431" s="319">
        <f ca="1">IF(AND($B432=0,AD$2&gt;1),AC431,AD428*$B432/Параметры!AD$30)</f>
        <v>0</v>
      </c>
      <c r="AE431" s="319">
        <f ca="1">IF(AND($B432=0,AE$2&gt;1),AD431,AE428*$B432/Параметры!AE$30)</f>
        <v>0</v>
      </c>
      <c r="AF431" s="319">
        <f ca="1">IF(AND($B432=0,AF$2&gt;1),AE431,AF428*$B432/Параметры!AF$30)</f>
        <v>0</v>
      </c>
      <c r="AG431" s="319">
        <f ca="1">IF(AND($B432=0,AG$2&gt;1),AF431,AG428*$B432/Параметры!AG$30)</f>
        <v>0</v>
      </c>
      <c r="AH431" s="319">
        <f ca="1">IF(AND($B432=0,AH$2&gt;1),AG431,AH428*$B432/Параметры!AH$30)</f>
        <v>0</v>
      </c>
      <c r="AI431" s="319">
        <f ca="1">IF(AND($B432=0,AI$2&gt;1),AH431,AI428*$B432/Параметры!AI$30)</f>
        <v>0</v>
      </c>
      <c r="AJ431" s="319">
        <f ca="1">IF(AND($B432=0,AJ$2&gt;1),AI431,AJ428*$B432/Параметры!AJ$30)</f>
        <v>0</v>
      </c>
      <c r="AK431" s="319">
        <f ca="1">IF(AND($B432=0,AK$2&gt;1),AJ431,AK428*$B432/Параметры!AK$30)</f>
        <v>0</v>
      </c>
      <c r="AL431" s="319">
        <f ca="1">IF(AND($B432=0,AL$2&gt;1),AK431,AL428*$B432/Параметры!AL$30)</f>
        <v>0</v>
      </c>
      <c r="AM431" s="319">
        <f ca="1">IF(AND($B432=0,AM$2&gt;1),AL431,AM428*$B432/Параметры!AM$30)</f>
        <v>0</v>
      </c>
      <c r="AN431" s="319">
        <f ca="1">IF(AND($B432=0,AN$2&gt;1),AM431,AN428*$B432/Параметры!AN$30)</f>
        <v>0</v>
      </c>
      <c r="AO431" s="319">
        <f ca="1">IF(AND($B432=0,AO$2&gt;1),AN431,AO428*$B432/Параметры!AO$30)</f>
        <v>0</v>
      </c>
      <c r="AP431" s="319">
        <f ca="1">IF(AND($B432=0,AP$2&gt;1),AO431,AP428*$B432/Параметры!AP$30)</f>
        <v>0</v>
      </c>
      <c r="AQ431" s="319">
        <f ca="1">IF(AND($B432=0,AQ$2&gt;1),AP431,AQ428*$B432/Параметры!AQ$30)</f>
        <v>0</v>
      </c>
      <c r="AR431" s="319">
        <f ca="1">IF(AND($B432=0,AR$2&gt;1),AQ431,AR428*$B432/Параметры!AR$30)</f>
        <v>0</v>
      </c>
      <c r="AS431" s="319">
        <f ca="1">IF(AND($B432=0,AS$2&gt;1),AR431,AS428*$B432/Параметры!AS$30)</f>
        <v>0</v>
      </c>
      <c r="AT431" s="319">
        <f ca="1">IF(AND($B432=0,AT$2&gt;1),AS431,AT428*$B432/Параметры!AT$30)</f>
        <v>0</v>
      </c>
      <c r="AU431" s="319">
        <f ca="1">IF(AND($B432=0,AU$2&gt;1),AT431,AU428*$B432/Параметры!AU$30)</f>
        <v>0</v>
      </c>
      <c r="AV431" s="319">
        <f ca="1">IF(AND($B432=0,AV$2&gt;1),AU431,AV428*$B432/Параметры!AV$30)</f>
        <v>0</v>
      </c>
      <c r="AW431" s="180"/>
      <c r="AX431" s="189"/>
    </row>
    <row r="432" spans="1:50" hidden="1" outlineLevel="1" x14ac:dyDescent="0.2">
      <c r="A432" s="181" t="str">
        <f ca="1">Language!A$649</f>
        <v>периодичность отгрузки</v>
      </c>
      <c r="B432" s="320">
        <f>$B$642</f>
        <v>0</v>
      </c>
      <c r="C432" s="152" t="str">
        <f ca="1">Language!$A$1446</f>
        <v>дней</v>
      </c>
      <c r="D432" s="155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71"/>
    </row>
    <row r="433" spans="1:50" hidden="1" outlineLevel="1" x14ac:dyDescent="0.2">
      <c r="A433" s="179" t="str">
        <f ca="1">Language!A$650</f>
        <v>затраты в незавершенном производстве</v>
      </c>
      <c r="B433" s="188"/>
      <c r="C433" s="82" t="str">
        <f t="shared" ref="C433" ca="1" si="2483">CHOOSE(D433,CurName1,CurName2,CurName3)</f>
        <v>тыс. руб.</v>
      </c>
      <c r="D433" s="155">
        <f>D425</f>
        <v>1</v>
      </c>
      <c r="E433" s="57" t="s">
        <v>760</v>
      </c>
      <c r="F433" s="57" t="s">
        <v>754</v>
      </c>
      <c r="G433" s="319">
        <f ca="1">IF(AND($B434=0,G$2&gt;1),F433,G428*$B434/Параметры!G$30)</f>
        <v>0</v>
      </c>
      <c r="H433" s="319">
        <f ca="1">IF(AND($B434=0,H$2&gt;1),G433,H428*$B434/Параметры!H$30)</f>
        <v>0</v>
      </c>
      <c r="I433" s="319">
        <f ca="1">IF(AND($B434=0,I$2&gt;1),H433,I428*$B434/Параметры!I$30)</f>
        <v>0</v>
      </c>
      <c r="J433" s="319">
        <f ca="1">IF(AND($B434=0,J$2&gt;1),I433,J428*$B434/Параметры!J$30)</f>
        <v>0</v>
      </c>
      <c r="K433" s="319">
        <f ca="1">IF(AND($B434=0,K$2&gt;1),J433,K428*$B434/Параметры!K$30)</f>
        <v>0</v>
      </c>
      <c r="L433" s="319">
        <f ca="1">IF(AND($B434=0,L$2&gt;1),K433,L428*$B434/Параметры!L$30)</f>
        <v>0</v>
      </c>
      <c r="M433" s="319">
        <f ca="1">IF(AND($B434=0,M$2&gt;1),L433,M428*$B434/Параметры!M$30)</f>
        <v>0</v>
      </c>
      <c r="N433" s="319">
        <f ca="1">IF(AND($B434=0,N$2&gt;1),M433,N428*$B434/Параметры!N$30)</f>
        <v>0</v>
      </c>
      <c r="O433" s="319">
        <f ca="1">IF(AND($B434=0,O$2&gt;1),N433,O428*$B434/Параметры!O$30)</f>
        <v>0</v>
      </c>
      <c r="P433" s="319">
        <f ca="1">IF(AND($B434=0,P$2&gt;1),O433,P428*$B434/Параметры!P$30)</f>
        <v>0</v>
      </c>
      <c r="Q433" s="319">
        <f ca="1">IF(AND($B434=0,Q$2&gt;1),P433,Q428*$B434/Параметры!Q$30)</f>
        <v>0</v>
      </c>
      <c r="R433" s="319">
        <f ca="1">IF(AND($B434=0,R$2&gt;1),Q433,R428*$B434/Параметры!R$30)</f>
        <v>0</v>
      </c>
      <c r="S433" s="319">
        <f ca="1">IF(AND($B434=0,S$2&gt;1),R433,S428*$B434/Параметры!S$30)</f>
        <v>0</v>
      </c>
      <c r="T433" s="319">
        <f ca="1">IF(AND($B434=0,T$2&gt;1),S433,T428*$B434/Параметры!T$30)</f>
        <v>0</v>
      </c>
      <c r="U433" s="319">
        <f ca="1">IF(AND($B434=0,U$2&gt;1),T433,U428*$B434/Параметры!U$30)</f>
        <v>0</v>
      </c>
      <c r="V433" s="319">
        <f ca="1">IF(AND($B434=0,V$2&gt;1),U433,V428*$B434/Параметры!V$30)</f>
        <v>0</v>
      </c>
      <c r="W433" s="319">
        <f ca="1">IF(AND($B434=0,W$2&gt;1),V433,W428*$B434/Параметры!W$30)</f>
        <v>0</v>
      </c>
      <c r="X433" s="319">
        <f ca="1">IF(AND($B434=0,X$2&gt;1),W433,X428*$B434/Параметры!X$30)</f>
        <v>0</v>
      </c>
      <c r="Y433" s="319">
        <f ca="1">IF(AND($B434=0,Y$2&gt;1),X433,Y428*$B434/Параметры!Y$30)</f>
        <v>0</v>
      </c>
      <c r="Z433" s="319">
        <f ca="1">IF(AND($B434=0,Z$2&gt;1),Y433,Z428*$B434/Параметры!Z$30)</f>
        <v>0</v>
      </c>
      <c r="AA433" s="319">
        <f ca="1">IF(AND($B434=0,AA$2&gt;1),Z433,AA428*$B434/Параметры!AA$30)</f>
        <v>0</v>
      </c>
      <c r="AB433" s="319">
        <f ca="1">IF(AND($B434=0,AB$2&gt;1),AA433,AB428*$B434/Параметры!AB$30)</f>
        <v>0</v>
      </c>
      <c r="AC433" s="319">
        <f ca="1">IF(AND($B434=0,AC$2&gt;1),AB433,AC428*$B434/Параметры!AC$30)</f>
        <v>0</v>
      </c>
      <c r="AD433" s="319">
        <f ca="1">IF(AND($B434=0,AD$2&gt;1),AC433,AD428*$B434/Параметры!AD$30)</f>
        <v>0</v>
      </c>
      <c r="AE433" s="319">
        <f ca="1">IF(AND($B434=0,AE$2&gt;1),AD433,AE428*$B434/Параметры!AE$30)</f>
        <v>0</v>
      </c>
      <c r="AF433" s="319">
        <f ca="1">IF(AND($B434=0,AF$2&gt;1),AE433,AF428*$B434/Параметры!AF$30)</f>
        <v>0</v>
      </c>
      <c r="AG433" s="319">
        <f ca="1">IF(AND($B434=0,AG$2&gt;1),AF433,AG428*$B434/Параметры!AG$30)</f>
        <v>0</v>
      </c>
      <c r="AH433" s="319">
        <f ca="1">IF(AND($B434=0,AH$2&gt;1),AG433,AH428*$B434/Параметры!AH$30)</f>
        <v>0</v>
      </c>
      <c r="AI433" s="319">
        <f ca="1">IF(AND($B434=0,AI$2&gt;1),AH433,AI428*$B434/Параметры!AI$30)</f>
        <v>0</v>
      </c>
      <c r="AJ433" s="319">
        <f ca="1">IF(AND($B434=0,AJ$2&gt;1),AI433,AJ428*$B434/Параметры!AJ$30)</f>
        <v>0</v>
      </c>
      <c r="AK433" s="319">
        <f ca="1">IF(AND($B434=0,AK$2&gt;1),AJ433,AK428*$B434/Параметры!AK$30)</f>
        <v>0</v>
      </c>
      <c r="AL433" s="319">
        <f ca="1">IF(AND($B434=0,AL$2&gt;1),AK433,AL428*$B434/Параметры!AL$30)</f>
        <v>0</v>
      </c>
      <c r="AM433" s="319">
        <f ca="1">IF(AND($B434=0,AM$2&gt;1),AL433,AM428*$B434/Параметры!AM$30)</f>
        <v>0</v>
      </c>
      <c r="AN433" s="319">
        <f ca="1">IF(AND($B434=0,AN$2&gt;1),AM433,AN428*$B434/Параметры!AN$30)</f>
        <v>0</v>
      </c>
      <c r="AO433" s="319">
        <f ca="1">IF(AND($B434=0,AO$2&gt;1),AN433,AO428*$B434/Параметры!AO$30)</f>
        <v>0</v>
      </c>
      <c r="AP433" s="319">
        <f ca="1">IF(AND($B434=0,AP$2&gt;1),AO433,AP428*$B434/Параметры!AP$30)</f>
        <v>0</v>
      </c>
      <c r="AQ433" s="319">
        <f ca="1">IF(AND($B434=0,AQ$2&gt;1),AP433,AQ428*$B434/Параметры!AQ$30)</f>
        <v>0</v>
      </c>
      <c r="AR433" s="319">
        <f ca="1">IF(AND($B434=0,AR$2&gt;1),AQ433,AR428*$B434/Параметры!AR$30)</f>
        <v>0</v>
      </c>
      <c r="AS433" s="319">
        <f ca="1">IF(AND($B434=0,AS$2&gt;1),AR433,AS428*$B434/Параметры!AS$30)</f>
        <v>0</v>
      </c>
      <c r="AT433" s="319">
        <f ca="1">IF(AND($B434=0,AT$2&gt;1),AS433,AT428*$B434/Параметры!AT$30)</f>
        <v>0</v>
      </c>
      <c r="AU433" s="319">
        <f ca="1">IF(AND($B434=0,AU$2&gt;1),AT433,AU428*$B434/Параметры!AU$30)</f>
        <v>0</v>
      </c>
      <c r="AV433" s="319">
        <f ca="1">IF(AND($B434=0,AV$2&gt;1),AU433,AV428*$B434/Параметры!AV$30)</f>
        <v>0</v>
      </c>
      <c r="AW433" s="180"/>
      <c r="AX433" s="189"/>
    </row>
    <row r="434" spans="1:50" hidden="1" outlineLevel="1" x14ac:dyDescent="0.2">
      <c r="A434" s="181" t="str">
        <f ca="1">Language!A$651</f>
        <v>длительность производственного цикла</v>
      </c>
      <c r="B434" s="320">
        <f>$B$636</f>
        <v>0</v>
      </c>
      <c r="C434" s="152" t="str">
        <f ca="1">Language!$A$1446</f>
        <v>дней</v>
      </c>
      <c r="D434" s="155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71"/>
    </row>
    <row r="435" spans="1:50" hidden="1" outlineLevel="1" x14ac:dyDescent="0.2">
      <c r="A435" s="179" t="str">
        <f ca="1">Language!A$652</f>
        <v>общий расход за период, без НДС</v>
      </c>
      <c r="B435" s="188"/>
      <c r="C435" s="82" t="str">
        <f t="shared" ref="C435" ca="1" si="2484">CHOOSE(D435,CurName1,CurName2,CurName3)</f>
        <v>тыс. руб.</v>
      </c>
      <c r="D435" s="155">
        <f>D425</f>
        <v>1</v>
      </c>
      <c r="F435" s="57" t="s">
        <v>753</v>
      </c>
      <c r="G435" s="190">
        <f ca="1">G428+IF(G$2=1,G429+G431+G433,G429+G431+G433-F429-F431-F433)</f>
        <v>10500</v>
      </c>
      <c r="H435" s="190">
        <f t="shared" ref="H435" ca="1" si="2485">H428+IF(H$2=1,H429+H431+H433,H429+H431+H433-G429-G431-G433)</f>
        <v>10654.075384770924</v>
      </c>
      <c r="I435" s="190">
        <f t="shared" ref="I435" ca="1" si="2486">I428+IF(I$2=1,I429+I431+I433,I429+I431+I433-H429-H431-H433)</f>
        <v>10810.41164803635</v>
      </c>
      <c r="J435" s="190">
        <f t="shared" ref="J435" ca="1" si="2487">J428+IF(J$2=1,J429+J431+J433,J429+J431+J433-I429-I431-I433)</f>
        <v>10969.041965579519</v>
      </c>
      <c r="K435" s="190">
        <f t="shared" ref="K435" ca="1" si="2488">K428+IF(K$2=1,K429+K431+K433,K429+K431+K433-J429-J431-J433)</f>
        <v>11130</v>
      </c>
      <c r="L435" s="190">
        <f t="shared" ref="L435" ca="1" si="2489">L428+IF(L$2=1,L429+L431+L433,L429+L431+L433-K429-K431-K433)</f>
        <v>11293.31990785718</v>
      </c>
      <c r="M435" s="190">
        <f t="shared" ref="M435" ca="1" si="2490">M428+IF(M$2=1,M429+M431+M433,M429+M431+M433-L429-L431-L433)</f>
        <v>11459.036346918532</v>
      </c>
      <c r="N435" s="190">
        <f t="shared" ref="N435" ca="1" si="2491">N428+IF(N$2=1,N429+N431+N433,N429+N431+N433-M429-M431-M433)</f>
        <v>11627.184483514291</v>
      </c>
      <c r="O435" s="190">
        <f t="shared" ref="O435" ca="1" si="2492">O428+IF(O$2=1,O429+O431+O433,O429+O431+O433-N429-N431-N433)</f>
        <v>11797.800000000003</v>
      </c>
      <c r="P435" s="190">
        <f t="shared" ref="P435" ca="1" si="2493">P428+IF(P$2=1,P429+P431+P433,P429+P431+P433-O429-O431-O433)</f>
        <v>11970.919102328609</v>
      </c>
      <c r="Q435" s="190">
        <f t="shared" ref="Q435" ca="1" si="2494">Q428+IF(Q$2=1,Q429+Q431+Q433,Q429+Q431+Q433-P429-P431-P433)</f>
        <v>12146.578527733645</v>
      </c>
      <c r="R435" s="190">
        <f t="shared" ref="R435" ca="1" si="2495">R428+IF(R$2=1,R429+R431+R433,R429+R431+R433-Q429-Q431-Q433)</f>
        <v>12324.81555252515</v>
      </c>
      <c r="S435" s="190">
        <f t="shared" ref="S435" ca="1" si="2496">S428+IF(S$2=1,S429+S431+S433,S429+S431+S433-R429-R431-R433)</f>
        <v>12505.668000000003</v>
      </c>
      <c r="T435" s="190">
        <f t="shared" ref="T435" ca="1" si="2497">T428+IF(T$2=1,T429+T431+T433,T429+T431+T433-S429-S431-S433)</f>
        <v>12689.174248468329</v>
      </c>
      <c r="U435" s="190">
        <f t="shared" ref="U435" ca="1" si="2498">U428+IF(U$2=1,U429+U431+U433,U429+U431+U433-T429-T431-T433)</f>
        <v>12875.373239397666</v>
      </c>
      <c r="V435" s="190">
        <f t="shared" ref="V435" ca="1" si="2499">V428+IF(V$2=1,V429+V431+V433,V429+V431+V433-U429-U431-U433)</f>
        <v>13064.304485676659</v>
      </c>
      <c r="W435" s="190">
        <f t="shared" ref="W435" ca="1" si="2500">W428+IF(W$2=1,W429+W431+W433,W429+W431+W433-V429-V431-V433)</f>
        <v>13256.008080000003</v>
      </c>
      <c r="X435" s="190">
        <f t="shared" ref="X435" ca="1" si="2501">X428+IF(X$2=1,X429+X431+X433,X429+X431+X433-W429-W431-W433)</f>
        <v>13450.524703376428</v>
      </c>
      <c r="Y435" s="190">
        <f t="shared" ref="Y435" ca="1" si="2502">Y428+IF(Y$2=1,Y429+Y431+Y433,Y429+Y431+Y433-X429-X431-X433)</f>
        <v>13647.895633761525</v>
      </c>
      <c r="Z435" s="190">
        <f t="shared" ref="Z435" ca="1" si="2503">Z428+IF(Z$2=1,Z429+Z431+Z433,Z429+Z431+Z433-Y429-Y431-Y433)</f>
        <v>13848.16275481726</v>
      </c>
      <c r="AA435" s="190">
        <f t="shared" ref="AA435" ca="1" si="2504">AA428+IF(AA$2=1,AA429+AA431+AA433,AA429+AA431+AA433-Z429-Z431-Z433)</f>
        <v>14051.368564800006</v>
      </c>
      <c r="AB435" s="190">
        <f t="shared" ref="AB435" ca="1" si="2505">AB428+IF(AB$2=1,AB429+AB431+AB433,AB429+AB431+AB433-AA429-AA431-AA433)</f>
        <v>14257.556185579015</v>
      </c>
      <c r="AC435" s="190">
        <f t="shared" ref="AC435" ca="1" si="2506">AC428+IF(AC$2=1,AC429+AC431+AC433,AC429+AC431+AC433-AB429-AB431-AB433)</f>
        <v>14466.769371787219</v>
      </c>
      <c r="AD435" s="190">
        <f t="shared" ref="AD435" ca="1" si="2507">AD428+IF(AD$2=1,AD429+AD431+AD433,AD429+AD431+AD433-AC429-AC431-AC433)</f>
        <v>14679.052520106297</v>
      </c>
      <c r="AE435" s="190">
        <f t="shared" ref="AE435" ca="1" si="2508">AE428+IF(AE$2=1,AE429+AE431+AE433,AE429+AE431+AE433-AD429-AD431-AD433)</f>
        <v>14894.450678688008</v>
      </c>
      <c r="AF435" s="190">
        <f t="shared" ref="AF435" ca="1" si="2509">AF428+IF(AF$2=1,AF429+AF431+AF433,AF429+AF431+AF433-AE429-AE431-AE433)</f>
        <v>15113.009556713758</v>
      </c>
      <c r="AG435" s="190">
        <f t="shared" ref="AG435" ca="1" si="2510">AG428+IF(AG$2=1,AG429+AG431+AG433,AG429+AG431+AG433-AF429-AF431-AF433)</f>
        <v>15334.775534094453</v>
      </c>
      <c r="AH435" s="190">
        <f t="shared" ref="AH435" ca="1" si="2511">AH428+IF(AH$2=1,AH429+AH431+AH433,AH429+AH431+AH433-AG429-AG431-AG433)</f>
        <v>15559.795671312675</v>
      </c>
      <c r="AI435" s="190">
        <f t="shared" ref="AI435" ca="1" si="2512">AI428+IF(AI$2=1,AI429+AI431+AI433,AI429+AI431+AI433-AH429-AH431-AH433)</f>
        <v>15788.117719409287</v>
      </c>
      <c r="AJ435" s="190">
        <f t="shared" ref="AJ435" ca="1" si="2513">AJ428+IF(AJ$2=1,AJ429+AJ431+AJ433,AJ429+AJ431+AJ433-AI429-AI431-AI433)</f>
        <v>16019.790130116584</v>
      </c>
      <c r="AK435" s="190">
        <f t="shared" ref="AK435" ca="1" si="2514">AK428+IF(AK$2=1,AK429+AK431+AK433,AK429+AK431+AK433-AJ429-AJ431-AJ433)</f>
        <v>16254.862066140122</v>
      </c>
      <c r="AL435" s="190">
        <f t="shared" ref="AL435" ca="1" si="2515">AL428+IF(AL$2=1,AL429+AL431+AL433,AL429+AL431+AL433-AK429-AK431-AK433)</f>
        <v>16493.38341159144</v>
      </c>
      <c r="AM435" s="190">
        <f t="shared" ref="AM435" ca="1" si="2516">AM428+IF(AM$2=1,AM429+AM431+AM433,AM429+AM431+AM433-AL429-AL431-AL433)</f>
        <v>16735.404782573849</v>
      </c>
      <c r="AN435" s="190">
        <f t="shared" ref="AN435" ca="1" si="2517">AN428+IF(AN$2=1,AN429+AN431+AN433,AN429+AN431+AN433-AM429-AM431-AM433)</f>
        <v>16980.977537923583</v>
      </c>
      <c r="AO435" s="190">
        <f t="shared" ref="AO435" ca="1" si="2518">AO428+IF(AO$2=1,AO429+AO431+AO433,AO429+AO431+AO433-AN429-AN431-AN433)</f>
        <v>17230.153790108532</v>
      </c>
      <c r="AP435" s="190">
        <f t="shared" ref="AP435" ca="1" si="2519">AP428+IF(AP$2=1,AP429+AP431+AP433,AP429+AP431+AP433-AO429-AO431-AO433)</f>
        <v>17482.986416286927</v>
      </c>
      <c r="AQ435" s="190">
        <f t="shared" ref="AQ435" ca="1" si="2520">AQ428+IF(AQ$2=1,AQ429+AQ431+AQ433,AQ429+AQ431+AQ433-AP429-AP431-AP433)</f>
        <v>17739.529069528282</v>
      </c>
      <c r="AR435" s="190">
        <f t="shared" ref="AR435" ca="1" si="2521">AR428+IF(AR$2=1,AR429+AR431+AR433,AR429+AR431+AR433-AQ429-AQ431-AQ433)</f>
        <v>17999.836190198996</v>
      </c>
      <c r="AS435" s="190">
        <f t="shared" ref="AS435" ca="1" si="2522">AS428+IF(AS$2=1,AS429+AS431+AS433,AS429+AS431+AS433-AR429-AR431-AR433)</f>
        <v>18263.963017515045</v>
      </c>
      <c r="AT435" s="190">
        <f t="shared" ref="AT435" ca="1" si="2523">AT428+IF(AT$2=1,AT429+AT431+AT433,AT429+AT431+AT433-AS429-AS431-AS433)</f>
        <v>18531.965601264143</v>
      </c>
      <c r="AU435" s="190">
        <f t="shared" ref="AU435" ca="1" si="2524">AU428+IF(AU$2=1,AU429+AU431+AU433,AU429+AU431+AU433-AT429-AT431-AT433)</f>
        <v>18803.900813699976</v>
      </c>
      <c r="AV435" s="190">
        <f t="shared" ref="AV435" ca="1" si="2525">AV428+IF(AV$2=1,AV429+AV431+AV433,AV429+AV431+AV433-AU429-AU431-AU433)</f>
        <v>19079.82636161094</v>
      </c>
      <c r="AW435" s="190"/>
      <c r="AX435" s="189">
        <f ca="1">SUM(G435:AW435)</f>
        <v>603781.76905581111</v>
      </c>
    </row>
    <row r="436" spans="1:50" hidden="1" outlineLevel="1" x14ac:dyDescent="0.2">
      <c r="A436" s="179" t="str">
        <f ca="1">Language!A$653</f>
        <v>кредиторская задолженность</v>
      </c>
      <c r="B436" s="188"/>
      <c r="C436" s="82" t="str">
        <f ca="1">CHOOSE(D436,CurName1,CurName2,CurName3)</f>
        <v>тыс. руб.</v>
      </c>
      <c r="D436" s="155">
        <f>D425</f>
        <v>1</v>
      </c>
      <c r="E436" s="57" t="s">
        <v>1014</v>
      </c>
      <c r="F436" s="57" t="s">
        <v>754</v>
      </c>
      <c r="G436" s="316">
        <f ca="1">IF(AND($B437=0,G$2&gt;1),F436,(G435+G446)*$B437/Параметры!G$30)</f>
        <v>0</v>
      </c>
      <c r="H436" s="316">
        <f ca="1">IF(AND($B437=0,H$2&gt;1),G436,(H435+H446)*$B437/Параметры!H$30)</f>
        <v>0</v>
      </c>
      <c r="I436" s="316">
        <f ca="1">IF(AND($B437=0,I$2&gt;1),H436,(I435+I446)*$B437/Параметры!I$30)</f>
        <v>0</v>
      </c>
      <c r="J436" s="316">
        <f ca="1">IF(AND($B437=0,J$2&gt;1),I436,(J435+J446)*$B437/Параметры!J$30)</f>
        <v>0</v>
      </c>
      <c r="K436" s="316">
        <f ca="1">IF(AND($B437=0,K$2&gt;1),J436,(K435+K446)*$B437/Параметры!K$30)</f>
        <v>0</v>
      </c>
      <c r="L436" s="316">
        <f ca="1">IF(AND($B437=0,L$2&gt;1),K436,(L435+L446)*$B437/Параметры!L$30)</f>
        <v>0</v>
      </c>
      <c r="M436" s="316">
        <f ca="1">IF(AND($B437=0,M$2&gt;1),L436,(M435+M446)*$B437/Параметры!M$30)</f>
        <v>0</v>
      </c>
      <c r="N436" s="316">
        <f ca="1">IF(AND($B437=0,N$2&gt;1),M436,(N435+N446)*$B437/Параметры!N$30)</f>
        <v>0</v>
      </c>
      <c r="O436" s="316">
        <f ca="1">IF(AND($B437=0,O$2&gt;1),N436,(O435+O446)*$B437/Параметры!O$30)</f>
        <v>0</v>
      </c>
      <c r="P436" s="316">
        <f ca="1">IF(AND($B437=0,P$2&gt;1),O436,(P435+P446)*$B437/Параметры!P$30)</f>
        <v>0</v>
      </c>
      <c r="Q436" s="316">
        <f ca="1">IF(AND($B437=0,Q$2&gt;1),P436,(Q435+Q446)*$B437/Параметры!Q$30)</f>
        <v>0</v>
      </c>
      <c r="R436" s="316">
        <f ca="1">IF(AND($B437=0,R$2&gt;1),Q436,(R435+R446)*$B437/Параметры!R$30)</f>
        <v>0</v>
      </c>
      <c r="S436" s="316">
        <f ca="1">IF(AND($B437=0,S$2&gt;1),R436,(S435+S446)*$B437/Параметры!S$30)</f>
        <v>0</v>
      </c>
      <c r="T436" s="316">
        <f ca="1">IF(AND($B437=0,T$2&gt;1),S436,(T435+T446)*$B437/Параметры!T$30)</f>
        <v>0</v>
      </c>
      <c r="U436" s="316">
        <f ca="1">IF(AND($B437=0,U$2&gt;1),T436,(U435+U446)*$B437/Параметры!U$30)</f>
        <v>0</v>
      </c>
      <c r="V436" s="316">
        <f ca="1">IF(AND($B437=0,V$2&gt;1),U436,(V435+V446)*$B437/Параметры!V$30)</f>
        <v>0</v>
      </c>
      <c r="W436" s="316">
        <f ca="1">IF(AND($B437=0,W$2&gt;1),V436,(W435+W446)*$B437/Параметры!W$30)</f>
        <v>0</v>
      </c>
      <c r="X436" s="316">
        <f ca="1">IF(AND($B437=0,X$2&gt;1),W436,(X435+X446)*$B437/Параметры!X$30)</f>
        <v>0</v>
      </c>
      <c r="Y436" s="316">
        <f ca="1">IF(AND($B437=0,Y$2&gt;1),X436,(Y435+Y446)*$B437/Параметры!Y$30)</f>
        <v>0</v>
      </c>
      <c r="Z436" s="316">
        <f ca="1">IF(AND($B437=0,Z$2&gt;1),Y436,(Z435+Z446)*$B437/Параметры!Z$30)</f>
        <v>0</v>
      </c>
      <c r="AA436" s="316">
        <f ca="1">IF(AND($B437=0,AA$2&gt;1),Z436,(AA435+AA446)*$B437/Параметры!AA$30)</f>
        <v>0</v>
      </c>
      <c r="AB436" s="316">
        <f ca="1">IF(AND($B437=0,AB$2&gt;1),AA436,(AB435+AB446)*$B437/Параметры!AB$30)</f>
        <v>0</v>
      </c>
      <c r="AC436" s="316">
        <f ca="1">IF(AND($B437=0,AC$2&gt;1),AB436,(AC435+AC446)*$B437/Параметры!AC$30)</f>
        <v>0</v>
      </c>
      <c r="AD436" s="316">
        <f ca="1">IF(AND($B437=0,AD$2&gt;1),AC436,(AD435+AD446)*$B437/Параметры!AD$30)</f>
        <v>0</v>
      </c>
      <c r="AE436" s="316">
        <f ca="1">IF(AND($B437=0,AE$2&gt;1),AD436,(AE435+AE446)*$B437/Параметры!AE$30)</f>
        <v>0</v>
      </c>
      <c r="AF436" s="316">
        <f ca="1">IF(AND($B437=0,AF$2&gt;1),AE436,(AF435+AF446)*$B437/Параметры!AF$30)</f>
        <v>0</v>
      </c>
      <c r="AG436" s="316">
        <f ca="1">IF(AND($B437=0,AG$2&gt;1),AF436,(AG435+AG446)*$B437/Параметры!AG$30)</f>
        <v>0</v>
      </c>
      <c r="AH436" s="316">
        <f ca="1">IF(AND($B437=0,AH$2&gt;1),AG436,(AH435+AH446)*$B437/Параметры!AH$30)</f>
        <v>0</v>
      </c>
      <c r="AI436" s="316">
        <f ca="1">IF(AND($B437=0,AI$2&gt;1),AH436,(AI435+AI446)*$B437/Параметры!AI$30)</f>
        <v>0</v>
      </c>
      <c r="AJ436" s="316">
        <f ca="1">IF(AND($B437=0,AJ$2&gt;1),AI436,(AJ435+AJ446)*$B437/Параметры!AJ$30)</f>
        <v>0</v>
      </c>
      <c r="AK436" s="316">
        <f ca="1">IF(AND($B437=0,AK$2&gt;1),AJ436,(AK435+AK446)*$B437/Параметры!AK$30)</f>
        <v>0</v>
      </c>
      <c r="AL436" s="316">
        <f ca="1">IF(AND($B437=0,AL$2&gt;1),AK436,(AL435+AL446)*$B437/Параметры!AL$30)</f>
        <v>0</v>
      </c>
      <c r="AM436" s="316">
        <f ca="1">IF(AND($B437=0,AM$2&gt;1),AL436,(AM435+AM446)*$B437/Параметры!AM$30)</f>
        <v>0</v>
      </c>
      <c r="AN436" s="316">
        <f ca="1">IF(AND($B437=0,AN$2&gt;1),AM436,(AN435+AN446)*$B437/Параметры!AN$30)</f>
        <v>0</v>
      </c>
      <c r="AO436" s="316">
        <f ca="1">IF(AND($B437=0,AO$2&gt;1),AN436,(AO435+AO446)*$B437/Параметры!AO$30)</f>
        <v>0</v>
      </c>
      <c r="AP436" s="316">
        <f ca="1">IF(AND($B437=0,AP$2&gt;1),AO436,(AP435+AP446)*$B437/Параметры!AP$30)</f>
        <v>0</v>
      </c>
      <c r="AQ436" s="316">
        <f ca="1">IF(AND($B437=0,AQ$2&gt;1),AP436,(AQ435+AQ446)*$B437/Параметры!AQ$30)</f>
        <v>0</v>
      </c>
      <c r="AR436" s="316">
        <f ca="1">IF(AND($B437=0,AR$2&gt;1),AQ436,(AR435+AR446)*$B437/Параметры!AR$30)</f>
        <v>0</v>
      </c>
      <c r="AS436" s="316">
        <f ca="1">IF(AND($B437=0,AS$2&gt;1),AR436,(AS435+AS446)*$B437/Параметры!AS$30)</f>
        <v>0</v>
      </c>
      <c r="AT436" s="316">
        <f ca="1">IF(AND($B437=0,AT$2&gt;1),AS436,(AT435+AT446)*$B437/Параметры!AT$30)</f>
        <v>0</v>
      </c>
      <c r="AU436" s="316">
        <f ca="1">IF(AND($B437=0,AU$2&gt;1),AT436,(AU435+AU446)*$B437/Параметры!AU$30)</f>
        <v>0</v>
      </c>
      <c r="AV436" s="316">
        <f ca="1">IF(AND($B437=0,AV$2&gt;1),AU436,(AV435+AV446)*$B437/Параметры!AV$30)</f>
        <v>0</v>
      </c>
      <c r="AW436" s="168"/>
      <c r="AX436" s="87"/>
    </row>
    <row r="437" spans="1:50" hidden="1" outlineLevel="1" x14ac:dyDescent="0.2">
      <c r="A437" s="181" t="str">
        <f ca="1">Language!A$654</f>
        <v>период отсрочки платежа</v>
      </c>
      <c r="B437" s="320">
        <f>$B$648</f>
        <v>0</v>
      </c>
      <c r="C437" s="152" t="str">
        <f ca="1">Language!$A$1446</f>
        <v>дней</v>
      </c>
      <c r="D437" s="100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48"/>
      <c r="AX437" s="150"/>
    </row>
    <row r="438" spans="1:50" hidden="1" outlineLevel="1" x14ac:dyDescent="0.2">
      <c r="A438" s="179" t="str">
        <f ca="1">Language!A$655</f>
        <v>авансы уплаченные</v>
      </c>
      <c r="B438" s="188"/>
      <c r="C438" s="103" t="str">
        <f ca="1">CHOOSE(D438,CurName1,CurName2,CurName3)</f>
        <v>тыс. руб.</v>
      </c>
      <c r="D438" s="155">
        <f>D425</f>
        <v>1</v>
      </c>
      <c r="E438" s="57" t="s">
        <v>995</v>
      </c>
      <c r="F438" s="57" t="s">
        <v>754</v>
      </c>
      <c r="G438" s="316">
        <f ca="1">IF(AND($B439=0,G$2&gt;1),F438,(OFFSET(G435,0,1)+OFFSET(G446,0,1))*$B439/Параметры!G$30)</f>
        <v>0</v>
      </c>
      <c r="H438" s="316">
        <f ca="1">IF(AND($B439=0,H$2&gt;1),G438,(OFFSET(H435,0,1)+OFFSET(H446,0,1))*$B439/Параметры!H$30)</f>
        <v>0</v>
      </c>
      <c r="I438" s="316">
        <f ca="1">IF(AND($B439=0,I$2&gt;1),H438,(OFFSET(I435,0,1)+OFFSET(I446,0,1))*$B439/Параметры!I$30)</f>
        <v>0</v>
      </c>
      <c r="J438" s="316">
        <f ca="1">IF(AND($B439=0,J$2&gt;1),I438,(OFFSET(J435,0,1)+OFFSET(J446,0,1))*$B439/Параметры!J$30)</f>
        <v>0</v>
      </c>
      <c r="K438" s="316">
        <f ca="1">IF(AND($B439=0,K$2&gt;1),J438,(OFFSET(K435,0,1)+OFFSET(K446,0,1))*$B439/Параметры!K$30)</f>
        <v>0</v>
      </c>
      <c r="L438" s="316">
        <f ca="1">IF(AND($B439=0,L$2&gt;1),K438,(OFFSET(L435,0,1)+OFFSET(L446,0,1))*$B439/Параметры!L$30)</f>
        <v>0</v>
      </c>
      <c r="M438" s="316">
        <f ca="1">IF(AND($B439=0,M$2&gt;1),L438,(OFFSET(M435,0,1)+OFFSET(M446,0,1))*$B439/Параметры!M$30)</f>
        <v>0</v>
      </c>
      <c r="N438" s="316">
        <f ca="1">IF(AND($B439=0,N$2&gt;1),M438,(OFFSET(N435,0,1)+OFFSET(N446,0,1))*$B439/Параметры!N$30)</f>
        <v>0</v>
      </c>
      <c r="O438" s="316">
        <f ca="1">IF(AND($B439=0,O$2&gt;1),N438,(OFFSET(O435,0,1)+OFFSET(O446,0,1))*$B439/Параметры!O$30)</f>
        <v>0</v>
      </c>
      <c r="P438" s="316">
        <f ca="1">IF(AND($B439=0,P$2&gt;1),O438,(OFFSET(P435,0,1)+OFFSET(P446,0,1))*$B439/Параметры!P$30)</f>
        <v>0</v>
      </c>
      <c r="Q438" s="316">
        <f ca="1">IF(AND($B439=0,Q$2&gt;1),P438,(OFFSET(Q435,0,1)+OFFSET(Q446,0,1))*$B439/Параметры!Q$30)</f>
        <v>0</v>
      </c>
      <c r="R438" s="316">
        <f ca="1">IF(AND($B439=0,R$2&gt;1),Q438,(OFFSET(R435,0,1)+OFFSET(R446,0,1))*$B439/Параметры!R$30)</f>
        <v>0</v>
      </c>
      <c r="S438" s="316">
        <f ca="1">IF(AND($B439=0,S$2&gt;1),R438,(OFFSET(S435,0,1)+OFFSET(S446,0,1))*$B439/Параметры!S$30)</f>
        <v>0</v>
      </c>
      <c r="T438" s="316">
        <f ca="1">IF(AND($B439=0,T$2&gt;1),S438,(OFFSET(T435,0,1)+OFFSET(T446,0,1))*$B439/Параметры!T$30)</f>
        <v>0</v>
      </c>
      <c r="U438" s="316">
        <f ca="1">IF(AND($B439=0,U$2&gt;1),T438,(OFFSET(U435,0,1)+OFFSET(U446,0,1))*$B439/Параметры!U$30)</f>
        <v>0</v>
      </c>
      <c r="V438" s="316">
        <f ca="1">IF(AND($B439=0,V$2&gt;1),U438,(OFFSET(V435,0,1)+OFFSET(V446,0,1))*$B439/Параметры!V$30)</f>
        <v>0</v>
      </c>
      <c r="W438" s="316">
        <f ca="1">IF(AND($B439=0,W$2&gt;1),V438,(OFFSET(W435,0,1)+OFFSET(W446,0,1))*$B439/Параметры!W$30)</f>
        <v>0</v>
      </c>
      <c r="X438" s="316">
        <f ca="1">IF(AND($B439=0,X$2&gt;1),W438,(OFFSET(X435,0,1)+OFFSET(X446,0,1))*$B439/Параметры!X$30)</f>
        <v>0</v>
      </c>
      <c r="Y438" s="316">
        <f ca="1">IF(AND($B439=0,Y$2&gt;1),X438,(OFFSET(Y435,0,1)+OFFSET(Y446,0,1))*$B439/Параметры!Y$30)</f>
        <v>0</v>
      </c>
      <c r="Z438" s="316">
        <f ca="1">IF(AND($B439=0,Z$2&gt;1),Y438,(OFFSET(Z435,0,1)+OFFSET(Z446,0,1))*$B439/Параметры!Z$30)</f>
        <v>0</v>
      </c>
      <c r="AA438" s="316">
        <f ca="1">IF(AND($B439=0,AA$2&gt;1),Z438,(OFFSET(AA435,0,1)+OFFSET(AA446,0,1))*$B439/Параметры!AA$30)</f>
        <v>0</v>
      </c>
      <c r="AB438" s="316">
        <f ca="1">IF(AND($B439=0,AB$2&gt;1),AA438,(OFFSET(AB435,0,1)+OFFSET(AB446,0,1))*$B439/Параметры!AB$30)</f>
        <v>0</v>
      </c>
      <c r="AC438" s="316">
        <f ca="1">IF(AND($B439=0,AC$2&gt;1),AB438,(OFFSET(AC435,0,1)+OFFSET(AC446,0,1))*$B439/Параметры!AC$30)</f>
        <v>0</v>
      </c>
      <c r="AD438" s="316">
        <f ca="1">IF(AND($B439=0,AD$2&gt;1),AC438,(OFFSET(AD435,0,1)+OFFSET(AD446,0,1))*$B439/Параметры!AD$30)</f>
        <v>0</v>
      </c>
      <c r="AE438" s="316">
        <f ca="1">IF(AND($B439=0,AE$2&gt;1),AD438,(OFFSET(AE435,0,1)+OFFSET(AE446,0,1))*$B439/Параметры!AE$30)</f>
        <v>0</v>
      </c>
      <c r="AF438" s="316">
        <f ca="1">IF(AND($B439=0,AF$2&gt;1),AE438,(OFFSET(AF435,0,1)+OFFSET(AF446,0,1))*$B439/Параметры!AF$30)</f>
        <v>0</v>
      </c>
      <c r="AG438" s="316">
        <f ca="1">IF(AND($B439=0,AG$2&gt;1),AF438,(OFFSET(AG435,0,1)+OFFSET(AG446,0,1))*$B439/Параметры!AG$30)</f>
        <v>0</v>
      </c>
      <c r="AH438" s="316">
        <f ca="1">IF(AND($B439=0,AH$2&gt;1),AG438,(OFFSET(AH435,0,1)+OFFSET(AH446,0,1))*$B439/Параметры!AH$30)</f>
        <v>0</v>
      </c>
      <c r="AI438" s="316">
        <f ca="1">IF(AND($B439=0,AI$2&gt;1),AH438,(OFFSET(AI435,0,1)+OFFSET(AI446,0,1))*$B439/Параметры!AI$30)</f>
        <v>0</v>
      </c>
      <c r="AJ438" s="316">
        <f ca="1">IF(AND($B439=0,AJ$2&gt;1),AI438,(OFFSET(AJ435,0,1)+OFFSET(AJ446,0,1))*$B439/Параметры!AJ$30)</f>
        <v>0</v>
      </c>
      <c r="AK438" s="316">
        <f ca="1">IF(AND($B439=0,AK$2&gt;1),AJ438,(OFFSET(AK435,0,1)+OFFSET(AK446,0,1))*$B439/Параметры!AK$30)</f>
        <v>0</v>
      </c>
      <c r="AL438" s="316">
        <f ca="1">IF(AND($B439=0,AL$2&gt;1),AK438,(OFFSET(AL435,0,1)+OFFSET(AL446,0,1))*$B439/Параметры!AL$30)</f>
        <v>0</v>
      </c>
      <c r="AM438" s="316">
        <f ca="1">IF(AND($B439=0,AM$2&gt;1),AL438,(OFFSET(AM435,0,1)+OFFSET(AM446,0,1))*$B439/Параметры!AM$30)</f>
        <v>0</v>
      </c>
      <c r="AN438" s="316">
        <f ca="1">IF(AND($B439=0,AN$2&gt;1),AM438,(OFFSET(AN435,0,1)+OFFSET(AN446,0,1))*$B439/Параметры!AN$30)</f>
        <v>0</v>
      </c>
      <c r="AO438" s="316">
        <f ca="1">IF(AND($B439=0,AO$2&gt;1),AN438,(OFFSET(AO435,0,1)+OFFSET(AO446,0,1))*$B439/Параметры!AO$30)</f>
        <v>0</v>
      </c>
      <c r="AP438" s="316">
        <f ca="1">IF(AND($B439=0,AP$2&gt;1),AO438,(OFFSET(AP435,0,1)+OFFSET(AP446,0,1))*$B439/Параметры!AP$30)</f>
        <v>0</v>
      </c>
      <c r="AQ438" s="316">
        <f ca="1">IF(AND($B439=0,AQ$2&gt;1),AP438,(OFFSET(AQ435,0,1)+OFFSET(AQ446,0,1))*$B439/Параметры!AQ$30)</f>
        <v>0</v>
      </c>
      <c r="AR438" s="316">
        <f ca="1">IF(AND($B439=0,AR$2&gt;1),AQ438,(OFFSET(AR435,0,1)+OFFSET(AR446,0,1))*$B439/Параметры!AR$30)</f>
        <v>0</v>
      </c>
      <c r="AS438" s="316">
        <f ca="1">IF(AND($B439=0,AS$2&gt;1),AR438,(OFFSET(AS435,0,1)+OFFSET(AS446,0,1))*$B439/Параметры!AS$30)</f>
        <v>0</v>
      </c>
      <c r="AT438" s="316">
        <f ca="1">IF(AND($B439=0,AT$2&gt;1),AS438,(OFFSET(AT435,0,1)+OFFSET(AT446,0,1))*$B439/Параметры!AT$30)</f>
        <v>0</v>
      </c>
      <c r="AU438" s="316">
        <f ca="1">IF(AND($B439=0,AU$2&gt;1),AT438,(OFFSET(AU435,0,1)+OFFSET(AU446,0,1))*$B439/Параметры!AU$30)</f>
        <v>0</v>
      </c>
      <c r="AV438" s="316">
        <f ca="1">IF(AND($B439=0,AV$2&gt;1),AU438,(OFFSET(AV435,0,1)+OFFSET(AV446,0,1))*$B439/Параметры!AV$30)</f>
        <v>0</v>
      </c>
      <c r="AW438" s="168"/>
      <c r="AX438" s="182"/>
    </row>
    <row r="439" spans="1:50" hidden="1" outlineLevel="1" x14ac:dyDescent="0.2">
      <c r="A439" s="181" t="str">
        <f ca="1">Language!A$656</f>
        <v>период предоплаты</v>
      </c>
      <c r="B439" s="320">
        <f>$B$654</f>
        <v>0</v>
      </c>
      <c r="C439" s="152" t="str">
        <f ca="1">Language!$A$1446</f>
        <v>дней</v>
      </c>
      <c r="D439" s="100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48"/>
      <c r="AX439" s="150"/>
    </row>
    <row r="440" spans="1:50" hidden="1" outlineLevel="1" x14ac:dyDescent="0.2">
      <c r="A440" s="179" t="str">
        <f ca="1">Language!A$657</f>
        <v>оплата расходов, c НДС</v>
      </c>
      <c r="B440" s="57"/>
      <c r="C440" s="82" t="str">
        <f t="shared" ref="C440" ca="1" si="2526">CHOOSE(D440,CurName1,CurName2,CurName3)</f>
        <v>тыс. руб.</v>
      </c>
      <c r="D440" s="155">
        <f>D425</f>
        <v>1</v>
      </c>
      <c r="E440" s="57" t="s">
        <v>993</v>
      </c>
      <c r="F440" s="57" t="s">
        <v>753</v>
      </c>
      <c r="G440" s="180">
        <f ca="1">G435+G446-IF(G$2=1,G436,G436-F436)+IF(G$2=1,G438,G438-F438)</f>
        <v>12390</v>
      </c>
      <c r="H440" s="180">
        <f t="shared" ref="H440" ca="1" si="2527">H435+H446-IF(H$2=1,H436,H436-G436)+IF(H$2=1,H438,H438-G438)</f>
        <v>12571.80895402969</v>
      </c>
      <c r="I440" s="180">
        <f t="shared" ref="I440" ca="1" si="2528">I435+I446-IF(I$2=1,I436,I436-H436)+IF(I$2=1,I438,I438-H438)</f>
        <v>12756.285744682893</v>
      </c>
      <c r="J440" s="180">
        <f t="shared" ref="J440" ca="1" si="2529">J435+J446-IF(J$2=1,J436,J436-I436)+IF(J$2=1,J438,J438-I438)</f>
        <v>12943.469519383832</v>
      </c>
      <c r="K440" s="180">
        <f t="shared" ref="K440" ca="1" si="2530">K435+K446-IF(K$2=1,K436,K436-J436)+IF(K$2=1,K438,K438-J438)</f>
        <v>13133.4</v>
      </c>
      <c r="L440" s="180">
        <f t="shared" ref="L440" ca="1" si="2531">L435+L446-IF(L$2=1,L436,L436-K436)+IF(L$2=1,L438,L438-K438)</f>
        <v>13326.117491271472</v>
      </c>
      <c r="M440" s="180">
        <f t="shared" ref="M440" ca="1" si="2532">M435+M446-IF(M$2=1,M436,M436-L436)+IF(M$2=1,M438,M438-L438)</f>
        <v>13521.662889363868</v>
      </c>
      <c r="N440" s="180">
        <f t="shared" ref="N440" ca="1" si="2533">N435+N446-IF(N$2=1,N436,N436-M436)+IF(N$2=1,N438,N438-M438)</f>
        <v>13720.077690546863</v>
      </c>
      <c r="O440" s="180">
        <f t="shared" ref="O440" ca="1" si="2534">O435+O446-IF(O$2=1,O436,O436-N436)+IF(O$2=1,O438,O438-N438)</f>
        <v>13921.404000000002</v>
      </c>
      <c r="P440" s="180">
        <f t="shared" ref="P440" ca="1" si="2535">P435+P446-IF(P$2=1,P436,P436-O436)+IF(P$2=1,P438,P438-O438)</f>
        <v>14125.684540747759</v>
      </c>
      <c r="Q440" s="180">
        <f t="shared" ref="Q440" ca="1" si="2536">Q435+Q446-IF(Q$2=1,Q436,Q436-P436)+IF(Q$2=1,Q438,Q438-P438)</f>
        <v>14332.962662725702</v>
      </c>
      <c r="R440" s="180">
        <f t="shared" ref="R440" ca="1" si="2537">R435+R446-IF(R$2=1,R436,R436-Q436)+IF(R$2=1,R438,R438-Q438)</f>
        <v>14543.282351979677</v>
      </c>
      <c r="S440" s="180">
        <f t="shared" ref="S440" ca="1" si="2538">S435+S446-IF(S$2=1,S436,S436-R436)+IF(S$2=1,S438,S438-R438)</f>
        <v>14756.688240000003</v>
      </c>
      <c r="T440" s="180">
        <f t="shared" ref="T440" ca="1" si="2539">T435+T446-IF(T$2=1,T436,T436-S436)+IF(T$2=1,T438,T438-S438)</f>
        <v>14973.225613192628</v>
      </c>
      <c r="U440" s="180">
        <f t="shared" ref="U440" ca="1" si="2540">U435+U446-IF(U$2=1,U436,U436-T436)+IF(U$2=1,U438,U438-T438)</f>
        <v>15192.940422489246</v>
      </c>
      <c r="V440" s="180">
        <f t="shared" ref="V440" ca="1" si="2541">V435+V446-IF(V$2=1,V436,V436-U436)+IF(V$2=1,V438,V438-U438)</f>
        <v>15415.879293098458</v>
      </c>
      <c r="W440" s="180">
        <f t="shared" ref="W440" ca="1" si="2542">W435+W446-IF(W$2=1,W436,W436-V436)+IF(W$2=1,W438,W438-V438)</f>
        <v>15642.089534400004</v>
      </c>
      <c r="X440" s="180">
        <f t="shared" ref="X440" ca="1" si="2543">X435+X446-IF(X$2=1,X436,X436-W436)+IF(X$2=1,X438,X438-W438)</f>
        <v>15871.619149984184</v>
      </c>
      <c r="Y440" s="180">
        <f t="shared" ref="Y440" ca="1" si="2544">Y435+Y446-IF(Y$2=1,Y436,Y436-X436)+IF(Y$2=1,Y438,Y438-X438)</f>
        <v>16104.5168478386</v>
      </c>
      <c r="Z440" s="180">
        <f t="shared" ref="Z440" ca="1" si="2545">Z435+Z446-IF(Z$2=1,Z436,Z436-Y436)+IF(Z$2=1,Z438,Z438-Y438)</f>
        <v>16340.832050684367</v>
      </c>
      <c r="AA440" s="180">
        <f t="shared" ref="AA440" ca="1" si="2546">AA435+AA446-IF(AA$2=1,AA436,AA436-Z436)+IF(AA$2=1,AA438,AA438-Z438)</f>
        <v>16580.614906464009</v>
      </c>
      <c r="AB440" s="180">
        <f t="shared" ref="AB440" ca="1" si="2547">AB435+AB446-IF(AB$2=1,AB436,AB436-AA436)+IF(AB$2=1,AB438,AB438-AA438)</f>
        <v>16823.916298983237</v>
      </c>
      <c r="AC440" s="180">
        <f t="shared" ref="AC440" ca="1" si="2548">AC435+AC446-IF(AC$2=1,AC436,AC436-AB436)+IF(AC$2=1,AC438,AC438-AB438)</f>
        <v>17070.787858708918</v>
      </c>
      <c r="AD440" s="180">
        <f t="shared" ref="AD440" ca="1" si="2549">AD435+AD446-IF(AD$2=1,AD436,AD436-AC436)+IF(AD$2=1,AD438,AD438-AC438)</f>
        <v>17321.281973725432</v>
      </c>
      <c r="AE440" s="180">
        <f t="shared" ref="AE440" ca="1" si="2550">AE435+AE446-IF(AE$2=1,AE436,AE436-AD436)+IF(AE$2=1,AE438,AE438-AD438)</f>
        <v>17575.45180085185</v>
      </c>
      <c r="AF440" s="180">
        <f t="shared" ref="AF440" ca="1" si="2551">AF435+AF446-IF(AF$2=1,AF436,AF436-AE436)+IF(AF$2=1,AF438,AF438-AE438)</f>
        <v>17833.351276922233</v>
      </c>
      <c r="AG440" s="180">
        <f t="shared" ref="AG440" ca="1" si="2552">AG435+AG446-IF(AG$2=1,AG436,AG436-AF436)+IF(AG$2=1,AG438,AG438-AF438)</f>
        <v>18095.035130231456</v>
      </c>
      <c r="AH440" s="180">
        <f t="shared" ref="AH440" ca="1" si="2553">AH435+AH446-IF(AH$2=1,AH436,AH436-AG436)+IF(AH$2=1,AH438,AH438-AG438)</f>
        <v>18360.558892148958</v>
      </c>
      <c r="AI440" s="180">
        <f t="shared" ref="AI440" ca="1" si="2554">AI435+AI446-IF(AI$2=1,AI436,AI436-AH436)+IF(AI$2=1,AI438,AI438-AH438)</f>
        <v>18629.978908902958</v>
      </c>
      <c r="AJ440" s="180">
        <f t="shared" ref="AJ440" ca="1" si="2555">AJ435+AJ446-IF(AJ$2=1,AJ436,AJ436-AI436)+IF(AJ$2=1,AJ438,AJ438-AI438)</f>
        <v>18903.352353537568</v>
      </c>
      <c r="AK440" s="180">
        <f t="shared" ref="AK440" ca="1" si="2556">AK435+AK446-IF(AK$2=1,AK436,AK436-AJ436)+IF(AK$2=1,AK438,AK438-AJ438)</f>
        <v>19180.737238045345</v>
      </c>
      <c r="AL440" s="180">
        <f t="shared" ref="AL440" ca="1" si="2557">AL435+AL446-IF(AL$2=1,AL436,AL436-AK436)+IF(AL$2=1,AL438,AL438-AK438)</f>
        <v>19462.192425677898</v>
      </c>
      <c r="AM440" s="180">
        <f t="shared" ref="AM440" ca="1" si="2558">AM435+AM446-IF(AM$2=1,AM436,AM436-AL436)+IF(AM$2=1,AM438,AM438-AL438)</f>
        <v>19747.777643437141</v>
      </c>
      <c r="AN440" s="180">
        <f t="shared" ref="AN440" ca="1" si="2559">AN435+AN446-IF(AN$2=1,AN436,AN436-AM436)+IF(AN$2=1,AN438,AN438-AM438)</f>
        <v>20037.553494749827</v>
      </c>
      <c r="AO440" s="180">
        <f t="shared" ref="AO440" ca="1" si="2560">AO435+AO446-IF(AO$2=1,AO436,AO436-AN436)+IF(AO$2=1,AO438,AO438-AN438)</f>
        <v>20331.581472328067</v>
      </c>
      <c r="AP440" s="180">
        <f t="shared" ref="AP440" ca="1" si="2561">AP435+AP446-IF(AP$2=1,AP436,AP436-AO436)+IF(AP$2=1,AP438,AP438-AO438)</f>
        <v>20629.923971218574</v>
      </c>
      <c r="AQ440" s="180">
        <f t="shared" ref="AQ440" ca="1" si="2562">AQ435+AQ446-IF(AQ$2=1,AQ436,AQ436-AP436)+IF(AQ$2=1,AQ438,AQ438-AP438)</f>
        <v>20932.644302043373</v>
      </c>
      <c r="AR440" s="180">
        <f t="shared" ref="AR440" ca="1" si="2563">AR435+AR446-IF(AR$2=1,AR436,AR436-AQ436)+IF(AR$2=1,AR438,AR438-AQ438)</f>
        <v>21239.806704434814</v>
      </c>
      <c r="AS440" s="180">
        <f t="shared" ref="AS440" ca="1" si="2564">AS435+AS446-IF(AS$2=1,AS436,AS436-AR436)+IF(AS$2=1,AS438,AS438-AR438)</f>
        <v>21551.476360667752</v>
      </c>
      <c r="AT440" s="180">
        <f t="shared" ref="AT440" ca="1" si="2565">AT435+AT446-IF(AT$2=1,AT436,AT436-AS436)+IF(AT$2=1,AT438,AT438-AS438)</f>
        <v>21867.719409491689</v>
      </c>
      <c r="AU440" s="180">
        <f t="shared" ref="AU440" ca="1" si="2566">AU435+AU446-IF(AU$2=1,AU436,AU436-AT436)+IF(AU$2=1,AU438,AU438-AT438)</f>
        <v>22188.602960165972</v>
      </c>
      <c r="AV440" s="180">
        <f t="shared" ref="AV440" ca="1" si="2567">AV435+AV446-IF(AV$2=1,AV436,AV436-AU436)+IF(AV$2=1,AV438,AV438-AU438)</f>
        <v>22514.19510670091</v>
      </c>
      <c r="AW440" s="180"/>
      <c r="AX440" s="169">
        <f ca="1">SUM(G440:AW440)</f>
        <v>712462.48748585698</v>
      </c>
    </row>
    <row r="441" spans="1:50" hidden="1" outlineLevel="1" x14ac:dyDescent="0.2">
      <c r="A441" s="167" t="str">
        <f ca="1">Language!A$658</f>
        <v>темп изменения цен</v>
      </c>
      <c r="B441" s="191"/>
      <c r="C441" s="103" t="str">
        <f ca="1">Language!$A$471</f>
        <v>% в год</v>
      </c>
      <c r="D441" s="153"/>
      <c r="F441" s="57" t="s">
        <v>756</v>
      </c>
      <c r="G441" s="324">
        <f>CHOOSE($D425,Параметры!G$48,Параметры!G$56,Параметры!G$62)</f>
        <v>0.06</v>
      </c>
      <c r="H441" s="324">
        <f>CHOOSE($D425,Параметры!H$48,Параметры!H$56,Параметры!H$62)</f>
        <v>0.06</v>
      </c>
      <c r="I441" s="324">
        <f>CHOOSE($D425,Параметры!I$48,Параметры!I$56,Параметры!I$62)</f>
        <v>0.06</v>
      </c>
      <c r="J441" s="324">
        <f>CHOOSE($D425,Параметры!J$48,Параметры!J$56,Параметры!J$62)</f>
        <v>0.06</v>
      </c>
      <c r="K441" s="324">
        <f>CHOOSE($D425,Параметры!K$48,Параметры!K$56,Параметры!K$62)</f>
        <v>0.06</v>
      </c>
      <c r="L441" s="324">
        <f>CHOOSE($D425,Параметры!L$48,Параметры!L$56,Параметры!L$62)</f>
        <v>0.06</v>
      </c>
      <c r="M441" s="324">
        <f>CHOOSE($D425,Параметры!M$48,Параметры!M$56,Параметры!M$62)</f>
        <v>0.06</v>
      </c>
      <c r="N441" s="324">
        <f>CHOOSE($D425,Параметры!N$48,Параметры!N$56,Параметры!N$62)</f>
        <v>0.06</v>
      </c>
      <c r="O441" s="324">
        <f>CHOOSE($D425,Параметры!O$48,Параметры!O$56,Параметры!O$62)</f>
        <v>0.06</v>
      </c>
      <c r="P441" s="324">
        <f>CHOOSE($D425,Параметры!P$48,Параметры!P$56,Параметры!P$62)</f>
        <v>0.06</v>
      </c>
      <c r="Q441" s="324">
        <f>CHOOSE($D425,Параметры!Q$48,Параметры!Q$56,Параметры!Q$62)</f>
        <v>0.06</v>
      </c>
      <c r="R441" s="324">
        <f>CHOOSE($D425,Параметры!R$48,Параметры!R$56,Параметры!R$62)</f>
        <v>0.06</v>
      </c>
      <c r="S441" s="324">
        <f>CHOOSE($D425,Параметры!S$48,Параметры!S$56,Параметры!S$62)</f>
        <v>0.06</v>
      </c>
      <c r="T441" s="324">
        <f>CHOOSE($D425,Параметры!T$48,Параметры!T$56,Параметры!T$62)</f>
        <v>0.06</v>
      </c>
      <c r="U441" s="324">
        <f>CHOOSE($D425,Параметры!U$48,Параметры!U$56,Параметры!U$62)</f>
        <v>0.06</v>
      </c>
      <c r="V441" s="324">
        <f>CHOOSE($D425,Параметры!V$48,Параметры!V$56,Параметры!V$62)</f>
        <v>0.06</v>
      </c>
      <c r="W441" s="324">
        <f>CHOOSE($D425,Параметры!W$48,Параметры!W$56,Параметры!W$62)</f>
        <v>0.06</v>
      </c>
      <c r="X441" s="324">
        <f>CHOOSE($D425,Параметры!X$48,Параметры!X$56,Параметры!X$62)</f>
        <v>0.06</v>
      </c>
      <c r="Y441" s="324">
        <f>CHOOSE($D425,Параметры!Y$48,Параметры!Y$56,Параметры!Y$62)</f>
        <v>0.06</v>
      </c>
      <c r="Z441" s="324">
        <f>CHOOSE($D425,Параметры!Z$48,Параметры!Z$56,Параметры!Z$62)</f>
        <v>0.06</v>
      </c>
      <c r="AA441" s="324">
        <f>CHOOSE($D425,Параметры!AA$48,Параметры!AA$56,Параметры!AA$62)</f>
        <v>0.06</v>
      </c>
      <c r="AB441" s="324">
        <f>CHOOSE($D425,Параметры!AB$48,Параметры!AB$56,Параметры!AB$62)</f>
        <v>0.06</v>
      </c>
      <c r="AC441" s="324">
        <f>CHOOSE($D425,Параметры!AC$48,Параметры!AC$56,Параметры!AC$62)</f>
        <v>0.06</v>
      </c>
      <c r="AD441" s="324">
        <f>CHOOSE($D425,Параметры!AD$48,Параметры!AD$56,Параметры!AD$62)</f>
        <v>0.06</v>
      </c>
      <c r="AE441" s="324">
        <f>CHOOSE($D425,Параметры!AE$48,Параметры!AE$56,Параметры!AE$62)</f>
        <v>0.06</v>
      </c>
      <c r="AF441" s="324">
        <f>CHOOSE($D425,Параметры!AF$48,Параметры!AF$56,Параметры!AF$62)</f>
        <v>0.06</v>
      </c>
      <c r="AG441" s="324">
        <f>CHOOSE($D425,Параметры!AG$48,Параметры!AG$56,Параметры!AG$62)</f>
        <v>0.06</v>
      </c>
      <c r="AH441" s="324">
        <f>CHOOSE($D425,Параметры!AH$48,Параметры!AH$56,Параметры!AH$62)</f>
        <v>0.06</v>
      </c>
      <c r="AI441" s="324">
        <f>CHOOSE($D425,Параметры!AI$48,Параметры!AI$56,Параметры!AI$62)</f>
        <v>0.06</v>
      </c>
      <c r="AJ441" s="324">
        <f>CHOOSE($D425,Параметры!AJ$48,Параметры!AJ$56,Параметры!AJ$62)</f>
        <v>0.06</v>
      </c>
      <c r="AK441" s="324">
        <f>CHOOSE($D425,Параметры!AK$48,Параметры!AK$56,Параметры!AK$62)</f>
        <v>0.06</v>
      </c>
      <c r="AL441" s="324">
        <f>CHOOSE($D425,Параметры!AL$48,Параметры!AL$56,Параметры!AL$62)</f>
        <v>0.06</v>
      </c>
      <c r="AM441" s="324">
        <f>CHOOSE($D425,Параметры!AM$48,Параметры!AM$56,Параметры!AM$62)</f>
        <v>0.06</v>
      </c>
      <c r="AN441" s="324">
        <f>CHOOSE($D425,Параметры!AN$48,Параметры!AN$56,Параметры!AN$62)</f>
        <v>0.06</v>
      </c>
      <c r="AO441" s="324">
        <f>CHOOSE($D425,Параметры!AO$48,Параметры!AO$56,Параметры!AO$62)</f>
        <v>0.06</v>
      </c>
      <c r="AP441" s="324">
        <f>CHOOSE($D425,Параметры!AP$48,Параметры!AP$56,Параметры!AP$62)</f>
        <v>0.06</v>
      </c>
      <c r="AQ441" s="324">
        <f>CHOOSE($D425,Параметры!AQ$48,Параметры!AQ$56,Параметры!AQ$62)</f>
        <v>0.06</v>
      </c>
      <c r="AR441" s="324">
        <f>CHOOSE($D425,Параметры!AR$48,Параметры!AR$56,Параметры!AR$62)</f>
        <v>0.06</v>
      </c>
      <c r="AS441" s="324">
        <f>CHOOSE($D425,Параметры!AS$48,Параметры!AS$56,Параметры!AS$62)</f>
        <v>0.06</v>
      </c>
      <c r="AT441" s="324">
        <f>CHOOSE($D425,Параметры!AT$48,Параметры!AT$56,Параметры!AT$62)</f>
        <v>0.06</v>
      </c>
      <c r="AU441" s="324">
        <f>CHOOSE($D425,Параметры!AU$48,Параметры!AU$56,Параметры!AU$62)</f>
        <v>0.06</v>
      </c>
      <c r="AV441" s="324">
        <f>CHOOSE($D425,Параметры!AV$48,Параметры!AV$56,Параметры!AV$62)</f>
        <v>0.06</v>
      </c>
      <c r="AW441" s="192"/>
      <c r="AX441" s="184"/>
    </row>
    <row r="442" spans="1:50" hidden="1" outlineLevel="1" x14ac:dyDescent="0.2">
      <c r="A442" s="167" t="str">
        <f ca="1">Language!A$659</f>
        <v>ставка НДС</v>
      </c>
      <c r="B442" s="191"/>
      <c r="C442" s="103" t="s">
        <v>1</v>
      </c>
      <c r="D442" s="155"/>
      <c r="F442" s="57" t="s">
        <v>756</v>
      </c>
      <c r="G442" s="324">
        <f>Параметры!G$72</f>
        <v>0.18</v>
      </c>
      <c r="H442" s="324">
        <f>Параметры!H$72</f>
        <v>0.18</v>
      </c>
      <c r="I442" s="324">
        <f>Параметры!I$72</f>
        <v>0.18</v>
      </c>
      <c r="J442" s="324">
        <f>Параметры!J$72</f>
        <v>0.18</v>
      </c>
      <c r="K442" s="324">
        <f>Параметры!K$72</f>
        <v>0.18</v>
      </c>
      <c r="L442" s="324">
        <f>Параметры!L$72</f>
        <v>0.18</v>
      </c>
      <c r="M442" s="324">
        <f>Параметры!M$72</f>
        <v>0.18</v>
      </c>
      <c r="N442" s="324">
        <f>Параметры!N$72</f>
        <v>0.18</v>
      </c>
      <c r="O442" s="324">
        <f>Параметры!O$72</f>
        <v>0.18</v>
      </c>
      <c r="P442" s="324">
        <f>Параметры!P$72</f>
        <v>0.18</v>
      </c>
      <c r="Q442" s="324">
        <f>Параметры!Q$72</f>
        <v>0.18</v>
      </c>
      <c r="R442" s="324">
        <f>Параметры!R$72</f>
        <v>0.18</v>
      </c>
      <c r="S442" s="324">
        <f>Параметры!S$72</f>
        <v>0.18</v>
      </c>
      <c r="T442" s="324">
        <f>Параметры!T$72</f>
        <v>0.18</v>
      </c>
      <c r="U442" s="324">
        <f>Параметры!U$72</f>
        <v>0.18</v>
      </c>
      <c r="V442" s="324">
        <f>Параметры!V$72</f>
        <v>0.18</v>
      </c>
      <c r="W442" s="324">
        <f>Параметры!W$72</f>
        <v>0.18</v>
      </c>
      <c r="X442" s="324">
        <f>Параметры!X$72</f>
        <v>0.18</v>
      </c>
      <c r="Y442" s="324">
        <f>Параметры!Y$72</f>
        <v>0.18</v>
      </c>
      <c r="Z442" s="324">
        <f>Параметры!Z$72</f>
        <v>0.18</v>
      </c>
      <c r="AA442" s="324">
        <f>Параметры!AA$72</f>
        <v>0.18</v>
      </c>
      <c r="AB442" s="324">
        <f>Параметры!AB$72</f>
        <v>0.18</v>
      </c>
      <c r="AC442" s="324">
        <f>Параметры!AC$72</f>
        <v>0.18</v>
      </c>
      <c r="AD442" s="324">
        <f>Параметры!AD$72</f>
        <v>0.18</v>
      </c>
      <c r="AE442" s="324">
        <f>Параметры!AE$72</f>
        <v>0.18</v>
      </c>
      <c r="AF442" s="324">
        <f>Параметры!AF$72</f>
        <v>0.18</v>
      </c>
      <c r="AG442" s="324">
        <f>Параметры!AG$72</f>
        <v>0.18</v>
      </c>
      <c r="AH442" s="324">
        <f>Параметры!AH$72</f>
        <v>0.18</v>
      </c>
      <c r="AI442" s="324">
        <f>Параметры!AI$72</f>
        <v>0.18</v>
      </c>
      <c r="AJ442" s="324">
        <f>Параметры!AJ$72</f>
        <v>0.18</v>
      </c>
      <c r="AK442" s="324">
        <f>Параметры!AK$72</f>
        <v>0.18</v>
      </c>
      <c r="AL442" s="324">
        <f>Параметры!AL$72</f>
        <v>0.18</v>
      </c>
      <c r="AM442" s="324">
        <f>Параметры!AM$72</f>
        <v>0.18</v>
      </c>
      <c r="AN442" s="324">
        <f>Параметры!AN$72</f>
        <v>0.18</v>
      </c>
      <c r="AO442" s="324">
        <f>Параметры!AO$72</f>
        <v>0.18</v>
      </c>
      <c r="AP442" s="324">
        <f>Параметры!AP$72</f>
        <v>0.18</v>
      </c>
      <c r="AQ442" s="324">
        <f>Параметры!AQ$72</f>
        <v>0.18</v>
      </c>
      <c r="AR442" s="324">
        <f>Параметры!AR$72</f>
        <v>0.18</v>
      </c>
      <c r="AS442" s="324">
        <f>Параметры!AS$72</f>
        <v>0.18</v>
      </c>
      <c r="AT442" s="324">
        <f>Параметры!AT$72</f>
        <v>0.18</v>
      </c>
      <c r="AU442" s="324">
        <f>Параметры!AU$72</f>
        <v>0.18</v>
      </c>
      <c r="AV442" s="324">
        <f>Параметры!AV$72</f>
        <v>0.18</v>
      </c>
      <c r="AW442" s="192"/>
      <c r="AX442" s="182"/>
    </row>
    <row r="443" spans="1:50" hidden="1" outlineLevel="1" x14ac:dyDescent="0.2">
      <c r="A443" s="167" t="str">
        <f ca="1">Language!A$660</f>
        <v>ставка импортной пошлины</v>
      </c>
      <c r="B443" s="191"/>
      <c r="C443" s="103" t="s">
        <v>1</v>
      </c>
      <c r="D443" s="155"/>
      <c r="F443" s="57" t="s">
        <v>756</v>
      </c>
      <c r="G443" s="324">
        <v>0</v>
      </c>
      <c r="H443" s="324">
        <f t="shared" ref="H443" si="2568">G443</f>
        <v>0</v>
      </c>
      <c r="I443" s="324">
        <f t="shared" ref="I443" si="2569">H443</f>
        <v>0</v>
      </c>
      <c r="J443" s="324">
        <f t="shared" ref="J443" si="2570">I443</f>
        <v>0</v>
      </c>
      <c r="K443" s="324">
        <f t="shared" ref="K443" si="2571">J443</f>
        <v>0</v>
      </c>
      <c r="L443" s="324">
        <f t="shared" ref="L443" si="2572">K443</f>
        <v>0</v>
      </c>
      <c r="M443" s="324">
        <f t="shared" ref="M443" si="2573">L443</f>
        <v>0</v>
      </c>
      <c r="N443" s="324">
        <f t="shared" ref="N443" si="2574">M443</f>
        <v>0</v>
      </c>
      <c r="O443" s="324">
        <f t="shared" ref="O443" si="2575">N443</f>
        <v>0</v>
      </c>
      <c r="P443" s="324">
        <f t="shared" ref="P443" si="2576">O443</f>
        <v>0</v>
      </c>
      <c r="Q443" s="324">
        <f t="shared" ref="Q443" si="2577">P443</f>
        <v>0</v>
      </c>
      <c r="R443" s="324">
        <f t="shared" ref="R443" si="2578">Q443</f>
        <v>0</v>
      </c>
      <c r="S443" s="324">
        <f t="shared" ref="S443" si="2579">R443</f>
        <v>0</v>
      </c>
      <c r="T443" s="324">
        <f t="shared" ref="T443" si="2580">S443</f>
        <v>0</v>
      </c>
      <c r="U443" s="324">
        <f t="shared" ref="U443" si="2581">T443</f>
        <v>0</v>
      </c>
      <c r="V443" s="324">
        <f t="shared" ref="V443" si="2582">U443</f>
        <v>0</v>
      </c>
      <c r="W443" s="324">
        <f t="shared" ref="W443" si="2583">V443</f>
        <v>0</v>
      </c>
      <c r="X443" s="324">
        <f t="shared" ref="X443" si="2584">W443</f>
        <v>0</v>
      </c>
      <c r="Y443" s="324">
        <f t="shared" ref="Y443" si="2585">X443</f>
        <v>0</v>
      </c>
      <c r="Z443" s="324">
        <f t="shared" ref="Z443" si="2586">Y443</f>
        <v>0</v>
      </c>
      <c r="AA443" s="324">
        <f t="shared" ref="AA443" si="2587">Z443</f>
        <v>0</v>
      </c>
      <c r="AB443" s="324">
        <f t="shared" ref="AB443" si="2588">AA443</f>
        <v>0</v>
      </c>
      <c r="AC443" s="324">
        <f t="shared" ref="AC443" si="2589">AB443</f>
        <v>0</v>
      </c>
      <c r="AD443" s="324">
        <f t="shared" ref="AD443" si="2590">AC443</f>
        <v>0</v>
      </c>
      <c r="AE443" s="324">
        <f t="shared" ref="AE443" si="2591">AD443</f>
        <v>0</v>
      </c>
      <c r="AF443" s="324">
        <f t="shared" ref="AF443" si="2592">AE443</f>
        <v>0</v>
      </c>
      <c r="AG443" s="324">
        <f t="shared" ref="AG443" si="2593">AF443</f>
        <v>0</v>
      </c>
      <c r="AH443" s="324">
        <f t="shared" ref="AH443" si="2594">AG443</f>
        <v>0</v>
      </c>
      <c r="AI443" s="324">
        <f t="shared" ref="AI443" si="2595">AH443</f>
        <v>0</v>
      </c>
      <c r="AJ443" s="324">
        <f t="shared" ref="AJ443" si="2596">AI443</f>
        <v>0</v>
      </c>
      <c r="AK443" s="324">
        <f t="shared" ref="AK443" si="2597">AJ443</f>
        <v>0</v>
      </c>
      <c r="AL443" s="324">
        <f t="shared" ref="AL443" si="2598">AK443</f>
        <v>0</v>
      </c>
      <c r="AM443" s="324">
        <f t="shared" ref="AM443" si="2599">AL443</f>
        <v>0</v>
      </c>
      <c r="AN443" s="324">
        <f t="shared" ref="AN443" si="2600">AM443</f>
        <v>0</v>
      </c>
      <c r="AO443" s="324">
        <f t="shared" ref="AO443" si="2601">AN443</f>
        <v>0</v>
      </c>
      <c r="AP443" s="324">
        <f t="shared" ref="AP443" si="2602">AO443</f>
        <v>0</v>
      </c>
      <c r="AQ443" s="324">
        <f t="shared" ref="AQ443" si="2603">AP443</f>
        <v>0</v>
      </c>
      <c r="AR443" s="324">
        <f t="shared" ref="AR443" si="2604">AQ443</f>
        <v>0</v>
      </c>
      <c r="AS443" s="324">
        <f t="shared" ref="AS443" si="2605">AR443</f>
        <v>0</v>
      </c>
      <c r="AT443" s="324">
        <f t="shared" ref="AT443" si="2606">AS443</f>
        <v>0</v>
      </c>
      <c r="AU443" s="324">
        <f t="shared" ref="AU443" si="2607">AT443</f>
        <v>0</v>
      </c>
      <c r="AV443" s="324">
        <f t="shared" ref="AV443" si="2608">AU443</f>
        <v>0</v>
      </c>
      <c r="AW443" s="192"/>
      <c r="AX443" s="182"/>
    </row>
    <row r="444" spans="1:50" hidden="1" outlineLevel="1" x14ac:dyDescent="0.2">
      <c r="A444" s="179" t="str">
        <f ca="1">Language!A$661</f>
        <v>коэффициент прироста цен к предыдущему периоду</v>
      </c>
      <c r="B444" s="191"/>
      <c r="C444" s="103" t="str">
        <f ca="1">Language!$A$1449</f>
        <v>раз</v>
      </c>
      <c r="D444" s="155"/>
      <c r="F444" s="57" t="s">
        <v>754</v>
      </c>
      <c r="G444" s="193">
        <f ca="1">IF(G$2=1,1,IF(Prj_Inflation=1,POWER(1+OFFSET(G441,0,-1),Параметры!G$30/360),1))</f>
        <v>1</v>
      </c>
      <c r="H444" s="193">
        <f ca="1">IF(H$2=1,1,IF(Prj_Inflation=1,POWER(1+OFFSET(H441,0,-1),Параметры!H$30/360),1))</f>
        <v>1.0146738461686593</v>
      </c>
      <c r="I444" s="193">
        <f ca="1">IF(I$2=1,1,IF(Prj_Inflation=1,POWER(1+OFFSET(I441,0,-1),Параметры!I$30/360),1))</f>
        <v>1.0146738461686593</v>
      </c>
      <c r="J444" s="193">
        <f ca="1">IF(J$2=1,1,IF(Prj_Inflation=1,POWER(1+OFFSET(J441,0,-1),Параметры!J$30/360),1))</f>
        <v>1.0146738461686593</v>
      </c>
      <c r="K444" s="193">
        <f ca="1">IF(K$2=1,1,IF(Prj_Inflation=1,POWER(1+OFFSET(K441,0,-1),Параметры!K$30/360),1))</f>
        <v>1.0146738461686593</v>
      </c>
      <c r="L444" s="193">
        <f ca="1">IF(L$2=1,1,IF(Prj_Inflation=1,POWER(1+OFFSET(L441,0,-1),Параметры!L$30/360),1))</f>
        <v>1.0146738461686593</v>
      </c>
      <c r="M444" s="193">
        <f ca="1">IF(M$2=1,1,IF(Prj_Inflation=1,POWER(1+OFFSET(M441,0,-1),Параметры!M$30/360),1))</f>
        <v>1.0146738461686593</v>
      </c>
      <c r="N444" s="193">
        <f ca="1">IF(N$2=1,1,IF(Prj_Inflation=1,POWER(1+OFFSET(N441,0,-1),Параметры!N$30/360),1))</f>
        <v>1.0146738461686593</v>
      </c>
      <c r="O444" s="193">
        <f ca="1">IF(O$2=1,1,IF(Prj_Inflation=1,POWER(1+OFFSET(O441,0,-1),Параметры!O$30/360),1))</f>
        <v>1.0146738461686593</v>
      </c>
      <c r="P444" s="193">
        <f ca="1">IF(P$2=1,1,IF(Prj_Inflation=1,POWER(1+OFFSET(P441,0,-1),Параметры!P$30/360),1))</f>
        <v>1.0146738461686593</v>
      </c>
      <c r="Q444" s="193">
        <f ca="1">IF(Q$2=1,1,IF(Prj_Inflation=1,POWER(1+OFFSET(Q441,0,-1),Параметры!Q$30/360),1))</f>
        <v>1.0146738461686593</v>
      </c>
      <c r="R444" s="193">
        <f ca="1">IF(R$2=1,1,IF(Prj_Inflation=1,POWER(1+OFFSET(R441,0,-1),Параметры!R$30/360),1))</f>
        <v>1.0146738461686593</v>
      </c>
      <c r="S444" s="193">
        <f ca="1">IF(S$2=1,1,IF(Prj_Inflation=1,POWER(1+OFFSET(S441,0,-1),Параметры!S$30/360),1))</f>
        <v>1.0146738461686593</v>
      </c>
      <c r="T444" s="193">
        <f ca="1">IF(T$2=1,1,IF(Prj_Inflation=1,POWER(1+OFFSET(T441,0,-1),Параметры!T$30/360),1))</f>
        <v>1.0146738461686593</v>
      </c>
      <c r="U444" s="193">
        <f ca="1">IF(U$2=1,1,IF(Prj_Inflation=1,POWER(1+OFFSET(U441,0,-1),Параметры!U$30/360),1))</f>
        <v>1.0146738461686593</v>
      </c>
      <c r="V444" s="193">
        <f ca="1">IF(V$2=1,1,IF(Prj_Inflation=1,POWER(1+OFFSET(V441,0,-1),Параметры!V$30/360),1))</f>
        <v>1.0146738461686593</v>
      </c>
      <c r="W444" s="193">
        <f ca="1">IF(W$2=1,1,IF(Prj_Inflation=1,POWER(1+OFFSET(W441,0,-1),Параметры!W$30/360),1))</f>
        <v>1.0146738461686593</v>
      </c>
      <c r="X444" s="193">
        <f ca="1">IF(X$2=1,1,IF(Prj_Inflation=1,POWER(1+OFFSET(X441,0,-1),Параметры!X$30/360),1))</f>
        <v>1.0146738461686593</v>
      </c>
      <c r="Y444" s="193">
        <f ca="1">IF(Y$2=1,1,IF(Prj_Inflation=1,POWER(1+OFFSET(Y441,0,-1),Параметры!Y$30/360),1))</f>
        <v>1.0146738461686593</v>
      </c>
      <c r="Z444" s="193">
        <f ca="1">IF(Z$2=1,1,IF(Prj_Inflation=1,POWER(1+OFFSET(Z441,0,-1),Параметры!Z$30/360),1))</f>
        <v>1.0146738461686593</v>
      </c>
      <c r="AA444" s="193">
        <f ca="1">IF(AA$2=1,1,IF(Prj_Inflation=1,POWER(1+OFFSET(AA441,0,-1),Параметры!AA$30/360),1))</f>
        <v>1.0146738461686593</v>
      </c>
      <c r="AB444" s="193">
        <f ca="1">IF(AB$2=1,1,IF(Prj_Inflation=1,POWER(1+OFFSET(AB441,0,-1),Параметры!AB$30/360),1))</f>
        <v>1.0146738461686593</v>
      </c>
      <c r="AC444" s="193">
        <f ca="1">IF(AC$2=1,1,IF(Prj_Inflation=1,POWER(1+OFFSET(AC441,0,-1),Параметры!AC$30/360),1))</f>
        <v>1.0146738461686593</v>
      </c>
      <c r="AD444" s="193">
        <f ca="1">IF(AD$2=1,1,IF(Prj_Inflation=1,POWER(1+OFFSET(AD441,0,-1),Параметры!AD$30/360),1))</f>
        <v>1.0146738461686593</v>
      </c>
      <c r="AE444" s="193">
        <f ca="1">IF(AE$2=1,1,IF(Prj_Inflation=1,POWER(1+OFFSET(AE441,0,-1),Параметры!AE$30/360),1))</f>
        <v>1.0146738461686593</v>
      </c>
      <c r="AF444" s="193">
        <f ca="1">IF(AF$2=1,1,IF(Prj_Inflation=1,POWER(1+OFFSET(AF441,0,-1),Параметры!AF$30/360),1))</f>
        <v>1.0146738461686593</v>
      </c>
      <c r="AG444" s="193">
        <f ca="1">IF(AG$2=1,1,IF(Prj_Inflation=1,POWER(1+OFFSET(AG441,0,-1),Параметры!AG$30/360),1))</f>
        <v>1.0146738461686593</v>
      </c>
      <c r="AH444" s="193">
        <f ca="1">IF(AH$2=1,1,IF(Prj_Inflation=1,POWER(1+OFFSET(AH441,0,-1),Параметры!AH$30/360),1))</f>
        <v>1.0146738461686593</v>
      </c>
      <c r="AI444" s="193">
        <f ca="1">IF(AI$2=1,1,IF(Prj_Inflation=1,POWER(1+OFFSET(AI441,0,-1),Параметры!AI$30/360),1))</f>
        <v>1.0146738461686593</v>
      </c>
      <c r="AJ444" s="193">
        <f ca="1">IF(AJ$2=1,1,IF(Prj_Inflation=1,POWER(1+OFFSET(AJ441,0,-1),Параметры!AJ$30/360),1))</f>
        <v>1.0146738461686593</v>
      </c>
      <c r="AK444" s="193">
        <f ca="1">IF(AK$2=1,1,IF(Prj_Inflation=1,POWER(1+OFFSET(AK441,0,-1),Параметры!AK$30/360),1))</f>
        <v>1.0146738461686593</v>
      </c>
      <c r="AL444" s="193">
        <f ca="1">IF(AL$2=1,1,IF(Prj_Inflation=1,POWER(1+OFFSET(AL441,0,-1),Параметры!AL$30/360),1))</f>
        <v>1.0146738461686593</v>
      </c>
      <c r="AM444" s="193">
        <f ca="1">IF(AM$2=1,1,IF(Prj_Inflation=1,POWER(1+OFFSET(AM441,0,-1),Параметры!AM$30/360),1))</f>
        <v>1.0146738461686593</v>
      </c>
      <c r="AN444" s="193">
        <f ca="1">IF(AN$2=1,1,IF(Prj_Inflation=1,POWER(1+OFFSET(AN441,0,-1),Параметры!AN$30/360),1))</f>
        <v>1.0146738461686593</v>
      </c>
      <c r="AO444" s="193">
        <f ca="1">IF(AO$2=1,1,IF(Prj_Inflation=1,POWER(1+OFFSET(AO441,0,-1),Параметры!AO$30/360),1))</f>
        <v>1.0146738461686593</v>
      </c>
      <c r="AP444" s="193">
        <f ca="1">IF(AP$2=1,1,IF(Prj_Inflation=1,POWER(1+OFFSET(AP441,0,-1),Параметры!AP$30/360),1))</f>
        <v>1.0146738461686593</v>
      </c>
      <c r="AQ444" s="193">
        <f ca="1">IF(AQ$2=1,1,IF(Prj_Inflation=1,POWER(1+OFFSET(AQ441,0,-1),Параметры!AQ$30/360),1))</f>
        <v>1.0146738461686593</v>
      </c>
      <c r="AR444" s="193">
        <f ca="1">IF(AR$2=1,1,IF(Prj_Inflation=1,POWER(1+OFFSET(AR441,0,-1),Параметры!AR$30/360),1))</f>
        <v>1.0146738461686593</v>
      </c>
      <c r="AS444" s="193">
        <f ca="1">IF(AS$2=1,1,IF(Prj_Inflation=1,POWER(1+OFFSET(AS441,0,-1),Параметры!AS$30/360),1))</f>
        <v>1.0146738461686593</v>
      </c>
      <c r="AT444" s="193">
        <f ca="1">IF(AT$2=1,1,IF(Prj_Inflation=1,POWER(1+OFFSET(AT441,0,-1),Параметры!AT$30/360),1))</f>
        <v>1.0146738461686593</v>
      </c>
      <c r="AU444" s="193">
        <f ca="1">IF(AU$2=1,1,IF(Prj_Inflation=1,POWER(1+OFFSET(AU441,0,-1),Параметры!AU$30/360),1))</f>
        <v>1.0146738461686593</v>
      </c>
      <c r="AV444" s="193">
        <f ca="1">IF(AV$2=1,1,IF(Prj_Inflation=1,POWER(1+OFFSET(AV441,0,-1),Параметры!AV$30/360),1))</f>
        <v>1.0146738461686593</v>
      </c>
      <c r="AW444" s="193"/>
      <c r="AX444" s="182"/>
    </row>
    <row r="445" spans="1:50" hidden="1" outlineLevel="1" x14ac:dyDescent="0.2">
      <c r="A445" s="167" t="str">
        <f ca="1">Language!A$662</f>
        <v>пошлины начисленные</v>
      </c>
      <c r="B445" s="153"/>
      <c r="C445" s="103" t="str">
        <f ca="1">CHOOSE(D445,CurName1,CurName2,CurName3)</f>
        <v>тыс. руб.</v>
      </c>
      <c r="D445" s="155">
        <f>D425</f>
        <v>1</v>
      </c>
      <c r="E445" s="57" t="s">
        <v>1011</v>
      </c>
      <c r="F445" s="57" t="s">
        <v>753</v>
      </c>
      <c r="G445" s="194">
        <f ca="1">G435*G443</f>
        <v>0</v>
      </c>
      <c r="H445" s="194">
        <f t="shared" ref="H445:AV445" ca="1" si="2609">H435*H443</f>
        <v>0</v>
      </c>
      <c r="I445" s="194">
        <f t="shared" ca="1" si="2609"/>
        <v>0</v>
      </c>
      <c r="J445" s="194">
        <f t="shared" ca="1" si="2609"/>
        <v>0</v>
      </c>
      <c r="K445" s="194">
        <f t="shared" ca="1" si="2609"/>
        <v>0</v>
      </c>
      <c r="L445" s="194">
        <f t="shared" ca="1" si="2609"/>
        <v>0</v>
      </c>
      <c r="M445" s="194">
        <f t="shared" ca="1" si="2609"/>
        <v>0</v>
      </c>
      <c r="N445" s="194">
        <f t="shared" ca="1" si="2609"/>
        <v>0</v>
      </c>
      <c r="O445" s="194">
        <f t="shared" ca="1" si="2609"/>
        <v>0</v>
      </c>
      <c r="P445" s="194">
        <f t="shared" ca="1" si="2609"/>
        <v>0</v>
      </c>
      <c r="Q445" s="194">
        <f t="shared" ca="1" si="2609"/>
        <v>0</v>
      </c>
      <c r="R445" s="194">
        <f t="shared" ca="1" si="2609"/>
        <v>0</v>
      </c>
      <c r="S445" s="194">
        <f t="shared" ca="1" si="2609"/>
        <v>0</v>
      </c>
      <c r="T445" s="194">
        <f t="shared" ca="1" si="2609"/>
        <v>0</v>
      </c>
      <c r="U445" s="194">
        <f t="shared" ca="1" si="2609"/>
        <v>0</v>
      </c>
      <c r="V445" s="194">
        <f t="shared" ca="1" si="2609"/>
        <v>0</v>
      </c>
      <c r="W445" s="194">
        <f t="shared" ca="1" si="2609"/>
        <v>0</v>
      </c>
      <c r="X445" s="194">
        <f t="shared" ca="1" si="2609"/>
        <v>0</v>
      </c>
      <c r="Y445" s="194">
        <f t="shared" ca="1" si="2609"/>
        <v>0</v>
      </c>
      <c r="Z445" s="194">
        <f t="shared" ca="1" si="2609"/>
        <v>0</v>
      </c>
      <c r="AA445" s="194">
        <f t="shared" ca="1" si="2609"/>
        <v>0</v>
      </c>
      <c r="AB445" s="194">
        <f t="shared" ca="1" si="2609"/>
        <v>0</v>
      </c>
      <c r="AC445" s="194">
        <f t="shared" ca="1" si="2609"/>
        <v>0</v>
      </c>
      <c r="AD445" s="194">
        <f t="shared" ca="1" si="2609"/>
        <v>0</v>
      </c>
      <c r="AE445" s="194">
        <f t="shared" ca="1" si="2609"/>
        <v>0</v>
      </c>
      <c r="AF445" s="194">
        <f t="shared" ca="1" si="2609"/>
        <v>0</v>
      </c>
      <c r="AG445" s="194">
        <f t="shared" ca="1" si="2609"/>
        <v>0</v>
      </c>
      <c r="AH445" s="194">
        <f t="shared" ca="1" si="2609"/>
        <v>0</v>
      </c>
      <c r="AI445" s="194">
        <f t="shared" ca="1" si="2609"/>
        <v>0</v>
      </c>
      <c r="AJ445" s="194">
        <f t="shared" ca="1" si="2609"/>
        <v>0</v>
      </c>
      <c r="AK445" s="194">
        <f t="shared" ca="1" si="2609"/>
        <v>0</v>
      </c>
      <c r="AL445" s="194">
        <f t="shared" ca="1" si="2609"/>
        <v>0</v>
      </c>
      <c r="AM445" s="194">
        <f t="shared" ca="1" si="2609"/>
        <v>0</v>
      </c>
      <c r="AN445" s="194">
        <f t="shared" ca="1" si="2609"/>
        <v>0</v>
      </c>
      <c r="AO445" s="194">
        <f t="shared" ca="1" si="2609"/>
        <v>0</v>
      </c>
      <c r="AP445" s="194">
        <f t="shared" ca="1" si="2609"/>
        <v>0</v>
      </c>
      <c r="AQ445" s="194">
        <f t="shared" ca="1" si="2609"/>
        <v>0</v>
      </c>
      <c r="AR445" s="194">
        <f t="shared" ca="1" si="2609"/>
        <v>0</v>
      </c>
      <c r="AS445" s="194">
        <f t="shared" ca="1" si="2609"/>
        <v>0</v>
      </c>
      <c r="AT445" s="194">
        <f t="shared" ca="1" si="2609"/>
        <v>0</v>
      </c>
      <c r="AU445" s="194">
        <f t="shared" ca="1" si="2609"/>
        <v>0</v>
      </c>
      <c r="AV445" s="194">
        <f t="shared" ca="1" si="2609"/>
        <v>0</v>
      </c>
      <c r="AW445" s="194"/>
      <c r="AX445" s="169">
        <f ca="1">SUM(G445:AW445)</f>
        <v>0</v>
      </c>
    </row>
    <row r="446" spans="1:50" hidden="1" outlineLevel="1" x14ac:dyDescent="0.2">
      <c r="A446" s="167" t="str">
        <f ca="1">Language!A$663</f>
        <v>НДС начисленный</v>
      </c>
      <c r="B446" s="153"/>
      <c r="C446" s="103" t="str">
        <f ca="1">CHOOSE(D446,CurName1,CurName2,CurName3)</f>
        <v>тыс. руб.</v>
      </c>
      <c r="D446" s="155">
        <f>D425</f>
        <v>1</v>
      </c>
      <c r="E446" s="57" t="s">
        <v>789</v>
      </c>
      <c r="F446" s="57" t="s">
        <v>753</v>
      </c>
      <c r="G446" s="194">
        <f ca="1">(G435+G445)*G442</f>
        <v>1890</v>
      </c>
      <c r="H446" s="194">
        <f t="shared" ref="H446:AV446" ca="1" si="2610">(H435+H445)*H442</f>
        <v>1917.7335692587662</v>
      </c>
      <c r="I446" s="194">
        <f t="shared" ca="1" si="2610"/>
        <v>1945.874096646543</v>
      </c>
      <c r="J446" s="194">
        <f t="shared" ca="1" si="2610"/>
        <v>1974.4275538043134</v>
      </c>
      <c r="K446" s="194">
        <f t="shared" ca="1" si="2610"/>
        <v>2003.3999999999999</v>
      </c>
      <c r="L446" s="194">
        <f t="shared" ca="1" si="2610"/>
        <v>2032.7975834142924</v>
      </c>
      <c r="M446" s="194">
        <f t="shared" ca="1" si="2610"/>
        <v>2062.6265424453359</v>
      </c>
      <c r="N446" s="194">
        <f t="shared" ca="1" si="2610"/>
        <v>2092.8932070325723</v>
      </c>
      <c r="O446" s="194">
        <f t="shared" ca="1" si="2610"/>
        <v>2123.6040000000003</v>
      </c>
      <c r="P446" s="194">
        <f t="shared" ca="1" si="2610"/>
        <v>2154.7654384191496</v>
      </c>
      <c r="Q446" s="194">
        <f t="shared" ca="1" si="2610"/>
        <v>2186.3841349920563</v>
      </c>
      <c r="R446" s="194">
        <f t="shared" ca="1" si="2610"/>
        <v>2218.4667994545266</v>
      </c>
      <c r="S446" s="194">
        <f t="shared" ca="1" si="2610"/>
        <v>2251.0202400000003</v>
      </c>
      <c r="T446" s="194">
        <f t="shared" ca="1" si="2610"/>
        <v>2284.0513647242992</v>
      </c>
      <c r="U446" s="194">
        <f t="shared" ca="1" si="2610"/>
        <v>2317.5671830915799</v>
      </c>
      <c r="V446" s="194">
        <f t="shared" ca="1" si="2610"/>
        <v>2351.5748074217986</v>
      </c>
      <c r="W446" s="194">
        <f t="shared" ca="1" si="2610"/>
        <v>2386.0814544000004</v>
      </c>
      <c r="X446" s="194">
        <f t="shared" ca="1" si="2610"/>
        <v>2421.0944466077572</v>
      </c>
      <c r="Y446" s="194">
        <f t="shared" ca="1" si="2610"/>
        <v>2456.6212140770745</v>
      </c>
      <c r="Z446" s="194">
        <f t="shared" ca="1" si="2610"/>
        <v>2492.6692958671069</v>
      </c>
      <c r="AA446" s="194">
        <f t="shared" ca="1" si="2610"/>
        <v>2529.2463416640012</v>
      </c>
      <c r="AB446" s="194">
        <f t="shared" ca="1" si="2610"/>
        <v>2566.3601134042224</v>
      </c>
      <c r="AC446" s="194">
        <f t="shared" ca="1" si="2610"/>
        <v>2604.0184869216992</v>
      </c>
      <c r="AD446" s="194">
        <f t="shared" ca="1" si="2610"/>
        <v>2642.2294536191334</v>
      </c>
      <c r="AE446" s="194">
        <f t="shared" ca="1" si="2610"/>
        <v>2681.0011221638415</v>
      </c>
      <c r="AF446" s="194">
        <f t="shared" ca="1" si="2610"/>
        <v>2720.3417202084761</v>
      </c>
      <c r="AG446" s="194">
        <f t="shared" ca="1" si="2610"/>
        <v>2760.2595961370016</v>
      </c>
      <c r="AH446" s="194">
        <f t="shared" ca="1" si="2610"/>
        <v>2800.7632208362816</v>
      </c>
      <c r="AI446" s="194">
        <f t="shared" ca="1" si="2610"/>
        <v>2841.8611894936716</v>
      </c>
      <c r="AJ446" s="194">
        <f t="shared" ca="1" si="2610"/>
        <v>2883.562223420985</v>
      </c>
      <c r="AK446" s="194">
        <f t="shared" ca="1" si="2610"/>
        <v>2925.875171905222</v>
      </c>
      <c r="AL446" s="194">
        <f t="shared" ca="1" si="2610"/>
        <v>2968.8090140864592</v>
      </c>
      <c r="AM446" s="194">
        <f t="shared" ca="1" si="2610"/>
        <v>3012.3728608632928</v>
      </c>
      <c r="AN446" s="194">
        <f t="shared" ca="1" si="2610"/>
        <v>3056.5759568262447</v>
      </c>
      <c r="AO446" s="194">
        <f t="shared" ca="1" si="2610"/>
        <v>3101.4276822195357</v>
      </c>
      <c r="AP446" s="194">
        <f t="shared" ca="1" si="2610"/>
        <v>3146.9375549316469</v>
      </c>
      <c r="AQ446" s="194">
        <f t="shared" ca="1" si="2610"/>
        <v>3193.1152325150906</v>
      </c>
      <c r="AR446" s="194">
        <f t="shared" ca="1" si="2610"/>
        <v>3239.9705142358189</v>
      </c>
      <c r="AS446" s="194">
        <f t="shared" ca="1" si="2610"/>
        <v>3287.5133431527079</v>
      </c>
      <c r="AT446" s="194">
        <f t="shared" ca="1" si="2610"/>
        <v>3335.7538082275455</v>
      </c>
      <c r="AU446" s="194">
        <f t="shared" ca="1" si="2610"/>
        <v>3384.7021464659956</v>
      </c>
      <c r="AV446" s="194">
        <f t="shared" ca="1" si="2610"/>
        <v>3434.3687450899693</v>
      </c>
      <c r="AW446" s="194"/>
      <c r="AX446" s="169">
        <f ca="1">SUM(G446:AW446)</f>
        <v>108680.71843004602</v>
      </c>
    </row>
    <row r="447" spans="1:50" x14ac:dyDescent="0.2">
      <c r="AW447" s="94"/>
    </row>
    <row r="448" spans="1:50" x14ac:dyDescent="0.2">
      <c r="A448" s="38" t="str">
        <f ca="1">Language!A$664</f>
        <v>Итого: Материальные затраты</v>
      </c>
      <c r="E448" s="57" t="s">
        <v>725</v>
      </c>
      <c r="AW448" s="94"/>
    </row>
    <row r="449" spans="1:50" collapsed="1" x14ac:dyDescent="0.2">
      <c r="A449" s="99" t="str">
        <f ca="1">Language!A$665</f>
        <v>Суммарные затраты в отчете о прибылях и убытках</v>
      </c>
      <c r="C449" s="124" t="str">
        <f t="shared" ref="C449:C459" ca="1" si="2611">CurName1</f>
        <v>тыс. руб.</v>
      </c>
      <c r="F449" s="57" t="s">
        <v>753</v>
      </c>
      <c r="G449" s="138">
        <f t="shared" ref="G449:AV449" ca="1" si="2612">G451+G454</f>
        <v>73386.125249999997</v>
      </c>
      <c r="H449" s="138">
        <f t="shared" ca="1" si="2612"/>
        <v>72382.900578186702</v>
      </c>
      <c r="I449" s="138">
        <f t="shared" ca="1" si="2612"/>
        <v>113598.8577885994</v>
      </c>
      <c r="J449" s="138">
        <f t="shared" ca="1" si="2612"/>
        <v>95364.813815173315</v>
      </c>
      <c r="K449" s="138">
        <f t="shared" ca="1" si="2612"/>
        <v>109749.18242300001</v>
      </c>
      <c r="L449" s="138">
        <f t="shared" ca="1" si="2612"/>
        <v>107326.29650449082</v>
      </c>
      <c r="M449" s="138">
        <f t="shared" ca="1" si="2612"/>
        <v>146217.63948187858</v>
      </c>
      <c r="N449" s="138">
        <f t="shared" ca="1" si="2612"/>
        <v>125385.68338954952</v>
      </c>
      <c r="O449" s="138">
        <f t="shared" ca="1" si="2612"/>
        <v>140989.67361936002</v>
      </c>
      <c r="P449" s="138">
        <f t="shared" ca="1" si="2612"/>
        <v>138783.20615058832</v>
      </c>
      <c r="Q449" s="138">
        <f t="shared" ca="1" si="2612"/>
        <v>175888.83565485405</v>
      </c>
      <c r="R449" s="138">
        <f t="shared" ca="1" si="2612"/>
        <v>149125.0024374543</v>
      </c>
      <c r="S449" s="138">
        <f t="shared" ca="1" si="2612"/>
        <v>160841.36778312243</v>
      </c>
      <c r="T449" s="138">
        <f t="shared" ca="1" si="2612"/>
        <v>153533.58698698145</v>
      </c>
      <c r="U449" s="138">
        <f t="shared" ca="1" si="2612"/>
        <v>190419.6133425094</v>
      </c>
      <c r="V449" s="138">
        <f t="shared" ca="1" si="2612"/>
        <v>162108.31458553427</v>
      </c>
      <c r="W449" s="138">
        <f t="shared" ca="1" si="2612"/>
        <v>174586.88273642302</v>
      </c>
      <c r="X449" s="138">
        <f t="shared" ca="1" si="2612"/>
        <v>166900.72497514295</v>
      </c>
      <c r="Y449" s="138">
        <f t="shared" ca="1" si="2612"/>
        <v>204055.87603117878</v>
      </c>
      <c r="Z449" s="138">
        <f t="shared" ca="1" si="2612"/>
        <v>174078.34448297307</v>
      </c>
      <c r="AA449" s="138">
        <f t="shared" ca="1" si="2612"/>
        <v>187338.54795201114</v>
      </c>
      <c r="AB449" s="138">
        <f t="shared" ca="1" si="2612"/>
        <v>179224.62503520161</v>
      </c>
      <c r="AC449" s="138">
        <f t="shared" ca="1" si="2612"/>
        <v>217997.97424420482</v>
      </c>
      <c r="AD449" s="138">
        <f t="shared" ca="1" si="2612"/>
        <v>186246.71793547145</v>
      </c>
      <c r="AE449" s="138">
        <f t="shared" ca="1" si="2612"/>
        <v>200327.82652192225</v>
      </c>
      <c r="AF449" s="138">
        <f t="shared" ca="1" si="2612"/>
        <v>191752.73228363442</v>
      </c>
      <c r="AG449" s="138">
        <f t="shared" ca="1" si="2612"/>
        <v>231365.41187012722</v>
      </c>
      <c r="AH449" s="138">
        <f t="shared" ca="1" si="2612"/>
        <v>197713.29978191346</v>
      </c>
      <c r="AI449" s="138">
        <f t="shared" ca="1" si="2612"/>
        <v>212643.5564003422</v>
      </c>
      <c r="AJ449" s="138">
        <f t="shared" ca="1" si="2612"/>
        <v>203558.30085086671</v>
      </c>
      <c r="AK449" s="138">
        <f t="shared" ca="1" si="2612"/>
        <v>245449.02095073543</v>
      </c>
      <c r="AL449" s="138">
        <f t="shared" ca="1" si="2612"/>
        <v>209780.74162262544</v>
      </c>
      <c r="AM449" s="138">
        <f t="shared" ca="1" si="2612"/>
        <v>225609.81655058987</v>
      </c>
      <c r="AN449" s="138">
        <f t="shared" ca="1" si="2612"/>
        <v>215982.49264485086</v>
      </c>
      <c r="AO449" s="138">
        <f t="shared" ca="1" si="2612"/>
        <v>260515.01610743281</v>
      </c>
      <c r="AP449" s="138">
        <f t="shared" ca="1" si="2612"/>
        <v>222711.61524440255</v>
      </c>
      <c r="AQ449" s="138">
        <f t="shared" ca="1" si="2612"/>
        <v>239495.48289849408</v>
      </c>
      <c r="AR449" s="138">
        <f t="shared" ca="1" si="2612"/>
        <v>229295.6418658171</v>
      </c>
      <c r="AS449" s="138">
        <f t="shared" ca="1" si="2612"/>
        <v>280239.97711255017</v>
      </c>
      <c r="AT449" s="138">
        <f t="shared" ca="1" si="2612"/>
        <v>240228.44780495091</v>
      </c>
      <c r="AU449" s="138">
        <f t="shared" ca="1" si="2612"/>
        <v>258080.30466571939</v>
      </c>
      <c r="AV449" s="138">
        <f t="shared" ca="1" si="2612"/>
        <v>247330.32479431751</v>
      </c>
      <c r="AW449" s="148"/>
      <c r="AX449" s="169">
        <f t="shared" ref="AX449:AX454" ca="1" si="2613">SUM(G449:AW449)</f>
        <v>7717610.8031551838</v>
      </c>
    </row>
    <row r="450" spans="1:50" hidden="1" outlineLevel="1" x14ac:dyDescent="0.2">
      <c r="A450" s="99" t="str">
        <f ca="1">Language!A$666</f>
        <v>Оплата материалов и комплектующих, с НДС</v>
      </c>
      <c r="C450" s="124" t="str">
        <f t="shared" ca="1" si="2611"/>
        <v>тыс. руб.</v>
      </c>
      <c r="F450" s="57" t="s">
        <v>753</v>
      </c>
      <c r="G450" s="138">
        <f t="shared" ref="G450:AV450" ca="1" si="2614">G452+G454</f>
        <v>82340.737774999987</v>
      </c>
      <c r="H450" s="138">
        <f t="shared" ca="1" si="2614"/>
        <v>81094.497060642272</v>
      </c>
      <c r="I450" s="138">
        <f t="shared" ca="1" si="2614"/>
        <v>129142.88765675647</v>
      </c>
      <c r="J450" s="138">
        <f t="shared" ca="1" si="2614"/>
        <v>107554.75868169749</v>
      </c>
      <c r="K450" s="138">
        <f t="shared" ca="1" si="2614"/>
        <v>124455.30066529999</v>
      </c>
      <c r="L450" s="138">
        <f t="shared" ca="1" si="2614"/>
        <v>121522.21092668276</v>
      </c>
      <c r="M450" s="138">
        <f t="shared" ca="1" si="2614"/>
        <v>166907.23600995855</v>
      </c>
      <c r="N450" s="138">
        <f t="shared" ca="1" si="2614"/>
        <v>142242.92025095265</v>
      </c>
      <c r="O450" s="138">
        <f t="shared" ca="1" si="2614"/>
        <v>160571.80898129602</v>
      </c>
      <c r="P450" s="138">
        <f t="shared" ca="1" si="2614"/>
        <v>157883.12766932955</v>
      </c>
      <c r="Q450" s="138">
        <f t="shared" ca="1" si="2614"/>
        <v>201089.57509771921</v>
      </c>
      <c r="R450" s="138">
        <f t="shared" ca="1" si="2614"/>
        <v>169413.46984601545</v>
      </c>
      <c r="S450" s="138">
        <f t="shared" ca="1" si="2614"/>
        <v>183142.60808143468</v>
      </c>
      <c r="T450" s="138">
        <f t="shared" ca="1" si="2614"/>
        <v>174421.84264358293</v>
      </c>
      <c r="U450" s="138">
        <f t="shared" ca="1" si="2614"/>
        <v>217530.1419067829</v>
      </c>
      <c r="V450" s="138">
        <f t="shared" ca="1" si="2614"/>
        <v>184017.67123879239</v>
      </c>
      <c r="W450" s="138">
        <f t="shared" ca="1" si="2614"/>
        <v>198635.70074126535</v>
      </c>
      <c r="X450" s="138">
        <f t="shared" ca="1" si="2614"/>
        <v>189457.78824803475</v>
      </c>
      <c r="Y450" s="138">
        <f t="shared" ca="1" si="2614"/>
        <v>233014.14489812055</v>
      </c>
      <c r="Z450" s="138">
        <f t="shared" ca="1" si="2614"/>
        <v>197526.61563765735</v>
      </c>
      <c r="AA450" s="138">
        <f t="shared" ca="1" si="2614"/>
        <v>213057.94026228425</v>
      </c>
      <c r="AB450" s="138">
        <f t="shared" ca="1" si="2614"/>
        <v>203366.09776062195</v>
      </c>
      <c r="AC450" s="138">
        <f t="shared" ca="1" si="2614"/>
        <v>248863.61380827858</v>
      </c>
      <c r="AD450" s="138">
        <f t="shared" ca="1" si="2614"/>
        <v>211274.25263778877</v>
      </c>
      <c r="AE450" s="138">
        <f t="shared" ca="1" si="2614"/>
        <v>227765.27894009082</v>
      </c>
      <c r="AF450" s="138">
        <f t="shared" ca="1" si="2614"/>
        <v>217520.15634721206</v>
      </c>
      <c r="AG450" s="138">
        <f t="shared" ca="1" si="2614"/>
        <v>264111.74572517246</v>
      </c>
      <c r="AH450" s="138">
        <f t="shared" ca="1" si="2614"/>
        <v>224271.66444340121</v>
      </c>
      <c r="AI450" s="138">
        <f t="shared" ca="1" si="2614"/>
        <v>241756.86199231131</v>
      </c>
      <c r="AJ450" s="138">
        <f t="shared" ca="1" si="2614"/>
        <v>230901.81082128044</v>
      </c>
      <c r="AK450" s="138">
        <f t="shared" ca="1" si="2614"/>
        <v>280180.30327392346</v>
      </c>
      <c r="AL450" s="138">
        <f t="shared" ca="1" si="2614"/>
        <v>237953.07254918216</v>
      </c>
      <c r="AM450" s="138">
        <f t="shared" ca="1" si="2614"/>
        <v>256490.68515469984</v>
      </c>
      <c r="AN450" s="138">
        <f t="shared" ca="1" si="2614"/>
        <v>244987.68258778262</v>
      </c>
      <c r="AO450" s="138">
        <f t="shared" ca="1" si="2614"/>
        <v>297364.0807599774</v>
      </c>
      <c r="AP450" s="138">
        <f t="shared" ca="1" si="2614"/>
        <v>252608.68893899463</v>
      </c>
      <c r="AQ450" s="138">
        <f t="shared" ca="1" si="2614"/>
        <v>272264.11135433754</v>
      </c>
      <c r="AR450" s="138">
        <f t="shared" ca="1" si="2614"/>
        <v>260076.56317155226</v>
      </c>
      <c r="AS450" s="138">
        <f t="shared" ca="1" si="2614"/>
        <v>319709.3916481146</v>
      </c>
      <c r="AT450" s="138">
        <f t="shared" ca="1" si="2614"/>
        <v>272334.75948580692</v>
      </c>
      <c r="AU450" s="138">
        <f t="shared" ca="1" si="2614"/>
        <v>293236.56010824506</v>
      </c>
      <c r="AV450" s="138">
        <f t="shared" ca="1" si="2614"/>
        <v>280385.79582005192</v>
      </c>
      <c r="AW450" s="148"/>
      <c r="AX450" s="169">
        <f t="shared" ca="1" si="2613"/>
        <v>8772446.1616081335</v>
      </c>
    </row>
    <row r="451" spans="1:50" hidden="1" outlineLevel="1" x14ac:dyDescent="0.2">
      <c r="A451" s="99" t="str">
        <f ca="1">Language!A$667</f>
        <v>Затраты, без НДС и пошлин</v>
      </c>
      <c r="C451" s="124" t="str">
        <f t="shared" ca="1" si="2611"/>
        <v>тыс. руб.</v>
      </c>
      <c r="F451" s="57" t="s">
        <v>1099</v>
      </c>
      <c r="G451" s="138">
        <f t="shared" ref="G451:AV451" ca="1" si="2615">SUM(G$338,G$364,G$385,G$406,G$428)</f>
        <v>73386.125249999997</v>
      </c>
      <c r="H451" s="138">
        <f t="shared" ca="1" si="2615"/>
        <v>72382.900578186702</v>
      </c>
      <c r="I451" s="138">
        <f t="shared" ca="1" si="2615"/>
        <v>113598.8577885994</v>
      </c>
      <c r="J451" s="138">
        <f t="shared" ca="1" si="2615"/>
        <v>95364.813815173315</v>
      </c>
      <c r="K451" s="138">
        <f t="shared" ca="1" si="2615"/>
        <v>109749.18242300001</v>
      </c>
      <c r="L451" s="138">
        <f t="shared" ca="1" si="2615"/>
        <v>107326.29650449082</v>
      </c>
      <c r="M451" s="138">
        <f t="shared" ca="1" si="2615"/>
        <v>146217.63948187858</v>
      </c>
      <c r="N451" s="138">
        <f t="shared" ca="1" si="2615"/>
        <v>125385.68338954952</v>
      </c>
      <c r="O451" s="138">
        <f t="shared" ca="1" si="2615"/>
        <v>140989.67361936002</v>
      </c>
      <c r="P451" s="138">
        <f t="shared" ca="1" si="2615"/>
        <v>138783.20615058832</v>
      </c>
      <c r="Q451" s="138">
        <f t="shared" ca="1" si="2615"/>
        <v>175888.83565485405</v>
      </c>
      <c r="R451" s="138">
        <f t="shared" ca="1" si="2615"/>
        <v>149125.0024374543</v>
      </c>
      <c r="S451" s="138">
        <f t="shared" ca="1" si="2615"/>
        <v>160841.36778312243</v>
      </c>
      <c r="T451" s="138">
        <f t="shared" ca="1" si="2615"/>
        <v>153533.58698698145</v>
      </c>
      <c r="U451" s="138">
        <f t="shared" ca="1" si="2615"/>
        <v>190419.6133425094</v>
      </c>
      <c r="V451" s="138">
        <f t="shared" ca="1" si="2615"/>
        <v>162108.31458553427</v>
      </c>
      <c r="W451" s="138">
        <f t="shared" ca="1" si="2615"/>
        <v>174586.88273642302</v>
      </c>
      <c r="X451" s="138">
        <f t="shared" ca="1" si="2615"/>
        <v>166900.72497514295</v>
      </c>
      <c r="Y451" s="138">
        <f t="shared" ca="1" si="2615"/>
        <v>204055.87603117878</v>
      </c>
      <c r="Z451" s="138">
        <f t="shared" ca="1" si="2615"/>
        <v>174078.34448297307</v>
      </c>
      <c r="AA451" s="138">
        <f t="shared" ca="1" si="2615"/>
        <v>187338.54795201114</v>
      </c>
      <c r="AB451" s="138">
        <f t="shared" ca="1" si="2615"/>
        <v>179224.62503520161</v>
      </c>
      <c r="AC451" s="138">
        <f t="shared" ca="1" si="2615"/>
        <v>217997.97424420482</v>
      </c>
      <c r="AD451" s="138">
        <f t="shared" ca="1" si="2615"/>
        <v>186246.71793547145</v>
      </c>
      <c r="AE451" s="138">
        <f t="shared" ca="1" si="2615"/>
        <v>200327.82652192225</v>
      </c>
      <c r="AF451" s="138">
        <f t="shared" ca="1" si="2615"/>
        <v>191752.73228363442</v>
      </c>
      <c r="AG451" s="138">
        <f t="shared" ca="1" si="2615"/>
        <v>231365.41187012722</v>
      </c>
      <c r="AH451" s="138">
        <f t="shared" ca="1" si="2615"/>
        <v>197713.29978191346</v>
      </c>
      <c r="AI451" s="138">
        <f t="shared" ca="1" si="2615"/>
        <v>212643.5564003422</v>
      </c>
      <c r="AJ451" s="138">
        <f t="shared" ca="1" si="2615"/>
        <v>203558.30085086671</v>
      </c>
      <c r="AK451" s="138">
        <f t="shared" ca="1" si="2615"/>
        <v>245449.02095073543</v>
      </c>
      <c r="AL451" s="138">
        <f t="shared" ca="1" si="2615"/>
        <v>209780.74162262544</v>
      </c>
      <c r="AM451" s="138">
        <f t="shared" ca="1" si="2615"/>
        <v>225609.81655058987</v>
      </c>
      <c r="AN451" s="138">
        <f t="shared" ca="1" si="2615"/>
        <v>215982.49264485086</v>
      </c>
      <c r="AO451" s="138">
        <f t="shared" ca="1" si="2615"/>
        <v>260515.01610743281</v>
      </c>
      <c r="AP451" s="138">
        <f t="shared" ca="1" si="2615"/>
        <v>222711.61524440255</v>
      </c>
      <c r="AQ451" s="138">
        <f t="shared" ca="1" si="2615"/>
        <v>239495.48289849408</v>
      </c>
      <c r="AR451" s="138">
        <f t="shared" ca="1" si="2615"/>
        <v>229295.6418658171</v>
      </c>
      <c r="AS451" s="138">
        <f t="shared" ca="1" si="2615"/>
        <v>280239.97711255017</v>
      </c>
      <c r="AT451" s="138">
        <f t="shared" ca="1" si="2615"/>
        <v>240228.44780495091</v>
      </c>
      <c r="AU451" s="138">
        <f t="shared" ca="1" si="2615"/>
        <v>258080.30466571939</v>
      </c>
      <c r="AV451" s="138">
        <f t="shared" ca="1" si="2615"/>
        <v>247330.32479431751</v>
      </c>
      <c r="AW451" s="148"/>
      <c r="AX451" s="169">
        <f t="shared" ca="1" si="2613"/>
        <v>7717610.8031551838</v>
      </c>
    </row>
    <row r="452" spans="1:50" hidden="1" outlineLevel="1" x14ac:dyDescent="0.2">
      <c r="A452" s="99" t="str">
        <f ca="1">Language!A$668</f>
        <v>Оплата, c НДС, без пошлин</v>
      </c>
      <c r="C452" s="124" t="str">
        <f t="shared" ca="1" si="2611"/>
        <v>тыс. руб.</v>
      </c>
      <c r="F452" s="57" t="s">
        <v>1100</v>
      </c>
      <c r="G452" s="138">
        <f t="shared" ref="G452:AV452" ca="1" si="2616">SUM(G$350,G$376,G$397,G$418,G$440)</f>
        <v>82340.737774999987</v>
      </c>
      <c r="H452" s="138">
        <f t="shared" ca="1" si="2616"/>
        <v>81094.497060642272</v>
      </c>
      <c r="I452" s="138">
        <f t="shared" ca="1" si="2616"/>
        <v>129142.88765675647</v>
      </c>
      <c r="J452" s="138">
        <f t="shared" ca="1" si="2616"/>
        <v>107554.75868169749</v>
      </c>
      <c r="K452" s="138">
        <f t="shared" ca="1" si="2616"/>
        <v>124455.30066529999</v>
      </c>
      <c r="L452" s="138">
        <f t="shared" ca="1" si="2616"/>
        <v>121522.21092668276</v>
      </c>
      <c r="M452" s="138">
        <f t="shared" ca="1" si="2616"/>
        <v>166907.23600995855</v>
      </c>
      <c r="N452" s="138">
        <f t="shared" ca="1" si="2616"/>
        <v>142242.92025095265</v>
      </c>
      <c r="O452" s="138">
        <f t="shared" ca="1" si="2616"/>
        <v>160571.80898129602</v>
      </c>
      <c r="P452" s="138">
        <f t="shared" ca="1" si="2616"/>
        <v>157883.12766932955</v>
      </c>
      <c r="Q452" s="138">
        <f t="shared" ca="1" si="2616"/>
        <v>201089.57509771921</v>
      </c>
      <c r="R452" s="138">
        <f t="shared" ca="1" si="2616"/>
        <v>169413.46984601545</v>
      </c>
      <c r="S452" s="138">
        <f t="shared" ca="1" si="2616"/>
        <v>183142.60808143468</v>
      </c>
      <c r="T452" s="138">
        <f t="shared" ca="1" si="2616"/>
        <v>174421.84264358293</v>
      </c>
      <c r="U452" s="138">
        <f t="shared" ca="1" si="2616"/>
        <v>217530.1419067829</v>
      </c>
      <c r="V452" s="138">
        <f t="shared" ca="1" si="2616"/>
        <v>184017.67123879239</v>
      </c>
      <c r="W452" s="138">
        <f t="shared" ca="1" si="2616"/>
        <v>198635.70074126535</v>
      </c>
      <c r="X452" s="138">
        <f t="shared" ca="1" si="2616"/>
        <v>189457.78824803475</v>
      </c>
      <c r="Y452" s="138">
        <f t="shared" ca="1" si="2616"/>
        <v>233014.14489812055</v>
      </c>
      <c r="Z452" s="138">
        <f t="shared" ca="1" si="2616"/>
        <v>197526.61563765735</v>
      </c>
      <c r="AA452" s="138">
        <f t="shared" ca="1" si="2616"/>
        <v>213057.94026228425</v>
      </c>
      <c r="AB452" s="138">
        <f t="shared" ca="1" si="2616"/>
        <v>203366.09776062195</v>
      </c>
      <c r="AC452" s="138">
        <f t="shared" ca="1" si="2616"/>
        <v>248863.61380827858</v>
      </c>
      <c r="AD452" s="138">
        <f t="shared" ca="1" si="2616"/>
        <v>211274.25263778877</v>
      </c>
      <c r="AE452" s="138">
        <f t="shared" ca="1" si="2616"/>
        <v>227765.27894009082</v>
      </c>
      <c r="AF452" s="138">
        <f t="shared" ca="1" si="2616"/>
        <v>217520.15634721206</v>
      </c>
      <c r="AG452" s="138">
        <f t="shared" ca="1" si="2616"/>
        <v>264111.74572517246</v>
      </c>
      <c r="AH452" s="138">
        <f t="shared" ca="1" si="2616"/>
        <v>224271.66444340121</v>
      </c>
      <c r="AI452" s="138">
        <f t="shared" ca="1" si="2616"/>
        <v>241756.86199231131</v>
      </c>
      <c r="AJ452" s="138">
        <f t="shared" ca="1" si="2616"/>
        <v>230901.81082128044</v>
      </c>
      <c r="AK452" s="138">
        <f t="shared" ca="1" si="2616"/>
        <v>280180.30327392346</v>
      </c>
      <c r="AL452" s="138">
        <f t="shared" ca="1" si="2616"/>
        <v>237953.07254918216</v>
      </c>
      <c r="AM452" s="138">
        <f t="shared" ca="1" si="2616"/>
        <v>256490.68515469984</v>
      </c>
      <c r="AN452" s="138">
        <f t="shared" ca="1" si="2616"/>
        <v>244987.68258778262</v>
      </c>
      <c r="AO452" s="138">
        <f t="shared" ca="1" si="2616"/>
        <v>297364.0807599774</v>
      </c>
      <c r="AP452" s="138">
        <f t="shared" ca="1" si="2616"/>
        <v>252608.68893899463</v>
      </c>
      <c r="AQ452" s="138">
        <f t="shared" ca="1" si="2616"/>
        <v>272264.11135433754</v>
      </c>
      <c r="AR452" s="138">
        <f t="shared" ca="1" si="2616"/>
        <v>260076.56317155226</v>
      </c>
      <c r="AS452" s="138">
        <f t="shared" ca="1" si="2616"/>
        <v>319709.3916481146</v>
      </c>
      <c r="AT452" s="138">
        <f t="shared" ca="1" si="2616"/>
        <v>272334.75948580692</v>
      </c>
      <c r="AU452" s="138">
        <f t="shared" ca="1" si="2616"/>
        <v>293236.56010824506</v>
      </c>
      <c r="AV452" s="138">
        <f t="shared" ca="1" si="2616"/>
        <v>280385.79582005192</v>
      </c>
      <c r="AW452" s="148"/>
      <c r="AX452" s="169">
        <f t="shared" ca="1" si="2613"/>
        <v>8772446.1616081335</v>
      </c>
    </row>
    <row r="453" spans="1:50" hidden="1" outlineLevel="1" x14ac:dyDescent="0.2">
      <c r="A453" s="99" t="str">
        <f ca="1">Language!A$669</f>
        <v>НДС начисленный</v>
      </c>
      <c r="C453" s="124" t="str">
        <f t="shared" ca="1" si="2611"/>
        <v>тыс. руб.</v>
      </c>
      <c r="F453" s="57" t="s">
        <v>1122</v>
      </c>
      <c r="G453" s="138">
        <f t="shared" ref="G453:AV453" ca="1" si="2617">SUM(G$356,G$382,G$403,G$424,G$446)</f>
        <v>8954.6125250000005</v>
      </c>
      <c r="H453" s="138">
        <f t="shared" ca="1" si="2617"/>
        <v>8711.5964824555631</v>
      </c>
      <c r="I453" s="138">
        <f t="shared" ca="1" si="2617"/>
        <v>15544.029868157058</v>
      </c>
      <c r="J453" s="138">
        <f t="shared" ca="1" si="2617"/>
        <v>12189.944866524185</v>
      </c>
      <c r="K453" s="138">
        <f t="shared" ca="1" si="2617"/>
        <v>14706.118242299999</v>
      </c>
      <c r="L453" s="138">
        <f t="shared" ca="1" si="2617"/>
        <v>14195.914422191949</v>
      </c>
      <c r="M453" s="138">
        <f t="shared" ca="1" si="2617"/>
        <v>20689.596528079957</v>
      </c>
      <c r="N453" s="138">
        <f t="shared" ca="1" si="2617"/>
        <v>16857.236861403118</v>
      </c>
      <c r="O453" s="138">
        <f t="shared" ca="1" si="2617"/>
        <v>19582.135361936002</v>
      </c>
      <c r="P453" s="138">
        <f t="shared" ca="1" si="2617"/>
        <v>19099.921518741216</v>
      </c>
      <c r="Q453" s="138">
        <f t="shared" ca="1" si="2617"/>
        <v>25200.739442865157</v>
      </c>
      <c r="R453" s="138">
        <f t="shared" ca="1" si="2617"/>
        <v>20288.467408561159</v>
      </c>
      <c r="S453" s="138">
        <f t="shared" ca="1" si="2617"/>
        <v>22301.240298312248</v>
      </c>
      <c r="T453" s="138">
        <f t="shared" ca="1" si="2617"/>
        <v>20888.255656601468</v>
      </c>
      <c r="U453" s="138">
        <f t="shared" ca="1" si="2617"/>
        <v>27110.528564273482</v>
      </c>
      <c r="V453" s="138">
        <f t="shared" ca="1" si="2617"/>
        <v>21909.356653258103</v>
      </c>
      <c r="W453" s="138">
        <f t="shared" ca="1" si="2617"/>
        <v>24048.818004842302</v>
      </c>
      <c r="X453" s="138">
        <f t="shared" ca="1" si="2617"/>
        <v>22557.063272891821</v>
      </c>
      <c r="Y453" s="138">
        <f t="shared" ca="1" si="2617"/>
        <v>28958.268866941766</v>
      </c>
      <c r="Z453" s="138">
        <f t="shared" ca="1" si="2617"/>
        <v>23448.271154684266</v>
      </c>
      <c r="AA453" s="138">
        <f t="shared" ca="1" si="2617"/>
        <v>25719.392310273113</v>
      </c>
      <c r="AB453" s="138">
        <f t="shared" ca="1" si="2617"/>
        <v>24141.472725420339</v>
      </c>
      <c r="AC453" s="138">
        <f t="shared" ca="1" si="2617"/>
        <v>30865.639564073797</v>
      </c>
      <c r="AD453" s="138">
        <f t="shared" ca="1" si="2617"/>
        <v>25027.534702317316</v>
      </c>
      <c r="AE453" s="138">
        <f t="shared" ca="1" si="2617"/>
        <v>27437.452418168548</v>
      </c>
      <c r="AF453" s="138">
        <f t="shared" ca="1" si="2617"/>
        <v>25767.42406357763</v>
      </c>
      <c r="AG453" s="138">
        <f t="shared" ca="1" si="2617"/>
        <v>32746.333855045246</v>
      </c>
      <c r="AH453" s="138">
        <f t="shared" ca="1" si="2617"/>
        <v>26558.364661487733</v>
      </c>
      <c r="AI453" s="138">
        <f t="shared" ca="1" si="2617"/>
        <v>29113.305591969121</v>
      </c>
      <c r="AJ453" s="138">
        <f t="shared" ca="1" si="2617"/>
        <v>27343.509970413714</v>
      </c>
      <c r="AK453" s="138">
        <f t="shared" ca="1" si="2617"/>
        <v>34731.282323188017</v>
      </c>
      <c r="AL453" s="138">
        <f t="shared" ca="1" si="2617"/>
        <v>28172.330926556715</v>
      </c>
      <c r="AM453" s="138">
        <f t="shared" ca="1" si="2617"/>
        <v>30880.868604109983</v>
      </c>
      <c r="AN453" s="138">
        <f t="shared" ca="1" si="2617"/>
        <v>29005.189942931749</v>
      </c>
      <c r="AO453" s="138">
        <f t="shared" ca="1" si="2617"/>
        <v>36849.064652544628</v>
      </c>
      <c r="AP453" s="138">
        <f t="shared" ca="1" si="2617"/>
        <v>29897.073694592073</v>
      </c>
      <c r="AQ453" s="138">
        <f t="shared" ca="1" si="2617"/>
        <v>32768.628455843471</v>
      </c>
      <c r="AR453" s="138">
        <f t="shared" ca="1" si="2617"/>
        <v>30780.921305735177</v>
      </c>
      <c r="AS453" s="138">
        <f t="shared" ca="1" si="2617"/>
        <v>39469.414535564443</v>
      </c>
      <c r="AT453" s="138">
        <f t="shared" ca="1" si="2617"/>
        <v>32106.311680856019</v>
      </c>
      <c r="AU453" s="138">
        <f t="shared" ca="1" si="2617"/>
        <v>35156.255442525639</v>
      </c>
      <c r="AV453" s="138">
        <f t="shared" ca="1" si="2617"/>
        <v>33055.47102573442</v>
      </c>
      <c r="AW453" s="148"/>
      <c r="AX453" s="169">
        <f t="shared" ca="1" si="2613"/>
        <v>1054835.3584529499</v>
      </c>
    </row>
    <row r="454" spans="1:50" hidden="1" outlineLevel="1" x14ac:dyDescent="0.2">
      <c r="A454" s="99" t="str">
        <f ca="1">Language!A$670</f>
        <v>Начисленные импортные пошлины</v>
      </c>
      <c r="C454" s="124" t="str">
        <f t="shared" ca="1" si="2611"/>
        <v>тыс. руб.</v>
      </c>
      <c r="F454" s="57" t="s">
        <v>1104</v>
      </c>
      <c r="G454" s="138">
        <f t="shared" ref="G454:AV454" ca="1" si="2618">SUM(G$355,G$381,G$402,G$423,G$445)</f>
        <v>0</v>
      </c>
      <c r="H454" s="138">
        <f t="shared" ca="1" si="2618"/>
        <v>0</v>
      </c>
      <c r="I454" s="138">
        <f t="shared" ca="1" si="2618"/>
        <v>0</v>
      </c>
      <c r="J454" s="138">
        <f t="shared" ca="1" si="2618"/>
        <v>0</v>
      </c>
      <c r="K454" s="138">
        <f t="shared" ca="1" si="2618"/>
        <v>0</v>
      </c>
      <c r="L454" s="138">
        <f t="shared" ca="1" si="2618"/>
        <v>0</v>
      </c>
      <c r="M454" s="138">
        <f t="shared" ca="1" si="2618"/>
        <v>0</v>
      </c>
      <c r="N454" s="138">
        <f t="shared" ca="1" si="2618"/>
        <v>0</v>
      </c>
      <c r="O454" s="138">
        <f t="shared" ca="1" si="2618"/>
        <v>0</v>
      </c>
      <c r="P454" s="138">
        <f t="shared" ca="1" si="2618"/>
        <v>0</v>
      </c>
      <c r="Q454" s="138">
        <f t="shared" ca="1" si="2618"/>
        <v>0</v>
      </c>
      <c r="R454" s="138">
        <f t="shared" ca="1" si="2618"/>
        <v>0</v>
      </c>
      <c r="S454" s="138">
        <f t="shared" ca="1" si="2618"/>
        <v>0</v>
      </c>
      <c r="T454" s="138">
        <f t="shared" ca="1" si="2618"/>
        <v>0</v>
      </c>
      <c r="U454" s="138">
        <f t="shared" ca="1" si="2618"/>
        <v>0</v>
      </c>
      <c r="V454" s="138">
        <f t="shared" ca="1" si="2618"/>
        <v>0</v>
      </c>
      <c r="W454" s="138">
        <f t="shared" ca="1" si="2618"/>
        <v>0</v>
      </c>
      <c r="X454" s="138">
        <f t="shared" ca="1" si="2618"/>
        <v>0</v>
      </c>
      <c r="Y454" s="138">
        <f t="shared" ca="1" si="2618"/>
        <v>0</v>
      </c>
      <c r="Z454" s="138">
        <f t="shared" ca="1" si="2618"/>
        <v>0</v>
      </c>
      <c r="AA454" s="138">
        <f t="shared" ca="1" si="2618"/>
        <v>0</v>
      </c>
      <c r="AB454" s="138">
        <f t="shared" ca="1" si="2618"/>
        <v>0</v>
      </c>
      <c r="AC454" s="138">
        <f t="shared" ca="1" si="2618"/>
        <v>0</v>
      </c>
      <c r="AD454" s="138">
        <f t="shared" ca="1" si="2618"/>
        <v>0</v>
      </c>
      <c r="AE454" s="138">
        <f t="shared" ca="1" si="2618"/>
        <v>0</v>
      </c>
      <c r="AF454" s="138">
        <f t="shared" ca="1" si="2618"/>
        <v>0</v>
      </c>
      <c r="AG454" s="138">
        <f t="shared" ca="1" si="2618"/>
        <v>0</v>
      </c>
      <c r="AH454" s="138">
        <f t="shared" ca="1" si="2618"/>
        <v>0</v>
      </c>
      <c r="AI454" s="138">
        <f t="shared" ca="1" si="2618"/>
        <v>0</v>
      </c>
      <c r="AJ454" s="138">
        <f t="shared" ca="1" si="2618"/>
        <v>0</v>
      </c>
      <c r="AK454" s="138">
        <f t="shared" ca="1" si="2618"/>
        <v>0</v>
      </c>
      <c r="AL454" s="138">
        <f t="shared" ca="1" si="2618"/>
        <v>0</v>
      </c>
      <c r="AM454" s="138">
        <f t="shared" ca="1" si="2618"/>
        <v>0</v>
      </c>
      <c r="AN454" s="138">
        <f t="shared" ca="1" si="2618"/>
        <v>0</v>
      </c>
      <c r="AO454" s="138">
        <f t="shared" ca="1" si="2618"/>
        <v>0</v>
      </c>
      <c r="AP454" s="138">
        <f t="shared" ca="1" si="2618"/>
        <v>0</v>
      </c>
      <c r="AQ454" s="138">
        <f t="shared" ca="1" si="2618"/>
        <v>0</v>
      </c>
      <c r="AR454" s="138">
        <f t="shared" ca="1" si="2618"/>
        <v>0</v>
      </c>
      <c r="AS454" s="138">
        <f t="shared" ca="1" si="2618"/>
        <v>0</v>
      </c>
      <c r="AT454" s="138">
        <f t="shared" ca="1" si="2618"/>
        <v>0</v>
      </c>
      <c r="AU454" s="138">
        <f t="shared" ca="1" si="2618"/>
        <v>0</v>
      </c>
      <c r="AV454" s="138">
        <f t="shared" ca="1" si="2618"/>
        <v>0</v>
      </c>
      <c r="AW454" s="148"/>
      <c r="AX454" s="169">
        <f t="shared" ca="1" si="2613"/>
        <v>0</v>
      </c>
    </row>
    <row r="455" spans="1:50" hidden="1" outlineLevel="1" x14ac:dyDescent="0.2">
      <c r="A455" s="99" t="str">
        <f ca="1">Language!A$671</f>
        <v>Запасы материалов и комплектующих</v>
      </c>
      <c r="C455" s="124" t="str">
        <f t="shared" ca="1" si="2611"/>
        <v>тыс. руб.</v>
      </c>
      <c r="F455" s="57" t="s">
        <v>1105</v>
      </c>
      <c r="G455" s="138">
        <f t="shared" ref="G455:AV455" ca="1" si="2619">SUM(G$339,G$365,G$386,G$407,G$429)</f>
        <v>0</v>
      </c>
      <c r="H455" s="138">
        <f t="shared" ca="1" si="2619"/>
        <v>0</v>
      </c>
      <c r="I455" s="138">
        <f t="shared" ca="1" si="2619"/>
        <v>0</v>
      </c>
      <c r="J455" s="138">
        <f t="shared" ca="1" si="2619"/>
        <v>0</v>
      </c>
      <c r="K455" s="138">
        <f t="shared" ca="1" si="2619"/>
        <v>0</v>
      </c>
      <c r="L455" s="138">
        <f t="shared" ca="1" si="2619"/>
        <v>0</v>
      </c>
      <c r="M455" s="138">
        <f t="shared" ca="1" si="2619"/>
        <v>0</v>
      </c>
      <c r="N455" s="138">
        <f t="shared" ca="1" si="2619"/>
        <v>0</v>
      </c>
      <c r="O455" s="138">
        <f t="shared" ca="1" si="2619"/>
        <v>0</v>
      </c>
      <c r="P455" s="138">
        <f t="shared" ca="1" si="2619"/>
        <v>0</v>
      </c>
      <c r="Q455" s="138">
        <f t="shared" ca="1" si="2619"/>
        <v>0</v>
      </c>
      <c r="R455" s="138">
        <f t="shared" ca="1" si="2619"/>
        <v>0</v>
      </c>
      <c r="S455" s="138">
        <f t="shared" ca="1" si="2619"/>
        <v>0</v>
      </c>
      <c r="T455" s="138">
        <f t="shared" ca="1" si="2619"/>
        <v>0</v>
      </c>
      <c r="U455" s="138">
        <f t="shared" ca="1" si="2619"/>
        <v>0</v>
      </c>
      <c r="V455" s="138">
        <f t="shared" ca="1" si="2619"/>
        <v>0</v>
      </c>
      <c r="W455" s="138">
        <f t="shared" ca="1" si="2619"/>
        <v>0</v>
      </c>
      <c r="X455" s="138">
        <f t="shared" ca="1" si="2619"/>
        <v>0</v>
      </c>
      <c r="Y455" s="138">
        <f t="shared" ca="1" si="2619"/>
        <v>0</v>
      </c>
      <c r="Z455" s="138">
        <f t="shared" ca="1" si="2619"/>
        <v>0</v>
      </c>
      <c r="AA455" s="138">
        <f t="shared" ca="1" si="2619"/>
        <v>0</v>
      </c>
      <c r="AB455" s="138">
        <f t="shared" ca="1" si="2619"/>
        <v>0</v>
      </c>
      <c r="AC455" s="138">
        <f t="shared" ca="1" si="2619"/>
        <v>0</v>
      </c>
      <c r="AD455" s="138">
        <f t="shared" ca="1" si="2619"/>
        <v>0</v>
      </c>
      <c r="AE455" s="138">
        <f t="shared" ca="1" si="2619"/>
        <v>0</v>
      </c>
      <c r="AF455" s="138">
        <f t="shared" ca="1" si="2619"/>
        <v>0</v>
      </c>
      <c r="AG455" s="138">
        <f t="shared" ca="1" si="2619"/>
        <v>0</v>
      </c>
      <c r="AH455" s="138">
        <f t="shared" ca="1" si="2619"/>
        <v>0</v>
      </c>
      <c r="AI455" s="138">
        <f t="shared" ca="1" si="2619"/>
        <v>0</v>
      </c>
      <c r="AJ455" s="138">
        <f t="shared" ca="1" si="2619"/>
        <v>0</v>
      </c>
      <c r="AK455" s="138">
        <f t="shared" ca="1" si="2619"/>
        <v>0</v>
      </c>
      <c r="AL455" s="138">
        <f t="shared" ca="1" si="2619"/>
        <v>0</v>
      </c>
      <c r="AM455" s="138">
        <f t="shared" ca="1" si="2619"/>
        <v>0</v>
      </c>
      <c r="AN455" s="138">
        <f t="shared" ca="1" si="2619"/>
        <v>0</v>
      </c>
      <c r="AO455" s="138">
        <f t="shared" ca="1" si="2619"/>
        <v>0</v>
      </c>
      <c r="AP455" s="138">
        <f t="shared" ca="1" si="2619"/>
        <v>0</v>
      </c>
      <c r="AQ455" s="138">
        <f t="shared" ca="1" si="2619"/>
        <v>0</v>
      </c>
      <c r="AR455" s="138">
        <f t="shared" ca="1" si="2619"/>
        <v>0</v>
      </c>
      <c r="AS455" s="138">
        <f t="shared" ca="1" si="2619"/>
        <v>0</v>
      </c>
      <c r="AT455" s="138">
        <f t="shared" ca="1" si="2619"/>
        <v>0</v>
      </c>
      <c r="AU455" s="138">
        <f t="shared" ca="1" si="2619"/>
        <v>0</v>
      </c>
      <c r="AV455" s="138">
        <f t="shared" ca="1" si="2619"/>
        <v>0</v>
      </c>
      <c r="AW455" s="148"/>
      <c r="AX455" s="171"/>
    </row>
    <row r="456" spans="1:50" hidden="1" outlineLevel="1" x14ac:dyDescent="0.2">
      <c r="A456" s="99" t="str">
        <f ca="1">Language!A$672</f>
        <v>Незавершенное производство</v>
      </c>
      <c r="C456" s="124" t="str">
        <f t="shared" ca="1" si="2611"/>
        <v>тыс. руб.</v>
      </c>
      <c r="F456" s="57" t="s">
        <v>1107</v>
      </c>
      <c r="G456" s="138">
        <f t="shared" ref="G456:AV456" ca="1" si="2620">SUM(G$343,G$369,G$390,G$411,G$433)</f>
        <v>0</v>
      </c>
      <c r="H456" s="138">
        <f t="shared" ca="1" si="2620"/>
        <v>0</v>
      </c>
      <c r="I456" s="138">
        <f t="shared" ca="1" si="2620"/>
        <v>0</v>
      </c>
      <c r="J456" s="138">
        <f t="shared" ca="1" si="2620"/>
        <v>0</v>
      </c>
      <c r="K456" s="138">
        <f t="shared" ca="1" si="2620"/>
        <v>0</v>
      </c>
      <c r="L456" s="138">
        <f t="shared" ca="1" si="2620"/>
        <v>0</v>
      </c>
      <c r="M456" s="138">
        <f t="shared" ca="1" si="2620"/>
        <v>0</v>
      </c>
      <c r="N456" s="138">
        <f t="shared" ca="1" si="2620"/>
        <v>0</v>
      </c>
      <c r="O456" s="138">
        <f t="shared" ca="1" si="2620"/>
        <v>0</v>
      </c>
      <c r="P456" s="138">
        <f t="shared" ca="1" si="2620"/>
        <v>0</v>
      </c>
      <c r="Q456" s="138">
        <f t="shared" ca="1" si="2620"/>
        <v>0</v>
      </c>
      <c r="R456" s="138">
        <f t="shared" ca="1" si="2620"/>
        <v>0</v>
      </c>
      <c r="S456" s="138">
        <f t="shared" ca="1" si="2620"/>
        <v>0</v>
      </c>
      <c r="T456" s="138">
        <f t="shared" ca="1" si="2620"/>
        <v>0</v>
      </c>
      <c r="U456" s="138">
        <f t="shared" ca="1" si="2620"/>
        <v>0</v>
      </c>
      <c r="V456" s="138">
        <f t="shared" ca="1" si="2620"/>
        <v>0</v>
      </c>
      <c r="W456" s="138">
        <f t="shared" ca="1" si="2620"/>
        <v>0</v>
      </c>
      <c r="X456" s="138">
        <f t="shared" ca="1" si="2620"/>
        <v>0</v>
      </c>
      <c r="Y456" s="138">
        <f t="shared" ca="1" si="2620"/>
        <v>0</v>
      </c>
      <c r="Z456" s="138">
        <f t="shared" ca="1" si="2620"/>
        <v>0</v>
      </c>
      <c r="AA456" s="138">
        <f t="shared" ca="1" si="2620"/>
        <v>0</v>
      </c>
      <c r="AB456" s="138">
        <f t="shared" ca="1" si="2620"/>
        <v>0</v>
      </c>
      <c r="AC456" s="138">
        <f t="shared" ca="1" si="2620"/>
        <v>0</v>
      </c>
      <c r="AD456" s="138">
        <f t="shared" ca="1" si="2620"/>
        <v>0</v>
      </c>
      <c r="AE456" s="138">
        <f t="shared" ca="1" si="2620"/>
        <v>0</v>
      </c>
      <c r="AF456" s="138">
        <f t="shared" ca="1" si="2620"/>
        <v>0</v>
      </c>
      <c r="AG456" s="138">
        <f t="shared" ca="1" si="2620"/>
        <v>0</v>
      </c>
      <c r="AH456" s="138">
        <f t="shared" ca="1" si="2620"/>
        <v>0</v>
      </c>
      <c r="AI456" s="138">
        <f t="shared" ca="1" si="2620"/>
        <v>0</v>
      </c>
      <c r="AJ456" s="138">
        <f t="shared" ca="1" si="2620"/>
        <v>0</v>
      </c>
      <c r="AK456" s="138">
        <f t="shared" ca="1" si="2620"/>
        <v>0</v>
      </c>
      <c r="AL456" s="138">
        <f t="shared" ca="1" si="2620"/>
        <v>0</v>
      </c>
      <c r="AM456" s="138">
        <f t="shared" ca="1" si="2620"/>
        <v>0</v>
      </c>
      <c r="AN456" s="138">
        <f t="shared" ca="1" si="2620"/>
        <v>0</v>
      </c>
      <c r="AO456" s="138">
        <f t="shared" ca="1" si="2620"/>
        <v>0</v>
      </c>
      <c r="AP456" s="138">
        <f t="shared" ca="1" si="2620"/>
        <v>0</v>
      </c>
      <c r="AQ456" s="138">
        <f t="shared" ca="1" si="2620"/>
        <v>0</v>
      </c>
      <c r="AR456" s="138">
        <f t="shared" ca="1" si="2620"/>
        <v>0</v>
      </c>
      <c r="AS456" s="138">
        <f t="shared" ca="1" si="2620"/>
        <v>0</v>
      </c>
      <c r="AT456" s="138">
        <f t="shared" ca="1" si="2620"/>
        <v>0</v>
      </c>
      <c r="AU456" s="138">
        <f t="shared" ca="1" si="2620"/>
        <v>0</v>
      </c>
      <c r="AV456" s="138">
        <f t="shared" ca="1" si="2620"/>
        <v>0</v>
      </c>
      <c r="AW456" s="148"/>
      <c r="AX456" s="171"/>
    </row>
    <row r="457" spans="1:50" hidden="1" outlineLevel="1" x14ac:dyDescent="0.2">
      <c r="A457" s="99" t="str">
        <f ca="1">Language!A$673</f>
        <v>Запасы готовой продукции</v>
      </c>
      <c r="C457" s="124" t="str">
        <f t="shared" ca="1" si="2611"/>
        <v>тыс. руб.</v>
      </c>
      <c r="F457" s="57" t="s">
        <v>1106</v>
      </c>
      <c r="G457" s="138">
        <f t="shared" ref="G457:AV457" ca="1" si="2621">SUM(G$341,G$367,G$388,G$409,G$431)</f>
        <v>0</v>
      </c>
      <c r="H457" s="138">
        <f t="shared" ca="1" si="2621"/>
        <v>0</v>
      </c>
      <c r="I457" s="138">
        <f t="shared" ca="1" si="2621"/>
        <v>0</v>
      </c>
      <c r="J457" s="138">
        <f t="shared" ca="1" si="2621"/>
        <v>0</v>
      </c>
      <c r="K457" s="138">
        <f t="shared" ca="1" si="2621"/>
        <v>0</v>
      </c>
      <c r="L457" s="138">
        <f t="shared" ca="1" si="2621"/>
        <v>0</v>
      </c>
      <c r="M457" s="138">
        <f t="shared" ca="1" si="2621"/>
        <v>0</v>
      </c>
      <c r="N457" s="138">
        <f t="shared" ca="1" si="2621"/>
        <v>0</v>
      </c>
      <c r="O457" s="138">
        <f t="shared" ca="1" si="2621"/>
        <v>0</v>
      </c>
      <c r="P457" s="138">
        <f t="shared" ca="1" si="2621"/>
        <v>0</v>
      </c>
      <c r="Q457" s="138">
        <f t="shared" ca="1" si="2621"/>
        <v>0</v>
      </c>
      <c r="R457" s="138">
        <f t="shared" ca="1" si="2621"/>
        <v>0</v>
      </c>
      <c r="S457" s="138">
        <f t="shared" ca="1" si="2621"/>
        <v>0</v>
      </c>
      <c r="T457" s="138">
        <f t="shared" ca="1" si="2621"/>
        <v>0</v>
      </c>
      <c r="U457" s="138">
        <f t="shared" ca="1" si="2621"/>
        <v>0</v>
      </c>
      <c r="V457" s="138">
        <f t="shared" ca="1" si="2621"/>
        <v>0</v>
      </c>
      <c r="W457" s="138">
        <f t="shared" ca="1" si="2621"/>
        <v>0</v>
      </c>
      <c r="X457" s="138">
        <f t="shared" ca="1" si="2621"/>
        <v>0</v>
      </c>
      <c r="Y457" s="138">
        <f t="shared" ca="1" si="2621"/>
        <v>0</v>
      </c>
      <c r="Z457" s="138">
        <f t="shared" ca="1" si="2621"/>
        <v>0</v>
      </c>
      <c r="AA457" s="138">
        <f t="shared" ca="1" si="2621"/>
        <v>0</v>
      </c>
      <c r="AB457" s="138">
        <f t="shared" ca="1" si="2621"/>
        <v>0</v>
      </c>
      <c r="AC457" s="138">
        <f t="shared" ca="1" si="2621"/>
        <v>0</v>
      </c>
      <c r="AD457" s="138">
        <f t="shared" ca="1" si="2621"/>
        <v>0</v>
      </c>
      <c r="AE457" s="138">
        <f t="shared" ca="1" si="2621"/>
        <v>0</v>
      </c>
      <c r="AF457" s="138">
        <f t="shared" ca="1" si="2621"/>
        <v>0</v>
      </c>
      <c r="AG457" s="138">
        <f t="shared" ca="1" si="2621"/>
        <v>0</v>
      </c>
      <c r="AH457" s="138">
        <f t="shared" ca="1" si="2621"/>
        <v>0</v>
      </c>
      <c r="AI457" s="138">
        <f t="shared" ca="1" si="2621"/>
        <v>0</v>
      </c>
      <c r="AJ457" s="138">
        <f t="shared" ca="1" si="2621"/>
        <v>0</v>
      </c>
      <c r="AK457" s="138">
        <f t="shared" ca="1" si="2621"/>
        <v>0</v>
      </c>
      <c r="AL457" s="138">
        <f t="shared" ca="1" si="2621"/>
        <v>0</v>
      </c>
      <c r="AM457" s="138">
        <f t="shared" ca="1" si="2621"/>
        <v>0</v>
      </c>
      <c r="AN457" s="138">
        <f t="shared" ca="1" si="2621"/>
        <v>0</v>
      </c>
      <c r="AO457" s="138">
        <f t="shared" ca="1" si="2621"/>
        <v>0</v>
      </c>
      <c r="AP457" s="138">
        <f t="shared" ca="1" si="2621"/>
        <v>0</v>
      </c>
      <c r="AQ457" s="138">
        <f t="shared" ca="1" si="2621"/>
        <v>0</v>
      </c>
      <c r="AR457" s="138">
        <f t="shared" ca="1" si="2621"/>
        <v>0</v>
      </c>
      <c r="AS457" s="138">
        <f t="shared" ca="1" si="2621"/>
        <v>0</v>
      </c>
      <c r="AT457" s="138">
        <f t="shared" ca="1" si="2621"/>
        <v>0</v>
      </c>
      <c r="AU457" s="138">
        <f t="shared" ca="1" si="2621"/>
        <v>0</v>
      </c>
      <c r="AV457" s="138">
        <f t="shared" ca="1" si="2621"/>
        <v>0</v>
      </c>
      <c r="AW457" s="148"/>
      <c r="AX457" s="171"/>
    </row>
    <row r="458" spans="1:50" hidden="1" outlineLevel="1" x14ac:dyDescent="0.2">
      <c r="A458" s="99" t="str">
        <f ca="1">Language!A$674</f>
        <v>Кредиторская задолженность</v>
      </c>
      <c r="C458" s="124" t="str">
        <f t="shared" ca="1" si="2611"/>
        <v>тыс. руб.</v>
      </c>
      <c r="F458" s="57" t="s">
        <v>1108</v>
      </c>
      <c r="G458" s="138">
        <f t="shared" ref="G458:AV458" ca="1" si="2622">SUM(G$346,G$372,G$393,G$414,G$436)</f>
        <v>0</v>
      </c>
      <c r="H458" s="138">
        <f t="shared" ca="1" si="2622"/>
        <v>0</v>
      </c>
      <c r="I458" s="138">
        <f t="shared" ca="1" si="2622"/>
        <v>0</v>
      </c>
      <c r="J458" s="138">
        <f t="shared" ca="1" si="2622"/>
        <v>0</v>
      </c>
      <c r="K458" s="138">
        <f t="shared" ca="1" si="2622"/>
        <v>0</v>
      </c>
      <c r="L458" s="138">
        <f t="shared" ca="1" si="2622"/>
        <v>0</v>
      </c>
      <c r="M458" s="138">
        <f t="shared" ca="1" si="2622"/>
        <v>0</v>
      </c>
      <c r="N458" s="138">
        <f t="shared" ca="1" si="2622"/>
        <v>0</v>
      </c>
      <c r="O458" s="138">
        <f t="shared" ca="1" si="2622"/>
        <v>0</v>
      </c>
      <c r="P458" s="138">
        <f t="shared" ca="1" si="2622"/>
        <v>0</v>
      </c>
      <c r="Q458" s="138">
        <f t="shared" ca="1" si="2622"/>
        <v>0</v>
      </c>
      <c r="R458" s="138">
        <f t="shared" ca="1" si="2622"/>
        <v>0</v>
      </c>
      <c r="S458" s="138">
        <f t="shared" ca="1" si="2622"/>
        <v>0</v>
      </c>
      <c r="T458" s="138">
        <f t="shared" ca="1" si="2622"/>
        <v>0</v>
      </c>
      <c r="U458" s="138">
        <f t="shared" ca="1" si="2622"/>
        <v>0</v>
      </c>
      <c r="V458" s="138">
        <f t="shared" ca="1" si="2622"/>
        <v>0</v>
      </c>
      <c r="W458" s="138">
        <f t="shared" ca="1" si="2622"/>
        <v>0</v>
      </c>
      <c r="X458" s="138">
        <f t="shared" ca="1" si="2622"/>
        <v>0</v>
      </c>
      <c r="Y458" s="138">
        <f t="shared" ca="1" si="2622"/>
        <v>0</v>
      </c>
      <c r="Z458" s="138">
        <f t="shared" ca="1" si="2622"/>
        <v>0</v>
      </c>
      <c r="AA458" s="138">
        <f t="shared" ca="1" si="2622"/>
        <v>0</v>
      </c>
      <c r="AB458" s="138">
        <f t="shared" ca="1" si="2622"/>
        <v>0</v>
      </c>
      <c r="AC458" s="138">
        <f t="shared" ca="1" si="2622"/>
        <v>0</v>
      </c>
      <c r="AD458" s="138">
        <f t="shared" ca="1" si="2622"/>
        <v>0</v>
      </c>
      <c r="AE458" s="138">
        <f t="shared" ca="1" si="2622"/>
        <v>0</v>
      </c>
      <c r="AF458" s="138">
        <f t="shared" ca="1" si="2622"/>
        <v>0</v>
      </c>
      <c r="AG458" s="138">
        <f t="shared" ca="1" si="2622"/>
        <v>0</v>
      </c>
      <c r="AH458" s="138">
        <f t="shared" ca="1" si="2622"/>
        <v>0</v>
      </c>
      <c r="AI458" s="138">
        <f t="shared" ca="1" si="2622"/>
        <v>0</v>
      </c>
      <c r="AJ458" s="138">
        <f t="shared" ca="1" si="2622"/>
        <v>0</v>
      </c>
      <c r="AK458" s="138">
        <f t="shared" ca="1" si="2622"/>
        <v>0</v>
      </c>
      <c r="AL458" s="138">
        <f t="shared" ca="1" si="2622"/>
        <v>0</v>
      </c>
      <c r="AM458" s="138">
        <f t="shared" ca="1" si="2622"/>
        <v>0</v>
      </c>
      <c r="AN458" s="138">
        <f t="shared" ca="1" si="2622"/>
        <v>0</v>
      </c>
      <c r="AO458" s="138">
        <f t="shared" ca="1" si="2622"/>
        <v>0</v>
      </c>
      <c r="AP458" s="138">
        <f t="shared" ca="1" si="2622"/>
        <v>0</v>
      </c>
      <c r="AQ458" s="138">
        <f t="shared" ca="1" si="2622"/>
        <v>0</v>
      </c>
      <c r="AR458" s="138">
        <f t="shared" ca="1" si="2622"/>
        <v>0</v>
      </c>
      <c r="AS458" s="138">
        <f t="shared" ca="1" si="2622"/>
        <v>0</v>
      </c>
      <c r="AT458" s="138">
        <f t="shared" ca="1" si="2622"/>
        <v>0</v>
      </c>
      <c r="AU458" s="138">
        <f t="shared" ca="1" si="2622"/>
        <v>0</v>
      </c>
      <c r="AV458" s="138">
        <f t="shared" ca="1" si="2622"/>
        <v>0</v>
      </c>
      <c r="AW458" s="148"/>
      <c r="AX458" s="171"/>
    </row>
    <row r="459" spans="1:50" hidden="1" outlineLevel="1" x14ac:dyDescent="0.2">
      <c r="A459" s="99" t="str">
        <f ca="1">Language!A$675</f>
        <v>Авансы уплаченные</v>
      </c>
      <c r="C459" s="124" t="str">
        <f t="shared" ca="1" si="2611"/>
        <v>тыс. руб.</v>
      </c>
      <c r="F459" s="57" t="s">
        <v>1102</v>
      </c>
      <c r="G459" s="138">
        <f t="shared" ref="G459:AV459" ca="1" si="2623">SUM(G$348,G$374,G$395,G$416,G$438)</f>
        <v>0</v>
      </c>
      <c r="H459" s="138">
        <f t="shared" ca="1" si="2623"/>
        <v>0</v>
      </c>
      <c r="I459" s="138">
        <f t="shared" ca="1" si="2623"/>
        <v>0</v>
      </c>
      <c r="J459" s="138">
        <f t="shared" ca="1" si="2623"/>
        <v>0</v>
      </c>
      <c r="K459" s="138">
        <f t="shared" ca="1" si="2623"/>
        <v>0</v>
      </c>
      <c r="L459" s="138">
        <f t="shared" ca="1" si="2623"/>
        <v>0</v>
      </c>
      <c r="M459" s="138">
        <f t="shared" ca="1" si="2623"/>
        <v>0</v>
      </c>
      <c r="N459" s="138">
        <f t="shared" ca="1" si="2623"/>
        <v>0</v>
      </c>
      <c r="O459" s="138">
        <f t="shared" ca="1" si="2623"/>
        <v>0</v>
      </c>
      <c r="P459" s="138">
        <f t="shared" ca="1" si="2623"/>
        <v>0</v>
      </c>
      <c r="Q459" s="138">
        <f t="shared" ca="1" si="2623"/>
        <v>0</v>
      </c>
      <c r="R459" s="138">
        <f t="shared" ca="1" si="2623"/>
        <v>0</v>
      </c>
      <c r="S459" s="138">
        <f t="shared" ca="1" si="2623"/>
        <v>0</v>
      </c>
      <c r="T459" s="138">
        <f t="shared" ca="1" si="2623"/>
        <v>0</v>
      </c>
      <c r="U459" s="138">
        <f t="shared" ca="1" si="2623"/>
        <v>0</v>
      </c>
      <c r="V459" s="138">
        <f t="shared" ca="1" si="2623"/>
        <v>0</v>
      </c>
      <c r="W459" s="138">
        <f t="shared" ca="1" si="2623"/>
        <v>0</v>
      </c>
      <c r="X459" s="138">
        <f t="shared" ca="1" si="2623"/>
        <v>0</v>
      </c>
      <c r="Y459" s="138">
        <f t="shared" ca="1" si="2623"/>
        <v>0</v>
      </c>
      <c r="Z459" s="138">
        <f t="shared" ca="1" si="2623"/>
        <v>0</v>
      </c>
      <c r="AA459" s="138">
        <f t="shared" ca="1" si="2623"/>
        <v>0</v>
      </c>
      <c r="AB459" s="138">
        <f t="shared" ca="1" si="2623"/>
        <v>0</v>
      </c>
      <c r="AC459" s="138">
        <f t="shared" ca="1" si="2623"/>
        <v>0</v>
      </c>
      <c r="AD459" s="138">
        <f t="shared" ca="1" si="2623"/>
        <v>0</v>
      </c>
      <c r="AE459" s="138">
        <f t="shared" ca="1" si="2623"/>
        <v>0</v>
      </c>
      <c r="AF459" s="138">
        <f t="shared" ca="1" si="2623"/>
        <v>0</v>
      </c>
      <c r="AG459" s="138">
        <f t="shared" ca="1" si="2623"/>
        <v>0</v>
      </c>
      <c r="AH459" s="138">
        <f t="shared" ca="1" si="2623"/>
        <v>0</v>
      </c>
      <c r="AI459" s="138">
        <f t="shared" ca="1" si="2623"/>
        <v>0</v>
      </c>
      <c r="AJ459" s="138">
        <f t="shared" ca="1" si="2623"/>
        <v>0</v>
      </c>
      <c r="AK459" s="138">
        <f t="shared" ca="1" si="2623"/>
        <v>0</v>
      </c>
      <c r="AL459" s="138">
        <f t="shared" ca="1" si="2623"/>
        <v>0</v>
      </c>
      <c r="AM459" s="138">
        <f t="shared" ca="1" si="2623"/>
        <v>0</v>
      </c>
      <c r="AN459" s="138">
        <f t="shared" ca="1" si="2623"/>
        <v>0</v>
      </c>
      <c r="AO459" s="138">
        <f t="shared" ca="1" si="2623"/>
        <v>0</v>
      </c>
      <c r="AP459" s="138">
        <f t="shared" ca="1" si="2623"/>
        <v>0</v>
      </c>
      <c r="AQ459" s="138">
        <f t="shared" ca="1" si="2623"/>
        <v>0</v>
      </c>
      <c r="AR459" s="138">
        <f t="shared" ca="1" si="2623"/>
        <v>0</v>
      </c>
      <c r="AS459" s="138">
        <f t="shared" ca="1" si="2623"/>
        <v>0</v>
      </c>
      <c r="AT459" s="138">
        <f t="shared" ca="1" si="2623"/>
        <v>0</v>
      </c>
      <c r="AU459" s="138">
        <f t="shared" ca="1" si="2623"/>
        <v>0</v>
      </c>
      <c r="AV459" s="138">
        <f t="shared" ca="1" si="2623"/>
        <v>0</v>
      </c>
      <c r="AW459" s="148"/>
      <c r="AX459" s="171"/>
    </row>
    <row r="460" spans="1:50" s="197" customFormat="1" hidden="1" outlineLevel="1" x14ac:dyDescent="0.2">
      <c r="A460" s="172" t="str">
        <f ca="1">Language!A$676</f>
        <v>Курсовые разницы</v>
      </c>
      <c r="B460" s="94"/>
      <c r="C460" s="195" t="str">
        <f t="shared" ref="C460" ca="1" si="2624">CurName1</f>
        <v>тыс. руб.</v>
      </c>
      <c r="D460" s="114"/>
      <c r="E460" s="114"/>
      <c r="F460" s="57" t="s">
        <v>753</v>
      </c>
      <c r="G460" s="148">
        <f>IF(G$2=1,0,SUM($F449:G449)+SUM($F453:G453)-SUM($F450:G450)-G458+G459+G455+G456+G457-(SUM($F449:F449)+SUM($F453:F453)-SUM($F450:F450)-F458+F459+F455+F456+F457))</f>
        <v>0</v>
      </c>
      <c r="H460" s="148">
        <f ca="1">IF(H$2=1,0,SUM($F449:H449)+SUM($F453:H453)-SUM($F450:H450)-H458+H459+H455+H456+H457-(SUM($F449:G449)+SUM($F453:G453)-SUM($F450:G450)-G458+G459+G455+G456+G457))</f>
        <v>-1.4551915228366852E-11</v>
      </c>
      <c r="I460" s="148">
        <f ca="1">IF(I$2=1,0,SUM($F449:I449)+SUM($F453:I453)-SUM($F450:I450)-I458+I459+I455+I456+I457-(SUM($F449:H449)+SUM($F453:H453)-SUM($F450:H450)-H458+H459+H455+H456+H457))</f>
        <v>0</v>
      </c>
      <c r="J460" s="148">
        <f ca="1">IF(J$2=1,0,SUM($F449:J449)+SUM($F453:J453)-SUM($F450:J450)-J458+J459+J455+J456+J457-(SUM($F449:I449)+SUM($F453:I453)-SUM($F450:I450)-I458+I459+I455+I456+I457))</f>
        <v>5.8207660913467407E-11</v>
      </c>
      <c r="K460" s="148">
        <f ca="1">IF(K$2=1,0,SUM($F449:K449)+SUM($F453:K453)-SUM($F450:K450)-K458+K459+K455+K456+K457-(SUM($F449:J449)+SUM($F453:J453)-SUM($F450:J450)-J458+J459+J455+J456+J457))</f>
        <v>-5.8207660913467407E-11</v>
      </c>
      <c r="L460" s="148">
        <f ca="1">IF(L$2=1,0,SUM($F449:L449)+SUM($F453:L453)-SUM($F450:L450)-L458+L459+L455+L456+L457-(SUM($F449:K449)+SUM($F453:K453)-SUM($F450:K450)-K458+K459+K455+K456+K457))</f>
        <v>-1.1641532182693481E-10</v>
      </c>
      <c r="M460" s="148">
        <f ca="1">IF(M$2=1,0,SUM($F449:M449)+SUM($F453:M453)-SUM($F450:M450)-M458+M459+M455+M456+M457-(SUM($F449:L449)+SUM($F453:L453)-SUM($F450:L450)-L458+L459+L455+L456+L457))</f>
        <v>0</v>
      </c>
      <c r="N460" s="148">
        <f ca="1">IF(N$2=1,0,SUM($F449:N449)+SUM($F453:N453)-SUM($F450:N450)-N458+N459+N455+N456+N457-(SUM($F449:M449)+SUM($F453:M453)-SUM($F450:M450)-M458+M459+M455+M456+M457))</f>
        <v>-1.1641532182693481E-10</v>
      </c>
      <c r="O460" s="148">
        <f ca="1">IF(O$2=1,0,SUM($F449:O449)+SUM($F453:O453)-SUM($F450:O450)-O458+O459+O455+O456+O457-(SUM($F449:N449)+SUM($F453:N453)-SUM($F450:N450)-N458+N459+N455+N456+N457))</f>
        <v>0</v>
      </c>
      <c r="P460" s="148">
        <f ca="1">IF(P$2=1,0,SUM($F449:P449)+SUM($F453:P453)-SUM($F450:P450)-P458+P459+P455+P456+P457-(SUM($F449:O449)+SUM($F453:O453)-SUM($F450:O450)-O458+O459+O455+O456+O457))</f>
        <v>0</v>
      </c>
      <c r="Q460" s="148">
        <f ca="1">IF(Q$2=1,0,SUM($F449:Q449)+SUM($F453:Q453)-SUM($F450:Q450)-Q458+Q459+Q455+Q456+Q457-(SUM($F449:P449)+SUM($F453:P453)-SUM($F450:P450)-P458+P459+P455+P456+P457))</f>
        <v>0</v>
      </c>
      <c r="R460" s="148">
        <f ca="1">IF(R$2=1,0,SUM($F449:R449)+SUM($F453:R453)-SUM($F450:R450)-R458+R459+R455+R456+R457-(SUM($F449:Q449)+SUM($F453:Q453)-SUM($F450:Q450)-Q458+Q459+Q455+Q456+Q457))</f>
        <v>0</v>
      </c>
      <c r="S460" s="148">
        <f ca="1">IF(S$2=1,0,SUM($F449:S449)+SUM($F453:S453)-SUM($F450:S450)-S458+S459+S455+S456+S457-(SUM($F449:R449)+SUM($F453:R453)-SUM($F450:R450)-R458+R459+R455+R456+R457))</f>
        <v>2.3283064365386963E-10</v>
      </c>
      <c r="T460" s="148">
        <f ca="1">IF(T$2=1,0,SUM($F449:T449)+SUM($F453:T453)-SUM($F450:T450)-T458+T459+T455+T456+T457-(SUM($F449:S449)+SUM($F453:S453)-SUM($F450:S450)-S458+S459+S455+S456+S457))</f>
        <v>0</v>
      </c>
      <c r="U460" s="148">
        <f ca="1">IF(U$2=1,0,SUM($F449:U449)+SUM($F453:U453)-SUM($F450:U450)-U458+U459+U455+U456+U457-(SUM($F449:T449)+SUM($F453:T453)-SUM($F450:T450)-T458+T459+T455+T456+T457))</f>
        <v>0</v>
      </c>
      <c r="V460" s="148">
        <f ca="1">IF(V$2=1,0,SUM($F449:V449)+SUM($F453:V453)-SUM($F450:V450)-V458+V459+V455+V456+V457-(SUM($F449:U449)+SUM($F453:U453)-SUM($F450:U450)-U458+U459+U455+U456+U457))</f>
        <v>-4.6566128730773926E-10</v>
      </c>
      <c r="W460" s="148">
        <f ca="1">IF(W$2=1,0,SUM($F449:W449)+SUM($F453:W453)-SUM($F450:W450)-W458+W459+W455+W456+W457-(SUM($F449:V449)+SUM($F453:V453)-SUM($F450:V450)-V458+V459+V455+V456+V457))</f>
        <v>0</v>
      </c>
      <c r="X460" s="148">
        <f ca="1">IF(X$2=1,0,SUM($F449:X449)+SUM($F453:X453)-SUM($F450:X450)-X458+X459+X455+X456+X457-(SUM($F449:W449)+SUM($F453:W453)-SUM($F450:W450)-W458+W459+W455+W456+W457))</f>
        <v>0</v>
      </c>
      <c r="Y460" s="148">
        <f ca="1">IF(Y$2=1,0,SUM($F449:Y449)+SUM($F453:Y453)-SUM($F450:Y450)-Y458+Y459+Y455+Y456+Y457-(SUM($F449:X449)+SUM($F453:X453)-SUM($F450:X450)-X458+X459+X455+X456+X457))</f>
        <v>4.6566128730773926E-10</v>
      </c>
      <c r="Z460" s="148">
        <f ca="1">IF(Z$2=1,0,SUM($F449:Z449)+SUM($F453:Z453)-SUM($F450:Z450)-Z458+Z459+Z455+Z456+Z457-(SUM($F449:Y449)+SUM($F453:Y453)-SUM($F450:Y450)-Y458+Y459+Y455+Y456+Y457))</f>
        <v>4.6566128730773926E-10</v>
      </c>
      <c r="AA460" s="148">
        <f ca="1">IF(AA$2=1,0,SUM($F449:AA449)+SUM($F453:AA453)-SUM($F450:AA450)-AA458+AA459+AA455+AA456+AA457-(SUM($F449:Z449)+SUM($F453:Z453)-SUM($F450:Z450)-Z458+Z459+Z455+Z456+Z457))</f>
        <v>0</v>
      </c>
      <c r="AB460" s="148">
        <f ca="1">IF(AB$2=1,0,SUM($F449:AB449)+SUM($F453:AB453)-SUM($F450:AB450)-AB458+AB459+AB455+AB456+AB457-(SUM($F449:AA449)+SUM($F453:AA453)-SUM($F450:AA450)-AA458+AA459+AA455+AA456+AA457))</f>
        <v>0</v>
      </c>
      <c r="AC460" s="148">
        <f ca="1">IF(AC$2=1,0,SUM($F449:AC449)+SUM($F453:AC453)-SUM($F450:AC450)-AC458+AC459+AC455+AC456+AC457-(SUM($F449:AB449)+SUM($F453:AB453)-SUM($F450:AB450)-AB458+AB459+AB455+AB456+AB457))</f>
        <v>4.6566128730773926E-10</v>
      </c>
      <c r="AD460" s="148">
        <f ca="1">IF(AD$2=1,0,SUM($F449:AD449)+SUM($F453:AD453)-SUM($F450:AD450)-AD458+AD459+AD455+AD456+AD457-(SUM($F449:AC449)+SUM($F453:AC453)-SUM($F450:AC450)-AC458+AC459+AC455+AC456+AC457))</f>
        <v>0</v>
      </c>
      <c r="AE460" s="148">
        <f ca="1">IF(AE$2=1,0,SUM($F449:AE449)+SUM($F453:AE453)-SUM($F450:AE450)-AE458+AE459+AE455+AE456+AE457-(SUM($F449:AD449)+SUM($F453:AD453)-SUM($F450:AD450)-AD458+AD459+AD455+AD456+AD457))</f>
        <v>0</v>
      </c>
      <c r="AF460" s="148">
        <f ca="1">IF(AF$2=1,0,SUM($F449:AF449)+SUM($F453:AF453)-SUM($F450:AF450)-AF458+AF459+AF455+AF456+AF457-(SUM($F449:AE449)+SUM($F453:AE453)-SUM($F450:AE450)-AE458+AE459+AE455+AE456+AE457))</f>
        <v>0</v>
      </c>
      <c r="AG460" s="148">
        <f ca="1">IF(AG$2=1,0,SUM($F449:AG449)+SUM($F453:AG453)-SUM($F450:AG450)-AG458+AG459+AG455+AG456+AG457-(SUM($F449:AF449)+SUM($F453:AF453)-SUM($F450:AF450)-AF458+AF459+AF455+AF456+AF457))</f>
        <v>0</v>
      </c>
      <c r="AH460" s="148">
        <f ca="1">IF(AH$2=1,0,SUM($F449:AH449)+SUM($F453:AH453)-SUM($F450:AH450)-AH458+AH459+AH455+AH456+AH457-(SUM($F449:AG449)+SUM($F453:AG453)-SUM($F450:AG450)-AG458+AG459+AG455+AG456+AG457))</f>
        <v>0</v>
      </c>
      <c r="AI460" s="148">
        <f ca="1">IF(AI$2=1,0,SUM($F449:AI449)+SUM($F453:AI453)-SUM($F450:AI450)-AI458+AI459+AI455+AI456+AI457-(SUM($F449:AH449)+SUM($F453:AH453)-SUM($F450:AH450)-AH458+AH459+AH455+AH456+AH457))</f>
        <v>-9.3132257461547852E-10</v>
      </c>
      <c r="AJ460" s="148">
        <f ca="1">IF(AJ$2=1,0,SUM($F449:AJ449)+SUM($F453:AJ453)-SUM($F450:AJ450)-AJ458+AJ459+AJ455+AJ456+AJ457-(SUM($F449:AI449)+SUM($F453:AI453)-SUM($F450:AI450)-AI458+AI459+AI455+AI456+AI457))</f>
        <v>0</v>
      </c>
      <c r="AK460" s="148">
        <f ca="1">IF(AK$2=1,0,SUM($F449:AK449)+SUM($F453:AK453)-SUM($F450:AK450)-AK458+AK459+AK455+AK456+AK457-(SUM($F449:AJ449)+SUM($F453:AJ453)-SUM($F450:AJ450)-AJ458+AJ459+AJ455+AJ456+AJ457))</f>
        <v>0</v>
      </c>
      <c r="AL460" s="148">
        <f ca="1">IF(AL$2=1,0,SUM($F449:AL449)+SUM($F453:AL453)-SUM($F450:AL450)-AL458+AL459+AL455+AL456+AL457-(SUM($F449:AK449)+SUM($F453:AK453)-SUM($F450:AK450)-AK458+AK459+AK455+AK456+AK457))</f>
        <v>0</v>
      </c>
      <c r="AM460" s="148">
        <f ca="1">IF(AM$2=1,0,SUM($F449:AM449)+SUM($F453:AM453)-SUM($F450:AM450)-AM458+AM459+AM455+AM456+AM457-(SUM($F449:AL449)+SUM($F453:AL453)-SUM($F450:AL450)-AL458+AL459+AL455+AL456+AL457))</f>
        <v>0</v>
      </c>
      <c r="AN460" s="148">
        <f ca="1">IF(AN$2=1,0,SUM($F449:AN449)+SUM($F453:AN453)-SUM($F450:AN450)-AN458+AN459+AN455+AN456+AN457-(SUM($F449:AM449)+SUM($F453:AM453)-SUM($F450:AM450)-AM458+AM459+AM455+AM456+AM457))</f>
        <v>9.3132257461547852E-10</v>
      </c>
      <c r="AO460" s="148">
        <f ca="1">IF(AO$2=1,0,SUM($F449:AO449)+SUM($F453:AO453)-SUM($F450:AO450)-AO458+AO459+AO455+AO456+AO457-(SUM($F449:AN449)+SUM($F453:AN453)-SUM($F450:AN450)-AN458+AN459+AN455+AN456+AN457))</f>
        <v>0</v>
      </c>
      <c r="AP460" s="148">
        <f ca="1">IF(AP$2=1,0,SUM($F449:AP449)+SUM($F453:AP453)-SUM($F450:AP450)-AP458+AP459+AP455+AP456+AP457-(SUM($F449:AO449)+SUM($F453:AO453)-SUM($F450:AO450)-AO458+AO459+AO455+AO456+AO457))</f>
        <v>0</v>
      </c>
      <c r="AQ460" s="148">
        <f ca="1">IF(AQ$2=1,0,SUM($F449:AQ449)+SUM($F453:AQ453)-SUM($F450:AQ450)-AQ458+AQ459+AQ455+AQ456+AQ457-(SUM($F449:AP449)+SUM($F453:AP453)-SUM($F450:AP450)-AP458+AP459+AP455+AP456+AP457))</f>
        <v>0</v>
      </c>
      <c r="AR460" s="148">
        <f ca="1">IF(AR$2=1,0,SUM($F449:AR449)+SUM($F453:AR453)-SUM($F450:AR450)-AR458+AR459+AR455+AR456+AR457-(SUM($F449:AQ449)+SUM($F453:AQ453)-SUM($F450:AQ450)-AQ458+AQ459+AQ455+AQ456+AQ457))</f>
        <v>0</v>
      </c>
      <c r="AS460" s="148">
        <f ca="1">IF(AS$2=1,0,SUM($F449:AS449)+SUM($F453:AS453)-SUM($F450:AS450)-AS458+AS459+AS455+AS456+AS457-(SUM($F449:AR449)+SUM($F453:AR453)-SUM($F450:AR450)-AR458+AR459+AR455+AR456+AR457))</f>
        <v>0</v>
      </c>
      <c r="AT460" s="148">
        <f ca="1">IF(AT$2=1,0,SUM($F449:AT449)+SUM($F453:AT453)-SUM($F450:AT450)-AT458+AT459+AT455+AT456+AT457-(SUM($F449:AS449)+SUM($F453:AS453)-SUM($F450:AS450)-AS458+AS459+AS455+AS456+AS457))</f>
        <v>0</v>
      </c>
      <c r="AU460" s="148">
        <f ca="1">IF(AU$2=1,0,SUM($F449:AU449)+SUM($F453:AU453)-SUM($F450:AU450)-AU458+AU459+AU455+AU456+AU457-(SUM($F449:AT449)+SUM($F453:AT453)-SUM($F450:AT450)-AT458+AT459+AT455+AT456+AT457))</f>
        <v>-9.3132257461547852E-10</v>
      </c>
      <c r="AV460" s="148">
        <f ca="1">IF(AV$2=1,0,SUM($F449:AV449)+SUM($F453:AV453)-SUM($F450:AV450)-AV458+AV459+AV455+AV456+AV457-(SUM($F449:AU449)+SUM($F453:AU453)-SUM($F450:AU450)-AU458+AU459+AU455+AU456+AU457))</f>
        <v>0</v>
      </c>
      <c r="AW460" s="148"/>
      <c r="AX460" s="196">
        <f ca="1">SUM(G460:AW460)</f>
        <v>-1.4551915228366852E-11</v>
      </c>
    </row>
    <row r="461" spans="1:50" x14ac:dyDescent="0.2">
      <c r="A461" s="51"/>
      <c r="B461" s="51"/>
      <c r="C461" s="51"/>
      <c r="D461" s="68"/>
      <c r="E461" s="68" t="s">
        <v>845</v>
      </c>
      <c r="F461" s="68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112"/>
      <c r="AX461" s="149"/>
    </row>
    <row r="464" spans="1:50" s="64" customFormat="1" ht="25.5" customHeight="1" thickBot="1" x14ac:dyDescent="0.25">
      <c r="A464" s="118" t="str">
        <f ca="1">Language!A$677</f>
        <v>ПЕРСОНАЛ</v>
      </c>
      <c r="B464" s="119"/>
      <c r="C464" s="120"/>
      <c r="D464" s="121"/>
      <c r="E464" s="121" t="s">
        <v>894</v>
      </c>
      <c r="F464" s="121" t="s">
        <v>781</v>
      </c>
      <c r="G464" s="69" t="str">
        <f ca="1">Параметры!G$34</f>
        <v>4 кв. 2022</v>
      </c>
      <c r="H464" s="140" t="str">
        <f ca="1">Параметры!H$34</f>
        <v>1 кв. 2023</v>
      </c>
      <c r="I464" s="140" t="str">
        <f ca="1">Параметры!I$34</f>
        <v>2 кв. 2023</v>
      </c>
      <c r="J464" s="140" t="str">
        <f ca="1">Параметры!J$34</f>
        <v>3 кв. 2023</v>
      </c>
      <c r="K464" s="140" t="str">
        <f ca="1">Параметры!K$34</f>
        <v>4 кв. 2023</v>
      </c>
      <c r="L464" s="140" t="str">
        <f ca="1">Параметры!L$34</f>
        <v>1 кв. 2024</v>
      </c>
      <c r="M464" s="140" t="str">
        <f ca="1">Параметры!M$34</f>
        <v>2 кв. 2024</v>
      </c>
      <c r="N464" s="140" t="str">
        <f ca="1">Параметры!N$34</f>
        <v>3 кв. 2024</v>
      </c>
      <c r="O464" s="140" t="str">
        <f ca="1">Параметры!O$34</f>
        <v>4 кв. 2024</v>
      </c>
      <c r="P464" s="140" t="str">
        <f ca="1">Параметры!P$34</f>
        <v>1 кв. 2025</v>
      </c>
      <c r="Q464" s="140" t="str">
        <f ca="1">Параметры!Q$34</f>
        <v>2 кв. 2025</v>
      </c>
      <c r="R464" s="140" t="str">
        <f ca="1">Параметры!R$34</f>
        <v>3 кв. 2025</v>
      </c>
      <c r="S464" s="140" t="str">
        <f ca="1">Параметры!S$34</f>
        <v>4 кв. 2025</v>
      </c>
      <c r="T464" s="140" t="str">
        <f ca="1">Параметры!T$34</f>
        <v>1 кв. 2026</v>
      </c>
      <c r="U464" s="140" t="str">
        <f ca="1">Параметры!U$34</f>
        <v>2 кв. 2026</v>
      </c>
      <c r="V464" s="140" t="str">
        <f ca="1">Параметры!V$34</f>
        <v>3 кв. 2026</v>
      </c>
      <c r="W464" s="140" t="str">
        <f ca="1">Параметры!W$34</f>
        <v>4 кв. 2026</v>
      </c>
      <c r="X464" s="140" t="str">
        <f ca="1">Параметры!X$34</f>
        <v>1 кв. 2027</v>
      </c>
      <c r="Y464" s="140" t="str">
        <f ca="1">Параметры!Y$34</f>
        <v>2 кв. 2027</v>
      </c>
      <c r="Z464" s="140" t="str">
        <f ca="1">Параметры!Z$34</f>
        <v>3 кв. 2027</v>
      </c>
      <c r="AA464" s="140" t="str">
        <f ca="1">Параметры!AA$34</f>
        <v>4 кв. 2027</v>
      </c>
      <c r="AB464" s="140" t="str">
        <f ca="1">Параметры!AB$34</f>
        <v>1 кв. 2028</v>
      </c>
      <c r="AC464" s="140" t="str">
        <f ca="1">Параметры!AC$34</f>
        <v>2 кв. 2028</v>
      </c>
      <c r="AD464" s="140" t="str">
        <f ca="1">Параметры!AD$34</f>
        <v>3 кв. 2028</v>
      </c>
      <c r="AE464" s="140" t="str">
        <f ca="1">Параметры!AE$34</f>
        <v>4 кв. 2028</v>
      </c>
      <c r="AF464" s="140" t="str">
        <f ca="1">Параметры!AF$34</f>
        <v>1 кв. 2029</v>
      </c>
      <c r="AG464" s="140" t="str">
        <f ca="1">Параметры!AG$34</f>
        <v>2 кв. 2029</v>
      </c>
      <c r="AH464" s="140" t="str">
        <f ca="1">Параметры!AH$34</f>
        <v>3 кв. 2029</v>
      </c>
      <c r="AI464" s="140" t="str">
        <f ca="1">Параметры!AI$34</f>
        <v>4 кв. 2029</v>
      </c>
      <c r="AJ464" s="140" t="str">
        <f ca="1">Параметры!AJ$34</f>
        <v>1 кв. 2030</v>
      </c>
      <c r="AK464" s="140" t="str">
        <f ca="1">Параметры!AK$34</f>
        <v>2 кв. 2030</v>
      </c>
      <c r="AL464" s="140" t="str">
        <f ca="1">Параметры!AL$34</f>
        <v>3 кв. 2030</v>
      </c>
      <c r="AM464" s="140" t="str">
        <f ca="1">Параметры!AM$34</f>
        <v>4 кв. 2030</v>
      </c>
      <c r="AN464" s="140" t="str">
        <f ca="1">Параметры!AN$34</f>
        <v>1 кв. 2031</v>
      </c>
      <c r="AO464" s="140" t="str">
        <f ca="1">Параметры!AO$34</f>
        <v>2 кв. 2031</v>
      </c>
      <c r="AP464" s="140" t="str">
        <f ca="1">Параметры!AP$34</f>
        <v>3 кв. 2031</v>
      </c>
      <c r="AQ464" s="140" t="str">
        <f ca="1">Параметры!AQ$34</f>
        <v>4 кв. 2031</v>
      </c>
      <c r="AR464" s="140" t="str">
        <f ca="1">Параметры!AR$34</f>
        <v>1 кв. 2032</v>
      </c>
      <c r="AS464" s="140" t="str">
        <f ca="1">Параметры!AS$34</f>
        <v>2 кв. 2032</v>
      </c>
      <c r="AT464" s="140" t="str">
        <f ca="1">Параметры!AT$34</f>
        <v>3 кв. 2032</v>
      </c>
      <c r="AU464" s="140" t="str">
        <f ca="1">Параметры!AU$34</f>
        <v>4 кв. 2032</v>
      </c>
      <c r="AV464" s="140" t="str">
        <f ca="1">Параметры!AV$34</f>
        <v>1 кв. 2033</v>
      </c>
      <c r="AW464" s="140"/>
      <c r="AX464" s="141" t="str">
        <f ca="1">Language!$A$1445</f>
        <v>ИТОГО</v>
      </c>
    </row>
    <row r="465" spans="1:50" ht="13.5" thickTop="1" x14ac:dyDescent="0.2">
      <c r="AW465" s="94"/>
    </row>
    <row r="466" spans="1:50" x14ac:dyDescent="0.2">
      <c r="A466" s="203" t="str">
        <f ca="1">Language!A$692</f>
        <v>Производственный персонал</v>
      </c>
      <c r="B466" s="51"/>
      <c r="C466" s="51"/>
      <c r="D466" s="68"/>
      <c r="E466" s="68" t="s">
        <v>727</v>
      </c>
      <c r="F466" s="68" t="s">
        <v>2228</v>
      </c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112"/>
      <c r="AX466" s="149"/>
    </row>
    <row r="467" spans="1:50" x14ac:dyDescent="0.2">
      <c r="AW467" s="94"/>
    </row>
    <row r="468" spans="1:50" x14ac:dyDescent="0.2">
      <c r="A468" s="317" t="s">
        <v>2306</v>
      </c>
      <c r="B468" s="198"/>
      <c r="C468" s="146"/>
      <c r="D468" s="158">
        <v>1</v>
      </c>
      <c r="F468" s="57" t="s">
        <v>2307</v>
      </c>
      <c r="G468" s="199"/>
      <c r="H468" s="199"/>
      <c r="I468" s="199"/>
      <c r="J468" s="199"/>
      <c r="K468" s="199"/>
      <c r="L468" s="199"/>
      <c r="M468" s="199"/>
      <c r="N468" s="199"/>
      <c r="O468" s="199"/>
      <c r="P468" s="199"/>
      <c r="Q468" s="199"/>
      <c r="R468" s="199"/>
      <c r="S468" s="199"/>
      <c r="T468" s="199"/>
      <c r="U468" s="199"/>
      <c r="V468" s="199"/>
      <c r="W468" s="199"/>
      <c r="X468" s="199"/>
      <c r="Y468" s="199"/>
      <c r="Z468" s="199"/>
      <c r="AA468" s="199"/>
      <c r="AB468" s="199"/>
      <c r="AC468" s="199"/>
      <c r="AD468" s="199"/>
      <c r="AE468" s="199"/>
      <c r="AF468" s="199"/>
      <c r="AG468" s="199"/>
      <c r="AH468" s="199"/>
      <c r="AI468" s="199"/>
      <c r="AJ468" s="199"/>
      <c r="AK468" s="199"/>
      <c r="AL468" s="199"/>
      <c r="AM468" s="199"/>
      <c r="AN468" s="199"/>
      <c r="AO468" s="199"/>
      <c r="AP468" s="199"/>
      <c r="AQ468" s="199"/>
      <c r="AR468" s="199"/>
      <c r="AS468" s="199"/>
      <c r="AT468" s="199"/>
      <c r="AU468" s="199"/>
      <c r="AV468" s="199"/>
      <c r="AW468" s="199"/>
    </row>
    <row r="469" spans="1:50" x14ac:dyDescent="0.2">
      <c r="A469" s="154" t="str">
        <f ca="1">Language!A$686</f>
        <v>численность</v>
      </c>
      <c r="B469" s="340"/>
      <c r="C469" s="146" t="str">
        <f ca="1">Language!$A$1455</f>
        <v>человек</v>
      </c>
      <c r="D469" s="158"/>
      <c r="E469" s="57" t="s">
        <v>849</v>
      </c>
      <c r="F469" s="57" t="s">
        <v>756</v>
      </c>
      <c r="G469" s="310">
        <v>170</v>
      </c>
      <c r="H469" s="310">
        <v>170</v>
      </c>
      <c r="I469" s="310">
        <v>204</v>
      </c>
      <c r="J469" s="310">
        <f>I469</f>
        <v>204</v>
      </c>
      <c r="K469" s="310">
        <f t="shared" ref="K469:L469" si="2625">J469</f>
        <v>204</v>
      </c>
      <c r="L469" s="310">
        <f t="shared" si="2625"/>
        <v>204</v>
      </c>
      <c r="M469" s="310">
        <v>225</v>
      </c>
      <c r="N469" s="310">
        <f>M469</f>
        <v>225</v>
      </c>
      <c r="O469" s="310">
        <f t="shared" ref="O469:AV469" si="2626">N469</f>
        <v>225</v>
      </c>
      <c r="P469" s="310">
        <f t="shared" si="2626"/>
        <v>225</v>
      </c>
      <c r="Q469" s="310">
        <f t="shared" si="2626"/>
        <v>225</v>
      </c>
      <c r="R469" s="310">
        <f t="shared" si="2626"/>
        <v>225</v>
      </c>
      <c r="S469" s="310">
        <f t="shared" si="2626"/>
        <v>225</v>
      </c>
      <c r="T469" s="310">
        <f t="shared" si="2626"/>
        <v>225</v>
      </c>
      <c r="U469" s="310">
        <f t="shared" si="2626"/>
        <v>225</v>
      </c>
      <c r="V469" s="310">
        <f t="shared" si="2626"/>
        <v>225</v>
      </c>
      <c r="W469" s="310">
        <f t="shared" si="2626"/>
        <v>225</v>
      </c>
      <c r="X469" s="310">
        <f t="shared" si="2626"/>
        <v>225</v>
      </c>
      <c r="Y469" s="310">
        <f t="shared" si="2626"/>
        <v>225</v>
      </c>
      <c r="Z469" s="310">
        <f t="shared" si="2626"/>
        <v>225</v>
      </c>
      <c r="AA469" s="310">
        <f t="shared" si="2626"/>
        <v>225</v>
      </c>
      <c r="AB469" s="310">
        <f t="shared" si="2626"/>
        <v>225</v>
      </c>
      <c r="AC469" s="310">
        <f t="shared" si="2626"/>
        <v>225</v>
      </c>
      <c r="AD469" s="310">
        <f t="shared" si="2626"/>
        <v>225</v>
      </c>
      <c r="AE469" s="310">
        <f t="shared" si="2626"/>
        <v>225</v>
      </c>
      <c r="AF469" s="310">
        <f t="shared" si="2626"/>
        <v>225</v>
      </c>
      <c r="AG469" s="310">
        <f t="shared" si="2626"/>
        <v>225</v>
      </c>
      <c r="AH469" s="310">
        <f t="shared" si="2626"/>
        <v>225</v>
      </c>
      <c r="AI469" s="310">
        <f t="shared" si="2626"/>
        <v>225</v>
      </c>
      <c r="AJ469" s="310">
        <f t="shared" si="2626"/>
        <v>225</v>
      </c>
      <c r="AK469" s="310">
        <f t="shared" si="2626"/>
        <v>225</v>
      </c>
      <c r="AL469" s="310">
        <f t="shared" si="2626"/>
        <v>225</v>
      </c>
      <c r="AM469" s="310">
        <f t="shared" si="2626"/>
        <v>225</v>
      </c>
      <c r="AN469" s="310">
        <f t="shared" si="2626"/>
        <v>225</v>
      </c>
      <c r="AO469" s="310">
        <f t="shared" si="2626"/>
        <v>225</v>
      </c>
      <c r="AP469" s="310">
        <f t="shared" si="2626"/>
        <v>225</v>
      </c>
      <c r="AQ469" s="310">
        <f t="shared" si="2626"/>
        <v>225</v>
      </c>
      <c r="AR469" s="310">
        <f t="shared" si="2626"/>
        <v>225</v>
      </c>
      <c r="AS469" s="310">
        <f t="shared" si="2626"/>
        <v>225</v>
      </c>
      <c r="AT469" s="310">
        <f t="shared" si="2626"/>
        <v>225</v>
      </c>
      <c r="AU469" s="310">
        <f t="shared" si="2626"/>
        <v>225</v>
      </c>
      <c r="AV469" s="310">
        <f t="shared" si="2626"/>
        <v>225</v>
      </c>
      <c r="AW469" s="156"/>
    </row>
    <row r="470" spans="1:50" x14ac:dyDescent="0.2">
      <c r="A470" s="172" t="str">
        <f ca="1">Language!A$687</f>
        <v>средний оклад, в месяц</v>
      </c>
      <c r="B470" s="313">
        <v>42</v>
      </c>
      <c r="C470" s="146" t="str">
        <f ca="1">CHOOSE(D468,CurName1,CurName2,CurName3)</f>
        <v>тыс. руб.</v>
      </c>
      <c r="D470" s="114"/>
      <c r="E470" s="57" t="s">
        <v>850</v>
      </c>
      <c r="F470" s="57" t="s">
        <v>756</v>
      </c>
      <c r="G470" s="311">
        <f t="shared" ref="G470" ca="1" si="2627">IF(G$2=1,$B470,F470)*G474</f>
        <v>42</v>
      </c>
      <c r="H470" s="311">
        <f t="shared" ref="H470" ca="1" si="2628">IF(H$2=1,$B470,G470)*H474</f>
        <v>42.616301539083693</v>
      </c>
      <c r="I470" s="311">
        <f t="shared" ref="I470" ca="1" si="2629">IF(I$2=1,$B470,H470)*I474</f>
        <v>43.241646592145408</v>
      </c>
      <c r="J470" s="311">
        <f t="shared" ref="J470" ca="1" si="2630">IF(J$2=1,$B470,I470)*J474</f>
        <v>43.876167862318077</v>
      </c>
      <c r="K470" s="311">
        <f t="shared" ref="K470" ca="1" si="2631">IF(K$2=1,$B470,J470)*K474</f>
        <v>44.52</v>
      </c>
      <c r="L470" s="311">
        <f t="shared" ref="L470" ca="1" si="2632">IF(L$2=1,$B470,K470)*L474</f>
        <v>45.173279631428713</v>
      </c>
      <c r="M470" s="311">
        <f t="shared" ref="M470" ca="1" si="2633">IF(M$2=1,$B470,L470)*M474</f>
        <v>45.836145387674129</v>
      </c>
      <c r="N470" s="311">
        <f t="shared" ref="N470" ca="1" si="2634">IF(N$2=1,$B470,M470)*N474</f>
        <v>46.508737934057159</v>
      </c>
      <c r="O470" s="311">
        <f t="shared" ref="O470" ca="1" si="2635">IF(O$2=1,$B470,N470)*O474</f>
        <v>47.191200000000002</v>
      </c>
      <c r="P470" s="311">
        <f t="shared" ref="P470" ca="1" si="2636">IF(P$2=1,$B470,O470)*P474</f>
        <v>47.88367640931444</v>
      </c>
      <c r="Q470" s="311">
        <f t="shared" ref="Q470" ca="1" si="2637">IF(Q$2=1,$B470,P470)*Q474</f>
        <v>48.58631411093458</v>
      </c>
      <c r="R470" s="311">
        <f t="shared" ref="R470" ca="1" si="2638">IF(R$2=1,$B470,Q470)*R474</f>
        <v>49.299262210100594</v>
      </c>
      <c r="S470" s="311">
        <f t="shared" ref="S470" ca="1" si="2639">IF(S$2=1,$B470,R470)*S474</f>
        <v>50.022672000000007</v>
      </c>
      <c r="T470" s="311">
        <f t="shared" ref="T470" ca="1" si="2640">IF(T$2=1,$B470,S470)*T474</f>
        <v>50.756696993873305</v>
      </c>
      <c r="U470" s="311">
        <f t="shared" ref="U470" ca="1" si="2641">IF(U$2=1,$B470,T470)*U474</f>
        <v>51.501492957590656</v>
      </c>
      <c r="V470" s="311">
        <f t="shared" ref="V470" ca="1" si="2642">IF(V$2=1,$B470,U470)*V474</f>
        <v>52.257217942706632</v>
      </c>
      <c r="W470" s="311">
        <f t="shared" ref="W470" ca="1" si="2643">IF(W$2=1,$B470,V470)*W474</f>
        <v>53.024032320000011</v>
      </c>
      <c r="X470" s="311">
        <f t="shared" ref="X470" ca="1" si="2644">IF(X$2=1,$B470,W470)*X474</f>
        <v>53.802098813505708</v>
      </c>
      <c r="Y470" s="311">
        <f t="shared" ref="Y470" ca="1" si="2645">IF(Y$2=1,$B470,X470)*Y474</f>
        <v>54.591582535046101</v>
      </c>
      <c r="Z470" s="311">
        <f t="shared" ref="Z470" ca="1" si="2646">IF(Z$2=1,$B470,Y470)*Z474</f>
        <v>55.392651019269032</v>
      </c>
      <c r="AA470" s="311">
        <f t="shared" ref="AA470" ca="1" si="2647">IF(AA$2=1,$B470,Z470)*AA474</f>
        <v>56.205474259200017</v>
      </c>
      <c r="AB470" s="311">
        <f t="shared" ref="AB470" ca="1" si="2648">IF(AB$2=1,$B470,AA470)*AB474</f>
        <v>57.030224742316058</v>
      </c>
      <c r="AC470" s="311">
        <f t="shared" ref="AC470" ca="1" si="2649">IF(AC$2=1,$B470,AB470)*AC474</f>
        <v>57.867077487148869</v>
      </c>
      <c r="AD470" s="311">
        <f t="shared" ref="AD470" ca="1" si="2650">IF(AD$2=1,$B470,AC470)*AD474</f>
        <v>58.716210080425178</v>
      </c>
      <c r="AE470" s="311">
        <f t="shared" ref="AE470" ca="1" si="2651">IF(AE$2=1,$B470,AD470)*AE474</f>
        <v>59.577802714752018</v>
      </c>
      <c r="AF470" s="311">
        <f t="shared" ref="AF470" ca="1" si="2652">IF(AF$2=1,$B470,AE470)*AF474</f>
        <v>60.452038226855024</v>
      </c>
      <c r="AG470" s="311">
        <f t="shared" ref="AG470" ca="1" si="2653">IF(AG$2=1,$B470,AF470)*AG474</f>
        <v>61.339102136377804</v>
      </c>
      <c r="AH470" s="311">
        <f t="shared" ref="AH470" ca="1" si="2654">IF(AH$2=1,$B470,AG470)*AH474</f>
        <v>62.23918268525069</v>
      </c>
      <c r="AI470" s="311">
        <f t="shared" ref="AI470" ca="1" si="2655">IF(AI$2=1,$B470,AH470)*AI474</f>
        <v>63.152470877637143</v>
      </c>
      <c r="AJ470" s="311">
        <f t="shared" ref="AJ470" ca="1" si="2656">IF(AJ$2=1,$B470,AI470)*AJ474</f>
        <v>64.079160520466331</v>
      </c>
      <c r="AK470" s="311">
        <f t="shared" ref="AK470" ca="1" si="2657">IF(AK$2=1,$B470,AJ470)*AK474</f>
        <v>65.019448264560481</v>
      </c>
      <c r="AL470" s="311">
        <f t="shared" ref="AL470" ca="1" si="2658">IF(AL$2=1,$B470,AK470)*AL474</f>
        <v>65.973533646365738</v>
      </c>
      <c r="AM470" s="311">
        <f t="shared" ref="AM470" ca="1" si="2659">IF(AM$2=1,$B470,AL470)*AM474</f>
        <v>66.941619130295379</v>
      </c>
      <c r="AN470" s="311">
        <f t="shared" ref="AN470" ca="1" si="2660">IF(AN$2=1,$B470,AM470)*AN474</f>
        <v>67.923910151694315</v>
      </c>
      <c r="AO470" s="311">
        <f t="shared" ref="AO470" ca="1" si="2661">IF(AO$2=1,$B470,AN470)*AO474</f>
        <v>68.92061516043411</v>
      </c>
      <c r="AP470" s="311">
        <f t="shared" ref="AP470" ca="1" si="2662">IF(AP$2=1,$B470,AO470)*AP474</f>
        <v>69.931945665147694</v>
      </c>
      <c r="AQ470" s="311">
        <f t="shared" ref="AQ470" ca="1" si="2663">IF(AQ$2=1,$B470,AP470)*AQ474</f>
        <v>70.95811627811311</v>
      </c>
      <c r="AR470" s="311">
        <f t="shared" ref="AR470" ca="1" si="2664">IF(AR$2=1,$B470,AQ470)*AR474</f>
        <v>71.999344760795978</v>
      </c>
      <c r="AS470" s="311">
        <f t="shared" ref="AS470" ca="1" si="2665">IF(AS$2=1,$B470,AR470)*AS474</f>
        <v>73.055852070060169</v>
      </c>
      <c r="AT470" s="311">
        <f t="shared" ref="AT470" ca="1" si="2666">IF(AT$2=1,$B470,AS470)*AT474</f>
        <v>74.127862405056561</v>
      </c>
      <c r="AU470" s="311">
        <f t="shared" ref="AU470" ca="1" si="2667">IF(AU$2=1,$B470,AT470)*AU474</f>
        <v>75.215603254799902</v>
      </c>
      <c r="AV470" s="311">
        <f t="shared" ref="AV470" ca="1" si="2668">IF(AV$2=1,$B470,AU470)*AV474</f>
        <v>76.319305446443749</v>
      </c>
      <c r="AW470" s="148"/>
    </row>
    <row r="471" spans="1:50" x14ac:dyDescent="0.2">
      <c r="A471" s="172" t="str">
        <f ca="1">Language!A$688</f>
        <v>заработная плата</v>
      </c>
      <c r="B471" s="198" t="str">
        <f ca="1">Language!$A$1451</f>
        <v>за период</v>
      </c>
      <c r="C471" s="146" t="str">
        <f t="shared" ref="C471:C472" ca="1" si="2669">CHOOSE(D471,CurName1,CurName2,CurName3)</f>
        <v>тыс. руб.</v>
      </c>
      <c r="D471" s="158">
        <f>D468</f>
        <v>1</v>
      </c>
      <c r="E471" s="57" t="s">
        <v>788</v>
      </c>
      <c r="F471" s="57" t="s">
        <v>753</v>
      </c>
      <c r="G471" s="200">
        <f ca="1">G469*G470*Параметры!G$31</f>
        <v>21420</v>
      </c>
      <c r="H471" s="200">
        <f ca="1">H469*H470*Параметры!H$31</f>
        <v>21734.313784932681</v>
      </c>
      <c r="I471" s="200">
        <f ca="1">I469*I470*Параметры!I$31</f>
        <v>26463.887714392993</v>
      </c>
      <c r="J471" s="200">
        <f ca="1">J469*J470*Параметры!J$31</f>
        <v>26852.214731738663</v>
      </c>
      <c r="K471" s="200">
        <f ca="1">K469*K470*Параметры!K$31</f>
        <v>27246.239999999998</v>
      </c>
      <c r="L471" s="200">
        <f ca="1">L469*L470*Параметры!L$31</f>
        <v>27646.047134434371</v>
      </c>
      <c r="M471" s="200">
        <f ca="1">M469*M470*Параметры!M$31</f>
        <v>30939.398136680036</v>
      </c>
      <c r="N471" s="200">
        <f ca="1">N469*N470*Параметры!N$31</f>
        <v>31393.398105488581</v>
      </c>
      <c r="O471" s="200">
        <f ca="1">O469*O470*Параметры!O$31</f>
        <v>31854.06</v>
      </c>
      <c r="P471" s="200">
        <f ca="1">P469*P470*Параметры!P$31</f>
        <v>32321.481576287246</v>
      </c>
      <c r="Q471" s="200">
        <f ca="1">Q469*Q470*Параметры!Q$31</f>
        <v>32795.762024880838</v>
      </c>
      <c r="R471" s="200">
        <f ca="1">R469*R470*Параметры!R$31</f>
        <v>33277.001991817902</v>
      </c>
      <c r="S471" s="200">
        <f ca="1">S469*S470*Параметры!S$31</f>
        <v>33765.303599999999</v>
      </c>
      <c r="T471" s="200">
        <f ca="1">T469*T470*Параметры!T$31</f>
        <v>34260.770470864481</v>
      </c>
      <c r="U471" s="200">
        <f ca="1">U469*U470*Параметры!U$31</f>
        <v>34763.507746373696</v>
      </c>
      <c r="V471" s="200">
        <f ca="1">V469*V470*Параметры!V$31</f>
        <v>35273.622111326971</v>
      </c>
      <c r="W471" s="200">
        <f ca="1">W469*W470*Параметры!W$31</f>
        <v>35791.221816000005</v>
      </c>
      <c r="X471" s="200">
        <f ca="1">X469*X470*Параметры!X$31</f>
        <v>36316.416699116351</v>
      </c>
      <c r="Y471" s="200">
        <f ca="1">Y469*Y470*Параметры!Y$31</f>
        <v>36849.318211156118</v>
      </c>
      <c r="Z471" s="200">
        <f ca="1">Z469*Z470*Параметры!Z$31</f>
        <v>37390.039438006599</v>
      </c>
      <c r="AA471" s="200">
        <f ca="1">AA469*AA470*Параметры!AA$31</f>
        <v>37938.69512496001</v>
      </c>
      <c r="AB471" s="200">
        <f ca="1">AB469*AB470*Параметры!AB$31</f>
        <v>38495.40170106334</v>
      </c>
      <c r="AC471" s="200">
        <f ca="1">AC469*AC470*Параметры!AC$31</f>
        <v>39060.277303825489</v>
      </c>
      <c r="AD471" s="200">
        <f ca="1">AD469*AD470*Параметры!AD$31</f>
        <v>39633.441804286995</v>
      </c>
      <c r="AE471" s="200">
        <f ca="1">AE469*AE470*Параметры!AE$31</f>
        <v>40215.016832457608</v>
      </c>
      <c r="AF471" s="200">
        <f ca="1">AF469*AF470*Параметры!AF$31</f>
        <v>40805.125803127143</v>
      </c>
      <c r="AG471" s="200">
        <f ca="1">AG469*AG470*Параметры!AG$31</f>
        <v>41403.893942055016</v>
      </c>
      <c r="AH471" s="200">
        <f ca="1">AH469*AH470*Параметры!AH$31</f>
        <v>42011.44831254422</v>
      </c>
      <c r="AI471" s="200">
        <f ca="1">AI469*AI470*Параметры!AI$31</f>
        <v>42627.917842405077</v>
      </c>
      <c r="AJ471" s="200">
        <f ca="1">AJ469*AJ470*Параметры!AJ$31</f>
        <v>43253.433351314772</v>
      </c>
      <c r="AK471" s="200">
        <f ca="1">AK469*AK470*Параметры!AK$31</f>
        <v>43888.127578578322</v>
      </c>
      <c r="AL471" s="200">
        <f ca="1">AL469*AL470*Параметры!AL$31</f>
        <v>44532.135211296874</v>
      </c>
      <c r="AM471" s="200">
        <f ca="1">AM469*AM470*Параметры!AM$31</f>
        <v>45185.592912949382</v>
      </c>
      <c r="AN471" s="200">
        <f ca="1">AN469*AN470*Параметры!AN$31</f>
        <v>45848.639352393664</v>
      </c>
      <c r="AO471" s="200">
        <f ca="1">AO469*AO470*Параметры!AO$31</f>
        <v>46521.415233293024</v>
      </c>
      <c r="AP471" s="200">
        <f ca="1">AP469*AP470*Параметры!AP$31</f>
        <v>47204.063323974689</v>
      </c>
      <c r="AQ471" s="200">
        <f ca="1">AQ469*AQ470*Параметры!AQ$31</f>
        <v>47896.728487726345</v>
      </c>
      <c r="AR471" s="200">
        <f ca="1">AR469*AR470*Параметры!AR$31</f>
        <v>48599.557713537288</v>
      </c>
      <c r="AS471" s="200">
        <f ca="1">AS469*AS470*Параметры!AS$31</f>
        <v>49312.700147290619</v>
      </c>
      <c r="AT471" s="200">
        <f ca="1">AT469*AT470*Параметры!AT$31</f>
        <v>50036.307123413178</v>
      </c>
      <c r="AU471" s="200">
        <f ca="1">AU469*AU470*Параметры!AU$31</f>
        <v>50770.532196989938</v>
      </c>
      <c r="AV471" s="200">
        <f ca="1">AV469*AV470*Параметры!AV$31</f>
        <v>51515.531176349527</v>
      </c>
      <c r="AW471" s="200"/>
      <c r="AX471" s="142">
        <f ca="1">SUM(G471:AW471)</f>
        <v>1605109.9877693302</v>
      </c>
    </row>
    <row r="472" spans="1:50" outlineLevel="1" x14ac:dyDescent="0.2">
      <c r="A472" s="179" t="str">
        <f ca="1">Language!A$689</f>
        <v>социальные взносы</v>
      </c>
      <c r="B472" s="84"/>
      <c r="C472" s="82" t="str">
        <f t="shared" ca="1" si="2669"/>
        <v>тыс. руб.</v>
      </c>
      <c r="D472" s="158">
        <f>D468</f>
        <v>1</v>
      </c>
      <c r="E472" s="57" t="s">
        <v>1452</v>
      </c>
      <c r="F472" s="57" t="s">
        <v>753</v>
      </c>
      <c r="G472" s="194">
        <f ca="1">G471*Параметры!G$91</f>
        <v>6426.0000000000009</v>
      </c>
      <c r="H472" s="194">
        <f ca="1">H471*Параметры!H$91</f>
        <v>6520.2941354798049</v>
      </c>
      <c r="I472" s="194">
        <f ca="1">I471*Параметры!I$91</f>
        <v>7939.1663143178994</v>
      </c>
      <c r="J472" s="194">
        <f ca="1">J471*Параметры!J$91</f>
        <v>8055.6644195216004</v>
      </c>
      <c r="K472" s="194">
        <f ca="1">K471*Параметры!K$91</f>
        <v>8173.8720000000003</v>
      </c>
      <c r="L472" s="194">
        <f ca="1">L471*Параметры!L$91</f>
        <v>8293.8141403303125</v>
      </c>
      <c r="M472" s="194">
        <f ca="1">M471*Параметры!M$91</f>
        <v>9281.8194410040123</v>
      </c>
      <c r="N472" s="194">
        <f ca="1">N471*Параметры!N$91</f>
        <v>9418.019431646575</v>
      </c>
      <c r="O472" s="194">
        <f ca="1">O471*Параметры!O$91</f>
        <v>9556.2180000000026</v>
      </c>
      <c r="P472" s="194">
        <f ca="1">P471*Параметры!P$91</f>
        <v>9696.4444728861745</v>
      </c>
      <c r="Q472" s="194">
        <f ca="1">Q471*Параметры!Q$91</f>
        <v>9838.7286074642525</v>
      </c>
      <c r="R472" s="194">
        <f ca="1">R471*Параметры!R$91</f>
        <v>9983.1005975453718</v>
      </c>
      <c r="S472" s="194">
        <f ca="1">S471*Параметры!S$91</f>
        <v>10129.591080000002</v>
      </c>
      <c r="T472" s="194">
        <f ca="1">T471*Параметры!T$91</f>
        <v>10278.231141259346</v>
      </c>
      <c r="U472" s="194">
        <f ca="1">U471*Параметры!U$91</f>
        <v>10429.05232391211</v>
      </c>
      <c r="V472" s="194">
        <f ca="1">V471*Параметры!V$91</f>
        <v>10582.086633398092</v>
      </c>
      <c r="W472" s="194">
        <f ca="1">W471*Параметры!W$91</f>
        <v>10737.366544800003</v>
      </c>
      <c r="X472" s="194">
        <f ca="1">X471*Параметры!X$91</f>
        <v>10894.925009734907</v>
      </c>
      <c r="Y472" s="194">
        <f ca="1">Y471*Параметры!Y$91</f>
        <v>11054.795463346836</v>
      </c>
      <c r="Z472" s="194">
        <f ca="1">Z471*Параметры!Z$91</f>
        <v>11217.011831401982</v>
      </c>
      <c r="AA472" s="194">
        <f ca="1">AA471*Параметры!AA$91</f>
        <v>11381.608537488004</v>
      </c>
      <c r="AB472" s="194">
        <f ca="1">AB471*Параметры!AB$91</f>
        <v>11548.620510319004</v>
      </c>
      <c r="AC472" s="194">
        <f ca="1">AC471*Параметры!AC$91</f>
        <v>11718.083191147649</v>
      </c>
      <c r="AD472" s="194">
        <f ca="1">AD471*Параметры!AD$91</f>
        <v>11890.0325412861</v>
      </c>
      <c r="AE472" s="194">
        <f ca="1">AE471*Параметры!AE$91</f>
        <v>12064.505049737285</v>
      </c>
      <c r="AF472" s="194">
        <f ca="1">AF471*Параметры!AF$91</f>
        <v>12241.537740938145</v>
      </c>
      <c r="AG472" s="194">
        <f ca="1">AG471*Параметры!AG$91</f>
        <v>12421.168182616506</v>
      </c>
      <c r="AH472" s="194">
        <f ca="1">AH471*Параметры!AH$91</f>
        <v>12603.434493763269</v>
      </c>
      <c r="AI472" s="194">
        <f ca="1">AI471*Параметры!AI$91</f>
        <v>12788.375352721525</v>
      </c>
      <c r="AJ472" s="194">
        <f ca="1">AJ471*Параметры!AJ$91</f>
        <v>12976.030005394434</v>
      </c>
      <c r="AK472" s="194">
        <f ca="1">AK471*Параметры!AK$91</f>
        <v>13166.438273573498</v>
      </c>
      <c r="AL472" s="194">
        <f ca="1">AL471*Параметры!AL$91</f>
        <v>13359.640563389064</v>
      </c>
      <c r="AM472" s="194">
        <f ca="1">AM471*Параметры!AM$91</f>
        <v>13555.677873884817</v>
      </c>
      <c r="AN472" s="194">
        <f ca="1">AN471*Параметры!AN$91</f>
        <v>13754.591805718101</v>
      </c>
      <c r="AO472" s="194">
        <f ca="1">AO471*Параметры!AO$91</f>
        <v>13956.42456998791</v>
      </c>
      <c r="AP472" s="194">
        <f ca="1">AP471*Параметры!AP$91</f>
        <v>14161.218997192409</v>
      </c>
      <c r="AQ472" s="194">
        <f ca="1">AQ471*Параметры!AQ$91</f>
        <v>14369.018546317906</v>
      </c>
      <c r="AR472" s="194">
        <f ca="1">AR471*Параметры!AR$91</f>
        <v>14579.867314061188</v>
      </c>
      <c r="AS472" s="194">
        <f ca="1">AS471*Параметры!AS$91</f>
        <v>14793.810044187188</v>
      </c>
      <c r="AT472" s="194">
        <f ca="1">AT471*Параметры!AT$91</f>
        <v>15010.892137023955</v>
      </c>
      <c r="AU472" s="194">
        <f ca="1">AU471*Параметры!AU$91</f>
        <v>15231.159659096984</v>
      </c>
      <c r="AV472" s="194">
        <f ca="1">AV471*Параметры!AV$91</f>
        <v>15454.65935290486</v>
      </c>
      <c r="AW472" s="194"/>
      <c r="AX472" s="169">
        <f ca="1">SUM(G472:AW472)</f>
        <v>481532.99633079901</v>
      </c>
    </row>
    <row r="473" spans="1:50" outlineLevel="1" x14ac:dyDescent="0.2">
      <c r="A473" s="167" t="str">
        <f ca="1">Language!A$690</f>
        <v>темп изменения цен</v>
      </c>
      <c r="B473" s="202"/>
      <c r="C473" s="103" t="str">
        <f ca="1">Language!$A$471</f>
        <v>% в год</v>
      </c>
      <c r="D473" s="153"/>
      <c r="F473" s="57" t="s">
        <v>756</v>
      </c>
      <c r="G473" s="324">
        <f>CHOOSE($D468,Параметры!G$50,Параметры!G$56,Параметры!G$62)</f>
        <v>0.06</v>
      </c>
      <c r="H473" s="324">
        <f>CHOOSE($D468,Параметры!H$50,Параметры!H$56,Параметры!H$62)</f>
        <v>0.06</v>
      </c>
      <c r="I473" s="324">
        <f>CHOOSE($D468,Параметры!I$50,Параметры!I$56,Параметры!I$62)</f>
        <v>0.06</v>
      </c>
      <c r="J473" s="324">
        <f>CHOOSE($D468,Параметры!J$50,Параметры!J$56,Параметры!J$62)</f>
        <v>0.06</v>
      </c>
      <c r="K473" s="324">
        <f>CHOOSE($D468,Параметры!K$50,Параметры!K$56,Параметры!K$62)</f>
        <v>0.06</v>
      </c>
      <c r="L473" s="324">
        <f>CHOOSE($D468,Параметры!L$50,Параметры!L$56,Параметры!L$62)</f>
        <v>0.06</v>
      </c>
      <c r="M473" s="324">
        <f>CHOOSE($D468,Параметры!M$50,Параметры!M$56,Параметры!M$62)</f>
        <v>0.06</v>
      </c>
      <c r="N473" s="324">
        <f>CHOOSE($D468,Параметры!N$50,Параметры!N$56,Параметры!N$62)</f>
        <v>0.06</v>
      </c>
      <c r="O473" s="324">
        <f>CHOOSE($D468,Параметры!O$50,Параметры!O$56,Параметры!O$62)</f>
        <v>0.06</v>
      </c>
      <c r="P473" s="324">
        <f>CHOOSE($D468,Параметры!P$50,Параметры!P$56,Параметры!P$62)</f>
        <v>0.06</v>
      </c>
      <c r="Q473" s="324">
        <f>CHOOSE($D468,Параметры!Q$50,Параметры!Q$56,Параметры!Q$62)</f>
        <v>0.06</v>
      </c>
      <c r="R473" s="324">
        <f>CHOOSE($D468,Параметры!R$50,Параметры!R$56,Параметры!R$62)</f>
        <v>0.06</v>
      </c>
      <c r="S473" s="324">
        <f>CHOOSE($D468,Параметры!S$50,Параметры!S$56,Параметры!S$62)</f>
        <v>0.06</v>
      </c>
      <c r="T473" s="324">
        <f>CHOOSE($D468,Параметры!T$50,Параметры!T$56,Параметры!T$62)</f>
        <v>0.06</v>
      </c>
      <c r="U473" s="324">
        <f>CHOOSE($D468,Параметры!U$50,Параметры!U$56,Параметры!U$62)</f>
        <v>0.06</v>
      </c>
      <c r="V473" s="324">
        <f>CHOOSE($D468,Параметры!V$50,Параметры!V$56,Параметры!V$62)</f>
        <v>0.06</v>
      </c>
      <c r="W473" s="324">
        <f>CHOOSE($D468,Параметры!W$50,Параметры!W$56,Параметры!W$62)</f>
        <v>0.06</v>
      </c>
      <c r="X473" s="324">
        <f>CHOOSE($D468,Параметры!X$50,Параметры!X$56,Параметры!X$62)</f>
        <v>0.06</v>
      </c>
      <c r="Y473" s="324">
        <f>CHOOSE($D468,Параметры!Y$50,Параметры!Y$56,Параметры!Y$62)</f>
        <v>0.06</v>
      </c>
      <c r="Z473" s="324">
        <f>CHOOSE($D468,Параметры!Z$50,Параметры!Z$56,Параметры!Z$62)</f>
        <v>0.06</v>
      </c>
      <c r="AA473" s="324">
        <f>CHOOSE($D468,Параметры!AA$50,Параметры!AA$56,Параметры!AA$62)</f>
        <v>0.06</v>
      </c>
      <c r="AB473" s="324">
        <f>CHOOSE($D468,Параметры!AB$50,Параметры!AB$56,Параметры!AB$62)</f>
        <v>0.06</v>
      </c>
      <c r="AC473" s="324">
        <f>CHOOSE($D468,Параметры!AC$50,Параметры!AC$56,Параметры!AC$62)</f>
        <v>0.06</v>
      </c>
      <c r="AD473" s="324">
        <f>CHOOSE($D468,Параметры!AD$50,Параметры!AD$56,Параметры!AD$62)</f>
        <v>0.06</v>
      </c>
      <c r="AE473" s="324">
        <f>CHOOSE($D468,Параметры!AE$50,Параметры!AE$56,Параметры!AE$62)</f>
        <v>0.06</v>
      </c>
      <c r="AF473" s="324">
        <f>CHOOSE($D468,Параметры!AF$50,Параметры!AF$56,Параметры!AF$62)</f>
        <v>0.06</v>
      </c>
      <c r="AG473" s="324">
        <f>CHOOSE($D468,Параметры!AG$50,Параметры!AG$56,Параметры!AG$62)</f>
        <v>0.06</v>
      </c>
      <c r="AH473" s="324">
        <f>CHOOSE($D468,Параметры!AH$50,Параметры!AH$56,Параметры!AH$62)</f>
        <v>0.06</v>
      </c>
      <c r="AI473" s="324">
        <f>CHOOSE($D468,Параметры!AI$50,Параметры!AI$56,Параметры!AI$62)</f>
        <v>0.06</v>
      </c>
      <c r="AJ473" s="324">
        <f>CHOOSE($D468,Параметры!AJ$50,Параметры!AJ$56,Параметры!AJ$62)</f>
        <v>0.06</v>
      </c>
      <c r="AK473" s="324">
        <f>CHOOSE($D468,Параметры!AK$50,Параметры!AK$56,Параметры!AK$62)</f>
        <v>0.06</v>
      </c>
      <c r="AL473" s="324">
        <f>CHOOSE($D468,Параметры!AL$50,Параметры!AL$56,Параметры!AL$62)</f>
        <v>0.06</v>
      </c>
      <c r="AM473" s="324">
        <f>CHOOSE($D468,Параметры!AM$50,Параметры!AM$56,Параметры!AM$62)</f>
        <v>0.06</v>
      </c>
      <c r="AN473" s="324">
        <f>CHOOSE($D468,Параметры!AN$50,Параметры!AN$56,Параметры!AN$62)</f>
        <v>0.06</v>
      </c>
      <c r="AO473" s="324">
        <f>CHOOSE($D468,Параметры!AO$50,Параметры!AO$56,Параметры!AO$62)</f>
        <v>0.06</v>
      </c>
      <c r="AP473" s="324">
        <f>CHOOSE($D468,Параметры!AP$50,Параметры!AP$56,Параметры!AP$62)</f>
        <v>0.06</v>
      </c>
      <c r="AQ473" s="324">
        <f>CHOOSE($D468,Параметры!AQ$50,Параметры!AQ$56,Параметры!AQ$62)</f>
        <v>0.06</v>
      </c>
      <c r="AR473" s="324">
        <f>CHOOSE($D468,Параметры!AR$50,Параметры!AR$56,Параметры!AR$62)</f>
        <v>0.06</v>
      </c>
      <c r="AS473" s="324">
        <f>CHOOSE($D468,Параметры!AS$50,Параметры!AS$56,Параметры!AS$62)</f>
        <v>0.06</v>
      </c>
      <c r="AT473" s="324">
        <f>CHOOSE($D468,Параметры!AT$50,Параметры!AT$56,Параметры!AT$62)</f>
        <v>0.06</v>
      </c>
      <c r="AU473" s="324">
        <f>CHOOSE($D468,Параметры!AU$50,Параметры!AU$56,Параметры!AU$62)</f>
        <v>0.06</v>
      </c>
      <c r="AV473" s="324">
        <f>CHOOSE($D468,Параметры!AV$50,Параметры!AV$56,Параметры!AV$62)</f>
        <v>0.06</v>
      </c>
      <c r="AW473" s="192"/>
      <c r="AX473" s="184"/>
    </row>
    <row r="474" spans="1:50" outlineLevel="1" x14ac:dyDescent="0.2">
      <c r="A474" s="167" t="str">
        <f ca="1">Language!A$691</f>
        <v>коэффициент изменения цен</v>
      </c>
      <c r="B474" s="202"/>
      <c r="C474" s="103" t="str">
        <f ca="1">Language!$A$1449</f>
        <v>раз</v>
      </c>
      <c r="D474" s="153"/>
      <c r="F474" s="57" t="s">
        <v>756</v>
      </c>
      <c r="G474" s="193">
        <f ca="1">IF(G$2=1,1,IF(Prj_Inflation=1, (1+OFFSET(G473,0,-1))^(Параметры!G$30/360), 1))</f>
        <v>1</v>
      </c>
      <c r="H474" s="193">
        <f ca="1">IF(H$2=1,1,IF(Prj_Inflation=1, (1+OFFSET(H473,0,-1))^(Параметры!H$30/360), 1))</f>
        <v>1.0146738461686593</v>
      </c>
      <c r="I474" s="193">
        <f ca="1">IF(I$2=1,1,IF(Prj_Inflation=1, (1+OFFSET(I473,0,-1))^(Параметры!I$30/360), 1))</f>
        <v>1.0146738461686593</v>
      </c>
      <c r="J474" s="193">
        <f ca="1">IF(J$2=1,1,IF(Prj_Inflation=1, (1+OFFSET(J473,0,-1))^(Параметры!J$30/360), 1))</f>
        <v>1.0146738461686593</v>
      </c>
      <c r="K474" s="193">
        <f ca="1">IF(K$2=1,1,IF(Prj_Inflation=1, (1+OFFSET(K473,0,-1))^(Параметры!K$30/360), 1))</f>
        <v>1.0146738461686593</v>
      </c>
      <c r="L474" s="193">
        <f ca="1">IF(L$2=1,1,IF(Prj_Inflation=1, (1+OFFSET(L473,0,-1))^(Параметры!L$30/360), 1))</f>
        <v>1.0146738461686593</v>
      </c>
      <c r="M474" s="193">
        <f ca="1">IF(M$2=1,1,IF(Prj_Inflation=1, (1+OFFSET(M473,0,-1))^(Параметры!M$30/360), 1))</f>
        <v>1.0146738461686593</v>
      </c>
      <c r="N474" s="193">
        <f ca="1">IF(N$2=1,1,IF(Prj_Inflation=1, (1+OFFSET(N473,0,-1))^(Параметры!N$30/360), 1))</f>
        <v>1.0146738461686593</v>
      </c>
      <c r="O474" s="193">
        <f ca="1">IF(O$2=1,1,IF(Prj_Inflation=1, (1+OFFSET(O473,0,-1))^(Параметры!O$30/360), 1))</f>
        <v>1.0146738461686593</v>
      </c>
      <c r="P474" s="193">
        <f ca="1">IF(P$2=1,1,IF(Prj_Inflation=1, (1+OFFSET(P473,0,-1))^(Параметры!P$30/360), 1))</f>
        <v>1.0146738461686593</v>
      </c>
      <c r="Q474" s="193">
        <f ca="1">IF(Q$2=1,1,IF(Prj_Inflation=1, (1+OFFSET(Q473,0,-1))^(Параметры!Q$30/360), 1))</f>
        <v>1.0146738461686593</v>
      </c>
      <c r="R474" s="193">
        <f ca="1">IF(R$2=1,1,IF(Prj_Inflation=1, (1+OFFSET(R473,0,-1))^(Параметры!R$30/360), 1))</f>
        <v>1.0146738461686593</v>
      </c>
      <c r="S474" s="193">
        <f ca="1">IF(S$2=1,1,IF(Prj_Inflation=1, (1+OFFSET(S473,0,-1))^(Параметры!S$30/360), 1))</f>
        <v>1.0146738461686593</v>
      </c>
      <c r="T474" s="193">
        <f ca="1">IF(T$2=1,1,IF(Prj_Inflation=1, (1+OFFSET(T473,0,-1))^(Параметры!T$30/360), 1))</f>
        <v>1.0146738461686593</v>
      </c>
      <c r="U474" s="193">
        <f ca="1">IF(U$2=1,1,IF(Prj_Inflation=1, (1+OFFSET(U473,0,-1))^(Параметры!U$30/360), 1))</f>
        <v>1.0146738461686593</v>
      </c>
      <c r="V474" s="193">
        <f ca="1">IF(V$2=1,1,IF(Prj_Inflation=1, (1+OFFSET(V473,0,-1))^(Параметры!V$30/360), 1))</f>
        <v>1.0146738461686593</v>
      </c>
      <c r="W474" s="193">
        <f ca="1">IF(W$2=1,1,IF(Prj_Inflation=1, (1+OFFSET(W473,0,-1))^(Параметры!W$30/360), 1))</f>
        <v>1.0146738461686593</v>
      </c>
      <c r="X474" s="193">
        <f ca="1">IF(X$2=1,1,IF(Prj_Inflation=1, (1+OFFSET(X473,0,-1))^(Параметры!X$30/360), 1))</f>
        <v>1.0146738461686593</v>
      </c>
      <c r="Y474" s="193">
        <f ca="1">IF(Y$2=1,1,IF(Prj_Inflation=1, (1+OFFSET(Y473,0,-1))^(Параметры!Y$30/360), 1))</f>
        <v>1.0146738461686593</v>
      </c>
      <c r="Z474" s="193">
        <f ca="1">IF(Z$2=1,1,IF(Prj_Inflation=1, (1+OFFSET(Z473,0,-1))^(Параметры!Z$30/360), 1))</f>
        <v>1.0146738461686593</v>
      </c>
      <c r="AA474" s="193">
        <f ca="1">IF(AA$2=1,1,IF(Prj_Inflation=1, (1+OFFSET(AA473,0,-1))^(Параметры!AA$30/360), 1))</f>
        <v>1.0146738461686593</v>
      </c>
      <c r="AB474" s="193">
        <f ca="1">IF(AB$2=1,1,IF(Prj_Inflation=1, (1+OFFSET(AB473,0,-1))^(Параметры!AB$30/360), 1))</f>
        <v>1.0146738461686593</v>
      </c>
      <c r="AC474" s="193">
        <f ca="1">IF(AC$2=1,1,IF(Prj_Inflation=1, (1+OFFSET(AC473,0,-1))^(Параметры!AC$30/360), 1))</f>
        <v>1.0146738461686593</v>
      </c>
      <c r="AD474" s="193">
        <f ca="1">IF(AD$2=1,1,IF(Prj_Inflation=1, (1+OFFSET(AD473,0,-1))^(Параметры!AD$30/360), 1))</f>
        <v>1.0146738461686593</v>
      </c>
      <c r="AE474" s="193">
        <f ca="1">IF(AE$2=1,1,IF(Prj_Inflation=1, (1+OFFSET(AE473,0,-1))^(Параметры!AE$30/360), 1))</f>
        <v>1.0146738461686593</v>
      </c>
      <c r="AF474" s="193">
        <f ca="1">IF(AF$2=1,1,IF(Prj_Inflation=1, (1+OFFSET(AF473,0,-1))^(Параметры!AF$30/360), 1))</f>
        <v>1.0146738461686593</v>
      </c>
      <c r="AG474" s="193">
        <f ca="1">IF(AG$2=1,1,IF(Prj_Inflation=1, (1+OFFSET(AG473,0,-1))^(Параметры!AG$30/360), 1))</f>
        <v>1.0146738461686593</v>
      </c>
      <c r="AH474" s="193">
        <f ca="1">IF(AH$2=1,1,IF(Prj_Inflation=1, (1+OFFSET(AH473,0,-1))^(Параметры!AH$30/360), 1))</f>
        <v>1.0146738461686593</v>
      </c>
      <c r="AI474" s="193">
        <f ca="1">IF(AI$2=1,1,IF(Prj_Inflation=1, (1+OFFSET(AI473,0,-1))^(Параметры!AI$30/360), 1))</f>
        <v>1.0146738461686593</v>
      </c>
      <c r="AJ474" s="193">
        <f ca="1">IF(AJ$2=1,1,IF(Prj_Inflation=1, (1+OFFSET(AJ473,0,-1))^(Параметры!AJ$30/360), 1))</f>
        <v>1.0146738461686593</v>
      </c>
      <c r="AK474" s="193">
        <f ca="1">IF(AK$2=1,1,IF(Prj_Inflation=1, (1+OFFSET(AK473,0,-1))^(Параметры!AK$30/360), 1))</f>
        <v>1.0146738461686593</v>
      </c>
      <c r="AL474" s="193">
        <f ca="1">IF(AL$2=1,1,IF(Prj_Inflation=1, (1+OFFSET(AL473,0,-1))^(Параметры!AL$30/360), 1))</f>
        <v>1.0146738461686593</v>
      </c>
      <c r="AM474" s="193">
        <f ca="1">IF(AM$2=1,1,IF(Prj_Inflation=1, (1+OFFSET(AM473,0,-1))^(Параметры!AM$30/360), 1))</f>
        <v>1.0146738461686593</v>
      </c>
      <c r="AN474" s="193">
        <f ca="1">IF(AN$2=1,1,IF(Prj_Inflation=1, (1+OFFSET(AN473,0,-1))^(Параметры!AN$30/360), 1))</f>
        <v>1.0146738461686593</v>
      </c>
      <c r="AO474" s="193">
        <f ca="1">IF(AO$2=1,1,IF(Prj_Inflation=1, (1+OFFSET(AO473,0,-1))^(Параметры!AO$30/360), 1))</f>
        <v>1.0146738461686593</v>
      </c>
      <c r="AP474" s="193">
        <f ca="1">IF(AP$2=1,1,IF(Prj_Inflation=1, (1+OFFSET(AP473,0,-1))^(Параметры!AP$30/360), 1))</f>
        <v>1.0146738461686593</v>
      </c>
      <c r="AQ474" s="193">
        <f ca="1">IF(AQ$2=1,1,IF(Prj_Inflation=1, (1+OFFSET(AQ473,0,-1))^(Параметры!AQ$30/360), 1))</f>
        <v>1.0146738461686593</v>
      </c>
      <c r="AR474" s="193">
        <f ca="1">IF(AR$2=1,1,IF(Prj_Inflation=1, (1+OFFSET(AR473,0,-1))^(Параметры!AR$30/360), 1))</f>
        <v>1.0146738461686593</v>
      </c>
      <c r="AS474" s="193">
        <f ca="1">IF(AS$2=1,1,IF(Prj_Inflation=1, (1+OFFSET(AS473,0,-1))^(Параметры!AS$30/360), 1))</f>
        <v>1.0146738461686593</v>
      </c>
      <c r="AT474" s="193">
        <f ca="1">IF(AT$2=1,1,IF(Prj_Inflation=1, (1+OFFSET(AT473,0,-1))^(Параметры!AT$30/360), 1))</f>
        <v>1.0146738461686593</v>
      </c>
      <c r="AU474" s="193">
        <f ca="1">IF(AU$2=1,1,IF(Prj_Inflation=1, (1+OFFSET(AU473,0,-1))^(Параметры!AU$30/360), 1))</f>
        <v>1.0146738461686593</v>
      </c>
      <c r="AV474" s="193">
        <f ca="1">IF(AV$2=1,1,IF(Prj_Inflation=1, (1+OFFSET(AV473,0,-1))^(Параметры!AV$30/360), 1))</f>
        <v>1.0146738461686593</v>
      </c>
      <c r="AW474" s="193"/>
      <c r="AX474" s="182"/>
    </row>
    <row r="475" spans="1:50" x14ac:dyDescent="0.2">
      <c r="AW475" s="94"/>
    </row>
    <row r="476" spans="1:50" x14ac:dyDescent="0.2">
      <c r="A476" s="58" t="str">
        <f ca="1">Language!A$695</f>
        <v>Затраты на производственный персонал, с соц. взносами</v>
      </c>
      <c r="B476" s="204"/>
      <c r="C476" s="124" t="str">
        <f t="shared" ref="C476:C509" ca="1" si="2670">CurName1</f>
        <v>тыс. руб.</v>
      </c>
      <c r="D476" s="66">
        <v>1</v>
      </c>
      <c r="F476" s="57" t="s">
        <v>753</v>
      </c>
      <c r="G476" s="138">
        <f ca="1">G477+G478</f>
        <v>27846</v>
      </c>
      <c r="H476" s="138">
        <f t="shared" ref="H476:K476" ca="1" si="2671">H477+H478</f>
        <v>28254.607920412487</v>
      </c>
      <c r="I476" s="138">
        <f t="shared" ca="1" si="2671"/>
        <v>34403.054028710889</v>
      </c>
      <c r="J476" s="138">
        <f t="shared" ca="1" si="2671"/>
        <v>34907.879151260262</v>
      </c>
      <c r="K476" s="138">
        <f t="shared" ca="1" si="2671"/>
        <v>35420.112000000001</v>
      </c>
      <c r="L476" s="138">
        <f t="shared" ref="L476:M476" ca="1" si="2672">L477+L478</f>
        <v>35939.861274764684</v>
      </c>
      <c r="M476" s="138">
        <f t="shared" ca="1" si="2672"/>
        <v>40221.217577684045</v>
      </c>
      <c r="N476" s="138">
        <f t="shared" ref="N476:O476" ca="1" si="2673">N477+N478</f>
        <v>40811.417537135159</v>
      </c>
      <c r="O476" s="138">
        <f t="shared" ca="1" si="2673"/>
        <v>41410.278000000006</v>
      </c>
      <c r="P476" s="138">
        <f t="shared" ref="P476:Q476" ca="1" si="2674">P477+P478</f>
        <v>42017.926049173417</v>
      </c>
      <c r="Q476" s="138">
        <f t="shared" ca="1" si="2674"/>
        <v>42634.490632345092</v>
      </c>
      <c r="R476" s="138">
        <f t="shared" ref="R476:S476" ca="1" si="2675">R477+R478</f>
        <v>43260.102589363276</v>
      </c>
      <c r="S476" s="138">
        <f t="shared" ca="1" si="2675"/>
        <v>43894.894679999998</v>
      </c>
      <c r="T476" s="138">
        <f t="shared" ref="T476:U476" ca="1" si="2676">T477+T478</f>
        <v>44539.00161212383</v>
      </c>
      <c r="U476" s="138">
        <f t="shared" ca="1" si="2676"/>
        <v>45192.560070285806</v>
      </c>
      <c r="V476" s="138">
        <f t="shared" ref="V476:W476" ca="1" si="2677">V477+V478</f>
        <v>45855.708744725067</v>
      </c>
      <c r="W476" s="138">
        <f t="shared" ca="1" si="2677"/>
        <v>46528.588360800008</v>
      </c>
      <c r="X476" s="138">
        <f t="shared" ref="X476:Y476" ca="1" si="2678">X477+X478</f>
        <v>47211.341708851258</v>
      </c>
      <c r="Y476" s="138">
        <f t="shared" ca="1" si="2678"/>
        <v>47904.113674502951</v>
      </c>
      <c r="Z476" s="138">
        <f t="shared" ref="Z476:AA476" ca="1" si="2679">Z477+Z478</f>
        <v>48607.051269408577</v>
      </c>
      <c r="AA476" s="138">
        <f t="shared" ca="1" si="2679"/>
        <v>49320.303662448016</v>
      </c>
      <c r="AB476" s="138">
        <f t="shared" ref="AB476:AC476" ca="1" si="2680">AB477+AB478</f>
        <v>50044.02221138234</v>
      </c>
      <c r="AC476" s="138">
        <f t="shared" ca="1" si="2680"/>
        <v>50778.360494973138</v>
      </c>
      <c r="AD476" s="138">
        <f t="shared" ref="AD476:AE476" ca="1" si="2681">AD477+AD478</f>
        <v>51523.474345573093</v>
      </c>
      <c r="AE476" s="138">
        <f t="shared" ca="1" si="2681"/>
        <v>52279.521882194895</v>
      </c>
      <c r="AF476" s="138">
        <f t="shared" ref="AF476:AG476" ca="1" si="2682">AF477+AF478</f>
        <v>53046.66354406529</v>
      </c>
      <c r="AG476" s="138">
        <f t="shared" ca="1" si="2682"/>
        <v>53825.062124671524</v>
      </c>
      <c r="AH476" s="138">
        <f t="shared" ref="AH476:AI476" ca="1" si="2683">AH477+AH478</f>
        <v>54614.882806307491</v>
      </c>
      <c r="AI476" s="138">
        <f t="shared" ca="1" si="2683"/>
        <v>55416.2931951266</v>
      </c>
      <c r="AJ476" s="138">
        <f t="shared" ref="AJ476:AK476" ca="1" si="2684">AJ477+AJ478</f>
        <v>56229.46335670921</v>
      </c>
      <c r="AK476" s="138">
        <f t="shared" ca="1" si="2684"/>
        <v>57054.56585215182</v>
      </c>
      <c r="AL476" s="138">
        <f t="shared" ref="AL476:AM476" ca="1" si="2685">AL477+AL478</f>
        <v>57891.775774685942</v>
      </c>
      <c r="AM476" s="138">
        <f t="shared" ca="1" si="2685"/>
        <v>58741.270786834197</v>
      </c>
      <c r="AN476" s="138">
        <f t="shared" ref="AN476:AO476" ca="1" si="2686">AN477+AN478</f>
        <v>59603.231158111768</v>
      </c>
      <c r="AO476" s="138">
        <f t="shared" ca="1" si="2686"/>
        <v>60477.839803280935</v>
      </c>
      <c r="AP476" s="138">
        <f t="shared" ref="AP476:AQ476" ca="1" si="2687">AP477+AP478</f>
        <v>61365.282321167098</v>
      </c>
      <c r="AQ476" s="138">
        <f t="shared" ca="1" si="2687"/>
        <v>62265.747034044252</v>
      </c>
      <c r="AR476" s="138">
        <f t="shared" ref="AR476:AS476" ca="1" si="2688">AR477+AR478</f>
        <v>63179.425027598474</v>
      </c>
      <c r="AS476" s="138">
        <f t="shared" ca="1" si="2688"/>
        <v>64106.510191477806</v>
      </c>
      <c r="AT476" s="138">
        <f t="shared" ref="AT476:AU476" ca="1" si="2689">AT477+AT478</f>
        <v>65047.199260437133</v>
      </c>
      <c r="AU476" s="138">
        <f t="shared" ca="1" si="2689"/>
        <v>66001.691856086924</v>
      </c>
      <c r="AV476" s="138">
        <f t="shared" ref="AV476" ca="1" si="2690">AV477+AV478</f>
        <v>66970.190529254382</v>
      </c>
      <c r="AW476" s="148"/>
      <c r="AX476" s="142">
        <f ca="1">SUM(G476:AW476)</f>
        <v>2086642.984100129</v>
      </c>
    </row>
    <row r="477" spans="1:50" outlineLevel="1" x14ac:dyDescent="0.2">
      <c r="A477" s="172" t="str">
        <f ca="1">Language!A$696</f>
        <v>заработная плата</v>
      </c>
      <c r="B477" s="204"/>
      <c r="C477" s="124" t="str">
        <f t="shared" ca="1" si="2670"/>
        <v>тыс. руб.</v>
      </c>
      <c r="D477" s="66">
        <v>1</v>
      </c>
      <c r="F477" s="57" t="s">
        <v>1109</v>
      </c>
      <c r="G477" s="138">
        <f t="shared" ref="G477:AV477" ca="1" si="2691">SUM(G$471)</f>
        <v>21420</v>
      </c>
      <c r="H477" s="138">
        <f t="shared" ca="1" si="2691"/>
        <v>21734.313784932681</v>
      </c>
      <c r="I477" s="138">
        <f t="shared" ca="1" si="2691"/>
        <v>26463.887714392993</v>
      </c>
      <c r="J477" s="138">
        <f t="shared" ca="1" si="2691"/>
        <v>26852.214731738663</v>
      </c>
      <c r="K477" s="138">
        <f t="shared" ca="1" si="2691"/>
        <v>27246.239999999998</v>
      </c>
      <c r="L477" s="138">
        <f t="shared" ca="1" si="2691"/>
        <v>27646.047134434371</v>
      </c>
      <c r="M477" s="138">
        <f t="shared" ca="1" si="2691"/>
        <v>30939.398136680036</v>
      </c>
      <c r="N477" s="138">
        <f t="shared" ca="1" si="2691"/>
        <v>31393.398105488581</v>
      </c>
      <c r="O477" s="138">
        <f t="shared" ca="1" si="2691"/>
        <v>31854.06</v>
      </c>
      <c r="P477" s="138">
        <f t="shared" ca="1" si="2691"/>
        <v>32321.481576287246</v>
      </c>
      <c r="Q477" s="138">
        <f t="shared" ca="1" si="2691"/>
        <v>32795.762024880838</v>
      </c>
      <c r="R477" s="138">
        <f t="shared" ca="1" si="2691"/>
        <v>33277.001991817902</v>
      </c>
      <c r="S477" s="138">
        <f t="shared" ca="1" si="2691"/>
        <v>33765.303599999999</v>
      </c>
      <c r="T477" s="138">
        <f t="shared" ca="1" si="2691"/>
        <v>34260.770470864481</v>
      </c>
      <c r="U477" s="138">
        <f t="shared" ca="1" si="2691"/>
        <v>34763.507746373696</v>
      </c>
      <c r="V477" s="138">
        <f t="shared" ca="1" si="2691"/>
        <v>35273.622111326971</v>
      </c>
      <c r="W477" s="138">
        <f t="shared" ca="1" si="2691"/>
        <v>35791.221816000005</v>
      </c>
      <c r="X477" s="138">
        <f t="shared" ca="1" si="2691"/>
        <v>36316.416699116351</v>
      </c>
      <c r="Y477" s="138">
        <f t="shared" ca="1" si="2691"/>
        <v>36849.318211156118</v>
      </c>
      <c r="Z477" s="138">
        <f t="shared" ca="1" si="2691"/>
        <v>37390.039438006599</v>
      </c>
      <c r="AA477" s="138">
        <f t="shared" ca="1" si="2691"/>
        <v>37938.69512496001</v>
      </c>
      <c r="AB477" s="138">
        <f t="shared" ca="1" si="2691"/>
        <v>38495.40170106334</v>
      </c>
      <c r="AC477" s="138">
        <f t="shared" ca="1" si="2691"/>
        <v>39060.277303825489</v>
      </c>
      <c r="AD477" s="138">
        <f t="shared" ca="1" si="2691"/>
        <v>39633.441804286995</v>
      </c>
      <c r="AE477" s="138">
        <f t="shared" ca="1" si="2691"/>
        <v>40215.016832457608</v>
      </c>
      <c r="AF477" s="138">
        <f t="shared" ca="1" si="2691"/>
        <v>40805.125803127143</v>
      </c>
      <c r="AG477" s="138">
        <f t="shared" ca="1" si="2691"/>
        <v>41403.893942055016</v>
      </c>
      <c r="AH477" s="138">
        <f t="shared" ca="1" si="2691"/>
        <v>42011.44831254422</v>
      </c>
      <c r="AI477" s="138">
        <f t="shared" ca="1" si="2691"/>
        <v>42627.917842405077</v>
      </c>
      <c r="AJ477" s="138">
        <f t="shared" ca="1" si="2691"/>
        <v>43253.433351314772</v>
      </c>
      <c r="AK477" s="138">
        <f t="shared" ca="1" si="2691"/>
        <v>43888.127578578322</v>
      </c>
      <c r="AL477" s="138">
        <f t="shared" ca="1" si="2691"/>
        <v>44532.135211296874</v>
      </c>
      <c r="AM477" s="138">
        <f t="shared" ca="1" si="2691"/>
        <v>45185.592912949382</v>
      </c>
      <c r="AN477" s="138">
        <f t="shared" ca="1" si="2691"/>
        <v>45848.639352393664</v>
      </c>
      <c r="AO477" s="138">
        <f t="shared" ca="1" si="2691"/>
        <v>46521.415233293024</v>
      </c>
      <c r="AP477" s="138">
        <f t="shared" ca="1" si="2691"/>
        <v>47204.063323974689</v>
      </c>
      <c r="AQ477" s="138">
        <f t="shared" ca="1" si="2691"/>
        <v>47896.728487726345</v>
      </c>
      <c r="AR477" s="138">
        <f t="shared" ca="1" si="2691"/>
        <v>48599.557713537288</v>
      </c>
      <c r="AS477" s="138">
        <f t="shared" ca="1" si="2691"/>
        <v>49312.700147290619</v>
      </c>
      <c r="AT477" s="138">
        <f t="shared" ca="1" si="2691"/>
        <v>50036.307123413178</v>
      </c>
      <c r="AU477" s="138">
        <f t="shared" ca="1" si="2691"/>
        <v>50770.532196989938</v>
      </c>
      <c r="AV477" s="138">
        <f t="shared" ca="1" si="2691"/>
        <v>51515.531176349527</v>
      </c>
      <c r="AW477" s="148"/>
      <c r="AX477" s="142">
        <f ca="1">SUM(G477:AW477)</f>
        <v>1605109.9877693302</v>
      </c>
    </row>
    <row r="478" spans="1:50" outlineLevel="1" x14ac:dyDescent="0.2">
      <c r="A478" s="172" t="str">
        <f ca="1">Language!A$697</f>
        <v>социальные взносы</v>
      </c>
      <c r="B478" s="205"/>
      <c r="C478" s="124" t="str">
        <f t="shared" ca="1" si="2670"/>
        <v>тыс. руб.</v>
      </c>
      <c r="D478" s="66">
        <v>1</v>
      </c>
      <c r="F478" s="57" t="s">
        <v>1453</v>
      </c>
      <c r="G478" s="138">
        <f t="shared" ref="G478:AV478" ca="1" si="2692">SUM(G$472)</f>
        <v>6426.0000000000009</v>
      </c>
      <c r="H478" s="138">
        <f t="shared" ca="1" si="2692"/>
        <v>6520.2941354798049</v>
      </c>
      <c r="I478" s="138">
        <f t="shared" ca="1" si="2692"/>
        <v>7939.1663143178994</v>
      </c>
      <c r="J478" s="138">
        <f t="shared" ca="1" si="2692"/>
        <v>8055.6644195216004</v>
      </c>
      <c r="K478" s="138">
        <f t="shared" ca="1" si="2692"/>
        <v>8173.8720000000003</v>
      </c>
      <c r="L478" s="138">
        <f t="shared" ca="1" si="2692"/>
        <v>8293.8141403303125</v>
      </c>
      <c r="M478" s="138">
        <f t="shared" ca="1" si="2692"/>
        <v>9281.8194410040123</v>
      </c>
      <c r="N478" s="138">
        <f t="shared" ca="1" si="2692"/>
        <v>9418.019431646575</v>
      </c>
      <c r="O478" s="138">
        <f t="shared" ca="1" si="2692"/>
        <v>9556.2180000000026</v>
      </c>
      <c r="P478" s="138">
        <f t="shared" ca="1" si="2692"/>
        <v>9696.4444728861745</v>
      </c>
      <c r="Q478" s="138">
        <f t="shared" ca="1" si="2692"/>
        <v>9838.7286074642525</v>
      </c>
      <c r="R478" s="138">
        <f t="shared" ca="1" si="2692"/>
        <v>9983.1005975453718</v>
      </c>
      <c r="S478" s="138">
        <f t="shared" ca="1" si="2692"/>
        <v>10129.591080000002</v>
      </c>
      <c r="T478" s="138">
        <f t="shared" ca="1" si="2692"/>
        <v>10278.231141259346</v>
      </c>
      <c r="U478" s="138">
        <f t="shared" ca="1" si="2692"/>
        <v>10429.05232391211</v>
      </c>
      <c r="V478" s="138">
        <f t="shared" ca="1" si="2692"/>
        <v>10582.086633398092</v>
      </c>
      <c r="W478" s="138">
        <f t="shared" ca="1" si="2692"/>
        <v>10737.366544800003</v>
      </c>
      <c r="X478" s="138">
        <f t="shared" ca="1" si="2692"/>
        <v>10894.925009734907</v>
      </c>
      <c r="Y478" s="138">
        <f t="shared" ca="1" si="2692"/>
        <v>11054.795463346836</v>
      </c>
      <c r="Z478" s="138">
        <f t="shared" ca="1" si="2692"/>
        <v>11217.011831401982</v>
      </c>
      <c r="AA478" s="138">
        <f t="shared" ca="1" si="2692"/>
        <v>11381.608537488004</v>
      </c>
      <c r="AB478" s="138">
        <f t="shared" ca="1" si="2692"/>
        <v>11548.620510319004</v>
      </c>
      <c r="AC478" s="138">
        <f t="shared" ca="1" si="2692"/>
        <v>11718.083191147649</v>
      </c>
      <c r="AD478" s="138">
        <f t="shared" ca="1" si="2692"/>
        <v>11890.0325412861</v>
      </c>
      <c r="AE478" s="138">
        <f t="shared" ca="1" si="2692"/>
        <v>12064.505049737285</v>
      </c>
      <c r="AF478" s="138">
        <f t="shared" ca="1" si="2692"/>
        <v>12241.537740938145</v>
      </c>
      <c r="AG478" s="138">
        <f t="shared" ca="1" si="2692"/>
        <v>12421.168182616506</v>
      </c>
      <c r="AH478" s="138">
        <f t="shared" ca="1" si="2692"/>
        <v>12603.434493763269</v>
      </c>
      <c r="AI478" s="138">
        <f t="shared" ca="1" si="2692"/>
        <v>12788.375352721525</v>
      </c>
      <c r="AJ478" s="138">
        <f t="shared" ca="1" si="2692"/>
        <v>12976.030005394434</v>
      </c>
      <c r="AK478" s="138">
        <f t="shared" ca="1" si="2692"/>
        <v>13166.438273573498</v>
      </c>
      <c r="AL478" s="138">
        <f t="shared" ca="1" si="2692"/>
        <v>13359.640563389064</v>
      </c>
      <c r="AM478" s="138">
        <f t="shared" ca="1" si="2692"/>
        <v>13555.677873884817</v>
      </c>
      <c r="AN478" s="138">
        <f t="shared" ca="1" si="2692"/>
        <v>13754.591805718101</v>
      </c>
      <c r="AO478" s="138">
        <f t="shared" ca="1" si="2692"/>
        <v>13956.42456998791</v>
      </c>
      <c r="AP478" s="138">
        <f t="shared" ca="1" si="2692"/>
        <v>14161.218997192409</v>
      </c>
      <c r="AQ478" s="138">
        <f t="shared" ca="1" si="2692"/>
        <v>14369.018546317906</v>
      </c>
      <c r="AR478" s="138">
        <f t="shared" ca="1" si="2692"/>
        <v>14579.867314061188</v>
      </c>
      <c r="AS478" s="138">
        <f t="shared" ca="1" si="2692"/>
        <v>14793.810044187188</v>
      </c>
      <c r="AT478" s="138">
        <f t="shared" ca="1" si="2692"/>
        <v>15010.892137023955</v>
      </c>
      <c r="AU478" s="138">
        <f t="shared" ca="1" si="2692"/>
        <v>15231.159659096984</v>
      </c>
      <c r="AV478" s="138">
        <f t="shared" ca="1" si="2692"/>
        <v>15454.65935290486</v>
      </c>
      <c r="AW478" s="148"/>
      <c r="AX478" s="142">
        <f ca="1">SUM(G478:AW478)</f>
        <v>481532.99633079901</v>
      </c>
    </row>
    <row r="479" spans="1:50" outlineLevel="1" x14ac:dyDescent="0.2">
      <c r="A479" s="172" t="str">
        <f ca="1">Language!A$699</f>
        <v>затраты в запасах готовой продукции</v>
      </c>
      <c r="B479" s="195"/>
      <c r="C479" s="124" t="str">
        <f t="shared" ca="1" si="2670"/>
        <v>тыс. руб.</v>
      </c>
      <c r="D479" s="66"/>
      <c r="F479" s="57" t="s">
        <v>754</v>
      </c>
      <c r="G479" s="311">
        <f ca="1">IF(AND($B480=0,G$2&gt;1),F479,G476*$B480/Параметры!G$30)</f>
        <v>0</v>
      </c>
      <c r="H479" s="311">
        <f ca="1">IF(AND($B480=0,H$2&gt;1),G479,H476*$B480/Параметры!H$30)</f>
        <v>0</v>
      </c>
      <c r="I479" s="311">
        <f ca="1">IF(AND($B480=0,I$2&gt;1),H479,I476*$B480/Параметры!I$30)</f>
        <v>0</v>
      </c>
      <c r="J479" s="311">
        <f ca="1">IF(AND($B480=0,J$2&gt;1),I479,J476*$B480/Параметры!J$30)</f>
        <v>0</v>
      </c>
      <c r="K479" s="311">
        <f ca="1">IF(AND($B480=0,K$2&gt;1),J479,K476*$B480/Параметры!K$30)</f>
        <v>0</v>
      </c>
      <c r="L479" s="311">
        <f ca="1">IF(AND($B480=0,L$2&gt;1),K479,L476*$B480/Параметры!L$30)</f>
        <v>0</v>
      </c>
      <c r="M479" s="311">
        <f ca="1">IF(AND($B480=0,M$2&gt;1),L479,M476*$B480/Параметры!M$30)</f>
        <v>0</v>
      </c>
      <c r="N479" s="311">
        <f ca="1">IF(AND($B480=0,N$2&gt;1),M479,N476*$B480/Параметры!N$30)</f>
        <v>0</v>
      </c>
      <c r="O479" s="311">
        <f ca="1">IF(AND($B480=0,O$2&gt;1),N479,O476*$B480/Параметры!O$30)</f>
        <v>0</v>
      </c>
      <c r="P479" s="311">
        <f ca="1">IF(AND($B480=0,P$2&gt;1),O479,P476*$B480/Параметры!P$30)</f>
        <v>0</v>
      </c>
      <c r="Q479" s="311">
        <f ca="1">IF(AND($B480=0,Q$2&gt;1),P479,Q476*$B480/Параметры!Q$30)</f>
        <v>0</v>
      </c>
      <c r="R479" s="311">
        <f ca="1">IF(AND($B480=0,R$2&gt;1),Q479,R476*$B480/Параметры!R$30)</f>
        <v>0</v>
      </c>
      <c r="S479" s="311">
        <f ca="1">IF(AND($B480=0,S$2&gt;1),R479,S476*$B480/Параметры!S$30)</f>
        <v>0</v>
      </c>
      <c r="T479" s="311">
        <f ca="1">IF(AND($B480=0,T$2&gt;1),S479,T476*$B480/Параметры!T$30)</f>
        <v>0</v>
      </c>
      <c r="U479" s="311">
        <f ca="1">IF(AND($B480=0,U$2&gt;1),T479,U476*$B480/Параметры!U$30)</f>
        <v>0</v>
      </c>
      <c r="V479" s="311">
        <f ca="1">IF(AND($B480=0,V$2&gt;1),U479,V476*$B480/Параметры!V$30)</f>
        <v>0</v>
      </c>
      <c r="W479" s="311">
        <f ca="1">IF(AND($B480=0,W$2&gt;1),V479,W476*$B480/Параметры!W$30)</f>
        <v>0</v>
      </c>
      <c r="X479" s="311">
        <f ca="1">IF(AND($B480=0,X$2&gt;1),W479,X476*$B480/Параметры!X$30)</f>
        <v>0</v>
      </c>
      <c r="Y479" s="311">
        <f ca="1">IF(AND($B480=0,Y$2&gt;1),X479,Y476*$B480/Параметры!Y$30)</f>
        <v>0</v>
      </c>
      <c r="Z479" s="311">
        <f ca="1">IF(AND($B480=0,Z$2&gt;1),Y479,Z476*$B480/Параметры!Z$30)</f>
        <v>0</v>
      </c>
      <c r="AA479" s="311">
        <f ca="1">IF(AND($B480=0,AA$2&gt;1),Z479,AA476*$B480/Параметры!AA$30)</f>
        <v>0</v>
      </c>
      <c r="AB479" s="311">
        <f ca="1">IF(AND($B480=0,AB$2&gt;1),AA479,AB476*$B480/Параметры!AB$30)</f>
        <v>0</v>
      </c>
      <c r="AC479" s="311">
        <f ca="1">IF(AND($B480=0,AC$2&gt;1),AB479,AC476*$B480/Параметры!AC$30)</f>
        <v>0</v>
      </c>
      <c r="AD479" s="311">
        <f ca="1">IF(AND($B480=0,AD$2&gt;1),AC479,AD476*$B480/Параметры!AD$30)</f>
        <v>0</v>
      </c>
      <c r="AE479" s="311">
        <f ca="1">IF(AND($B480=0,AE$2&gt;1),AD479,AE476*$B480/Параметры!AE$30)</f>
        <v>0</v>
      </c>
      <c r="AF479" s="311">
        <f ca="1">IF(AND($B480=0,AF$2&gt;1),AE479,AF476*$B480/Параметры!AF$30)</f>
        <v>0</v>
      </c>
      <c r="AG479" s="311">
        <f ca="1">IF(AND($B480=0,AG$2&gt;1),AF479,AG476*$B480/Параметры!AG$30)</f>
        <v>0</v>
      </c>
      <c r="AH479" s="311">
        <f ca="1">IF(AND($B480=0,AH$2&gt;1),AG479,AH476*$B480/Параметры!AH$30)</f>
        <v>0</v>
      </c>
      <c r="AI479" s="311">
        <f ca="1">IF(AND($B480=0,AI$2&gt;1),AH479,AI476*$B480/Параметры!AI$30)</f>
        <v>0</v>
      </c>
      <c r="AJ479" s="311">
        <f ca="1">IF(AND($B480=0,AJ$2&gt;1),AI479,AJ476*$B480/Параметры!AJ$30)</f>
        <v>0</v>
      </c>
      <c r="AK479" s="311">
        <f ca="1">IF(AND($B480=0,AK$2&gt;1),AJ479,AK476*$B480/Параметры!AK$30)</f>
        <v>0</v>
      </c>
      <c r="AL479" s="311">
        <f ca="1">IF(AND($B480=0,AL$2&gt;1),AK479,AL476*$B480/Параметры!AL$30)</f>
        <v>0</v>
      </c>
      <c r="AM479" s="311">
        <f ca="1">IF(AND($B480=0,AM$2&gt;1),AL479,AM476*$B480/Параметры!AM$30)</f>
        <v>0</v>
      </c>
      <c r="AN479" s="311">
        <f ca="1">IF(AND($B480=0,AN$2&gt;1),AM479,AN476*$B480/Параметры!AN$30)</f>
        <v>0</v>
      </c>
      <c r="AO479" s="311">
        <f ca="1">IF(AND($B480=0,AO$2&gt;1),AN479,AO476*$B480/Параметры!AO$30)</f>
        <v>0</v>
      </c>
      <c r="AP479" s="311">
        <f ca="1">IF(AND($B480=0,AP$2&gt;1),AO479,AP476*$B480/Параметры!AP$30)</f>
        <v>0</v>
      </c>
      <c r="AQ479" s="311">
        <f ca="1">IF(AND($B480=0,AQ$2&gt;1),AP479,AQ476*$B480/Параметры!AQ$30)</f>
        <v>0</v>
      </c>
      <c r="AR479" s="311">
        <f ca="1">IF(AND($B480=0,AR$2&gt;1),AQ479,AR476*$B480/Параметры!AR$30)</f>
        <v>0</v>
      </c>
      <c r="AS479" s="311">
        <f ca="1">IF(AND($B480=0,AS$2&gt;1),AR479,AS476*$B480/Параметры!AS$30)</f>
        <v>0</v>
      </c>
      <c r="AT479" s="311">
        <f ca="1">IF(AND($B480=0,AT$2&gt;1),AS479,AT476*$B480/Параметры!AT$30)</f>
        <v>0</v>
      </c>
      <c r="AU479" s="311">
        <f ca="1">IF(AND($B480=0,AU$2&gt;1),AT479,AU476*$B480/Параметры!AU$30)</f>
        <v>0</v>
      </c>
      <c r="AV479" s="311">
        <f ca="1">IF(AND($B480=0,AV$2&gt;1),AU479,AV476*$B480/Параметры!AV$30)</f>
        <v>0</v>
      </c>
      <c r="AW479" s="148"/>
      <c r="AX479" s="171"/>
    </row>
    <row r="480" spans="1:50" outlineLevel="1" x14ac:dyDescent="0.2">
      <c r="A480" s="206" t="str">
        <f ca="1">Language!A$698</f>
        <v>периодичность отгрузки</v>
      </c>
      <c r="B480" s="313">
        <v>0</v>
      </c>
      <c r="C480" s="124" t="str">
        <f ca="1">Language!$A$1446</f>
        <v>дней</v>
      </c>
      <c r="D480" s="66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71"/>
    </row>
    <row r="481" spans="1:50" outlineLevel="1" x14ac:dyDescent="0.2">
      <c r="A481" s="172" t="str">
        <f ca="1">Language!A$701</f>
        <v>затраты в незавершенном производстве</v>
      </c>
      <c r="B481" s="195"/>
      <c r="C481" s="124" t="str">
        <f t="shared" ca="1" si="2670"/>
        <v>тыс. руб.</v>
      </c>
      <c r="D481" s="66"/>
      <c r="F481" s="57" t="s">
        <v>754</v>
      </c>
      <c r="G481" s="311">
        <f ca="1">IF(AND($B482=0,G$2&gt;1),F481,G476*$B482/Параметры!G$30)</f>
        <v>0</v>
      </c>
      <c r="H481" s="311">
        <f ca="1">IF(AND($B482=0,H$2&gt;1),G481,H476*$B482/Параметры!H$30)</f>
        <v>0</v>
      </c>
      <c r="I481" s="311">
        <f ca="1">IF(AND($B482=0,I$2&gt;1),H481,I476*$B482/Параметры!I$30)</f>
        <v>0</v>
      </c>
      <c r="J481" s="311">
        <f ca="1">IF(AND($B482=0,J$2&gt;1),I481,J476*$B482/Параметры!J$30)</f>
        <v>0</v>
      </c>
      <c r="K481" s="311">
        <f ca="1">IF(AND($B482=0,K$2&gt;1),J481,K476*$B482/Параметры!K$30)</f>
        <v>0</v>
      </c>
      <c r="L481" s="311">
        <f ca="1">IF(AND($B482=0,L$2&gt;1),K481,L476*$B482/Параметры!L$30)</f>
        <v>0</v>
      </c>
      <c r="M481" s="311">
        <f ca="1">IF(AND($B482=0,M$2&gt;1),L481,M476*$B482/Параметры!M$30)</f>
        <v>0</v>
      </c>
      <c r="N481" s="311">
        <f ca="1">IF(AND($B482=0,N$2&gt;1),M481,N476*$B482/Параметры!N$30)</f>
        <v>0</v>
      </c>
      <c r="O481" s="311">
        <f ca="1">IF(AND($B482=0,O$2&gt;1),N481,O476*$B482/Параметры!O$30)</f>
        <v>0</v>
      </c>
      <c r="P481" s="311">
        <f ca="1">IF(AND($B482=0,P$2&gt;1),O481,P476*$B482/Параметры!P$30)</f>
        <v>0</v>
      </c>
      <c r="Q481" s="311">
        <f ca="1">IF(AND($B482=0,Q$2&gt;1),P481,Q476*$B482/Параметры!Q$30)</f>
        <v>0</v>
      </c>
      <c r="R481" s="311">
        <f ca="1">IF(AND($B482=0,R$2&gt;1),Q481,R476*$B482/Параметры!R$30)</f>
        <v>0</v>
      </c>
      <c r="S481" s="311">
        <f ca="1">IF(AND($B482=0,S$2&gt;1),R481,S476*$B482/Параметры!S$30)</f>
        <v>0</v>
      </c>
      <c r="T481" s="311">
        <f ca="1">IF(AND($B482=0,T$2&gt;1),S481,T476*$B482/Параметры!T$30)</f>
        <v>0</v>
      </c>
      <c r="U481" s="311">
        <f ca="1">IF(AND($B482=0,U$2&gt;1),T481,U476*$B482/Параметры!U$30)</f>
        <v>0</v>
      </c>
      <c r="V481" s="311">
        <f ca="1">IF(AND($B482=0,V$2&gt;1),U481,V476*$B482/Параметры!V$30)</f>
        <v>0</v>
      </c>
      <c r="W481" s="311">
        <f ca="1">IF(AND($B482=0,W$2&gt;1),V481,W476*$B482/Параметры!W$30)</f>
        <v>0</v>
      </c>
      <c r="X481" s="311">
        <f ca="1">IF(AND($B482=0,X$2&gt;1),W481,X476*$B482/Параметры!X$30)</f>
        <v>0</v>
      </c>
      <c r="Y481" s="311">
        <f ca="1">IF(AND($B482=0,Y$2&gt;1),X481,Y476*$B482/Параметры!Y$30)</f>
        <v>0</v>
      </c>
      <c r="Z481" s="311">
        <f ca="1">IF(AND($B482=0,Z$2&gt;1),Y481,Z476*$B482/Параметры!Z$30)</f>
        <v>0</v>
      </c>
      <c r="AA481" s="311">
        <f ca="1">IF(AND($B482=0,AA$2&gt;1),Z481,AA476*$B482/Параметры!AA$30)</f>
        <v>0</v>
      </c>
      <c r="AB481" s="311">
        <f ca="1">IF(AND($B482=0,AB$2&gt;1),AA481,AB476*$B482/Параметры!AB$30)</f>
        <v>0</v>
      </c>
      <c r="AC481" s="311">
        <f ca="1">IF(AND($B482=0,AC$2&gt;1),AB481,AC476*$B482/Параметры!AC$30)</f>
        <v>0</v>
      </c>
      <c r="AD481" s="311">
        <f ca="1">IF(AND($B482=0,AD$2&gt;1),AC481,AD476*$B482/Параметры!AD$30)</f>
        <v>0</v>
      </c>
      <c r="AE481" s="311">
        <f ca="1">IF(AND($B482=0,AE$2&gt;1),AD481,AE476*$B482/Параметры!AE$30)</f>
        <v>0</v>
      </c>
      <c r="AF481" s="311">
        <f ca="1">IF(AND($B482=0,AF$2&gt;1),AE481,AF476*$B482/Параметры!AF$30)</f>
        <v>0</v>
      </c>
      <c r="AG481" s="311">
        <f ca="1">IF(AND($B482=0,AG$2&gt;1),AF481,AG476*$B482/Параметры!AG$30)</f>
        <v>0</v>
      </c>
      <c r="AH481" s="311">
        <f ca="1">IF(AND($B482=0,AH$2&gt;1),AG481,AH476*$B482/Параметры!AH$30)</f>
        <v>0</v>
      </c>
      <c r="AI481" s="311">
        <f ca="1">IF(AND($B482=0,AI$2&gt;1),AH481,AI476*$B482/Параметры!AI$30)</f>
        <v>0</v>
      </c>
      <c r="AJ481" s="311">
        <f ca="1">IF(AND($B482=0,AJ$2&gt;1),AI481,AJ476*$B482/Параметры!AJ$30)</f>
        <v>0</v>
      </c>
      <c r="AK481" s="311">
        <f ca="1">IF(AND($B482=0,AK$2&gt;1),AJ481,AK476*$B482/Параметры!AK$30)</f>
        <v>0</v>
      </c>
      <c r="AL481" s="311">
        <f ca="1">IF(AND($B482=0,AL$2&gt;1),AK481,AL476*$B482/Параметры!AL$30)</f>
        <v>0</v>
      </c>
      <c r="AM481" s="311">
        <f ca="1">IF(AND($B482=0,AM$2&gt;1),AL481,AM476*$B482/Параметры!AM$30)</f>
        <v>0</v>
      </c>
      <c r="AN481" s="311">
        <f ca="1">IF(AND($B482=0,AN$2&gt;1),AM481,AN476*$B482/Параметры!AN$30)</f>
        <v>0</v>
      </c>
      <c r="AO481" s="311">
        <f ca="1">IF(AND($B482=0,AO$2&gt;1),AN481,AO476*$B482/Параметры!AO$30)</f>
        <v>0</v>
      </c>
      <c r="AP481" s="311">
        <f ca="1">IF(AND($B482=0,AP$2&gt;1),AO481,AP476*$B482/Параметры!AP$30)</f>
        <v>0</v>
      </c>
      <c r="AQ481" s="311">
        <f ca="1">IF(AND($B482=0,AQ$2&gt;1),AP481,AQ476*$B482/Параметры!AQ$30)</f>
        <v>0</v>
      </c>
      <c r="AR481" s="311">
        <f ca="1">IF(AND($B482=0,AR$2&gt;1),AQ481,AR476*$B482/Параметры!AR$30)</f>
        <v>0</v>
      </c>
      <c r="AS481" s="311">
        <f ca="1">IF(AND($B482=0,AS$2&gt;1),AR481,AS476*$B482/Параметры!AS$30)</f>
        <v>0</v>
      </c>
      <c r="AT481" s="311">
        <f ca="1">IF(AND($B482=0,AT$2&gt;1),AS481,AT476*$B482/Параметры!AT$30)</f>
        <v>0</v>
      </c>
      <c r="AU481" s="311">
        <f ca="1">IF(AND($B482=0,AU$2&gt;1),AT481,AU476*$B482/Параметры!AU$30)</f>
        <v>0</v>
      </c>
      <c r="AV481" s="311">
        <f ca="1">IF(AND($B482=0,AV$2&gt;1),AU481,AV476*$B482/Параметры!AV$30)</f>
        <v>0</v>
      </c>
      <c r="AW481" s="148"/>
      <c r="AX481" s="171"/>
    </row>
    <row r="482" spans="1:50" outlineLevel="1" x14ac:dyDescent="0.2">
      <c r="A482" s="206" t="str">
        <f ca="1">Language!A$700</f>
        <v>длительность производственного цикла</v>
      </c>
      <c r="B482" s="313">
        <v>0</v>
      </c>
      <c r="C482" s="124" t="str">
        <f ca="1">Language!$A$1446</f>
        <v>дней</v>
      </c>
      <c r="D482" s="66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71"/>
    </row>
    <row r="483" spans="1:50" outlineLevel="1" x14ac:dyDescent="0.2">
      <c r="A483" s="172" t="str">
        <f ca="1">Language!A$702</f>
        <v>списано на продажи в отчете о прибылях и убытках</v>
      </c>
      <c r="B483" s="195"/>
      <c r="C483" s="124" t="str">
        <f t="shared" ca="1" si="2670"/>
        <v>тыс. руб.</v>
      </c>
      <c r="D483" s="66"/>
      <c r="F483" s="57" t="s">
        <v>753</v>
      </c>
      <c r="G483" s="45">
        <f t="shared" ref="G483:AV483" ca="1" si="2693">G476-IF(G$2=1, G479+G481, G479+G481-F479-F481)</f>
        <v>27846</v>
      </c>
      <c r="H483" s="45">
        <f t="shared" ca="1" si="2693"/>
        <v>28254.607920412487</v>
      </c>
      <c r="I483" s="45">
        <f t="shared" ca="1" si="2693"/>
        <v>34403.054028710889</v>
      </c>
      <c r="J483" s="45">
        <f t="shared" ca="1" si="2693"/>
        <v>34907.879151260262</v>
      </c>
      <c r="K483" s="45">
        <f t="shared" ca="1" si="2693"/>
        <v>35420.112000000001</v>
      </c>
      <c r="L483" s="45">
        <f t="shared" ca="1" si="2693"/>
        <v>35939.861274764684</v>
      </c>
      <c r="M483" s="45">
        <f t="shared" ca="1" si="2693"/>
        <v>40221.217577684045</v>
      </c>
      <c r="N483" s="45">
        <f t="shared" ca="1" si="2693"/>
        <v>40811.417537135159</v>
      </c>
      <c r="O483" s="45">
        <f t="shared" ca="1" si="2693"/>
        <v>41410.278000000006</v>
      </c>
      <c r="P483" s="45">
        <f t="shared" ca="1" si="2693"/>
        <v>42017.926049173417</v>
      </c>
      <c r="Q483" s="45">
        <f t="shared" ca="1" si="2693"/>
        <v>42634.490632345092</v>
      </c>
      <c r="R483" s="45">
        <f t="shared" ca="1" si="2693"/>
        <v>43260.102589363276</v>
      </c>
      <c r="S483" s="45">
        <f t="shared" ca="1" si="2693"/>
        <v>43894.894679999998</v>
      </c>
      <c r="T483" s="45">
        <f t="shared" ca="1" si="2693"/>
        <v>44539.00161212383</v>
      </c>
      <c r="U483" s="45">
        <f t="shared" ca="1" si="2693"/>
        <v>45192.560070285806</v>
      </c>
      <c r="V483" s="45">
        <f t="shared" ca="1" si="2693"/>
        <v>45855.708744725067</v>
      </c>
      <c r="W483" s="45">
        <f t="shared" ca="1" si="2693"/>
        <v>46528.588360800008</v>
      </c>
      <c r="X483" s="45">
        <f t="shared" ca="1" si="2693"/>
        <v>47211.341708851258</v>
      </c>
      <c r="Y483" s="45">
        <f t="shared" ca="1" si="2693"/>
        <v>47904.113674502951</v>
      </c>
      <c r="Z483" s="45">
        <f t="shared" ca="1" si="2693"/>
        <v>48607.051269408577</v>
      </c>
      <c r="AA483" s="45">
        <f t="shared" ca="1" si="2693"/>
        <v>49320.303662448016</v>
      </c>
      <c r="AB483" s="45">
        <f t="shared" ca="1" si="2693"/>
        <v>50044.02221138234</v>
      </c>
      <c r="AC483" s="45">
        <f t="shared" ca="1" si="2693"/>
        <v>50778.360494973138</v>
      </c>
      <c r="AD483" s="45">
        <f t="shared" ca="1" si="2693"/>
        <v>51523.474345573093</v>
      </c>
      <c r="AE483" s="45">
        <f t="shared" ca="1" si="2693"/>
        <v>52279.521882194895</v>
      </c>
      <c r="AF483" s="45">
        <f t="shared" ca="1" si="2693"/>
        <v>53046.66354406529</v>
      </c>
      <c r="AG483" s="45">
        <f t="shared" ca="1" si="2693"/>
        <v>53825.062124671524</v>
      </c>
      <c r="AH483" s="45">
        <f t="shared" ca="1" si="2693"/>
        <v>54614.882806307491</v>
      </c>
      <c r="AI483" s="45">
        <f t="shared" ca="1" si="2693"/>
        <v>55416.2931951266</v>
      </c>
      <c r="AJ483" s="45">
        <f t="shared" ca="1" si="2693"/>
        <v>56229.46335670921</v>
      </c>
      <c r="AK483" s="45">
        <f t="shared" ca="1" si="2693"/>
        <v>57054.56585215182</v>
      </c>
      <c r="AL483" s="45">
        <f t="shared" ca="1" si="2693"/>
        <v>57891.775774685942</v>
      </c>
      <c r="AM483" s="45">
        <f t="shared" ca="1" si="2693"/>
        <v>58741.270786834197</v>
      </c>
      <c r="AN483" s="45">
        <f t="shared" ca="1" si="2693"/>
        <v>59603.231158111768</v>
      </c>
      <c r="AO483" s="45">
        <f t="shared" ca="1" si="2693"/>
        <v>60477.839803280935</v>
      </c>
      <c r="AP483" s="45">
        <f t="shared" ca="1" si="2693"/>
        <v>61365.282321167098</v>
      </c>
      <c r="AQ483" s="45">
        <f t="shared" ca="1" si="2693"/>
        <v>62265.747034044252</v>
      </c>
      <c r="AR483" s="45">
        <f t="shared" ca="1" si="2693"/>
        <v>63179.425027598474</v>
      </c>
      <c r="AS483" s="45">
        <f t="shared" ca="1" si="2693"/>
        <v>64106.510191477806</v>
      </c>
      <c r="AT483" s="45">
        <f t="shared" ca="1" si="2693"/>
        <v>65047.199260437133</v>
      </c>
      <c r="AU483" s="45">
        <f t="shared" ca="1" si="2693"/>
        <v>66001.691856086924</v>
      </c>
      <c r="AV483" s="45">
        <f t="shared" ca="1" si="2693"/>
        <v>66970.190529254382</v>
      </c>
      <c r="AW483" s="45"/>
      <c r="AX483" s="142">
        <f ca="1">SUM(G483:AW483)</f>
        <v>2086642.984100129</v>
      </c>
    </row>
    <row r="484" spans="1:50" collapsed="1" x14ac:dyDescent="0.2">
      <c r="A484" s="58" t="str">
        <f ca="1">Language!A$703</f>
        <v>Затраты на административный персонал, с соц. взносами</v>
      </c>
      <c r="B484" s="204"/>
      <c r="C484" s="124" t="str">
        <f t="shared" ca="1" si="2670"/>
        <v>тыс. руб.</v>
      </c>
      <c r="D484" s="66">
        <v>1</v>
      </c>
      <c r="F484" s="57" t="s">
        <v>753</v>
      </c>
      <c r="G484" s="138">
        <f>G485+G486</f>
        <v>0</v>
      </c>
      <c r="H484" s="138">
        <f t="shared" ref="H484:K484" si="2694">H485+H486</f>
        <v>0</v>
      </c>
      <c r="I484" s="138">
        <f t="shared" si="2694"/>
        <v>0</v>
      </c>
      <c r="J484" s="138">
        <f t="shared" si="2694"/>
        <v>0</v>
      </c>
      <c r="K484" s="138">
        <f t="shared" si="2694"/>
        <v>0</v>
      </c>
      <c r="L484" s="138">
        <f t="shared" ref="L484:M484" si="2695">L485+L486</f>
        <v>0</v>
      </c>
      <c r="M484" s="138">
        <f t="shared" si="2695"/>
        <v>0</v>
      </c>
      <c r="N484" s="138">
        <f t="shared" ref="N484:O484" si="2696">N485+N486</f>
        <v>0</v>
      </c>
      <c r="O484" s="138">
        <f t="shared" si="2696"/>
        <v>0</v>
      </c>
      <c r="P484" s="138">
        <f t="shared" ref="P484:Q484" si="2697">P485+P486</f>
        <v>0</v>
      </c>
      <c r="Q484" s="138">
        <f t="shared" si="2697"/>
        <v>0</v>
      </c>
      <c r="R484" s="138">
        <f t="shared" ref="R484:S484" si="2698">R485+R486</f>
        <v>0</v>
      </c>
      <c r="S484" s="138">
        <f t="shared" si="2698"/>
        <v>0</v>
      </c>
      <c r="T484" s="138">
        <f t="shared" ref="T484:U484" si="2699">T485+T486</f>
        <v>0</v>
      </c>
      <c r="U484" s="138">
        <f t="shared" si="2699"/>
        <v>0</v>
      </c>
      <c r="V484" s="138">
        <f t="shared" ref="V484:W484" si="2700">V485+V486</f>
        <v>0</v>
      </c>
      <c r="W484" s="138">
        <f t="shared" si="2700"/>
        <v>0</v>
      </c>
      <c r="X484" s="138">
        <f t="shared" ref="X484:Y484" si="2701">X485+X486</f>
        <v>0</v>
      </c>
      <c r="Y484" s="138">
        <f t="shared" si="2701"/>
        <v>0</v>
      </c>
      <c r="Z484" s="138">
        <f t="shared" ref="Z484:AA484" si="2702">Z485+Z486</f>
        <v>0</v>
      </c>
      <c r="AA484" s="138">
        <f t="shared" si="2702"/>
        <v>0</v>
      </c>
      <c r="AB484" s="138">
        <f t="shared" ref="AB484:AC484" si="2703">AB485+AB486</f>
        <v>0</v>
      </c>
      <c r="AC484" s="138">
        <f t="shared" si="2703"/>
        <v>0</v>
      </c>
      <c r="AD484" s="138">
        <f t="shared" ref="AD484:AE484" si="2704">AD485+AD486</f>
        <v>0</v>
      </c>
      <c r="AE484" s="138">
        <f t="shared" si="2704"/>
        <v>0</v>
      </c>
      <c r="AF484" s="138">
        <f t="shared" ref="AF484:AG484" si="2705">AF485+AF486</f>
        <v>0</v>
      </c>
      <c r="AG484" s="138">
        <f t="shared" si="2705"/>
        <v>0</v>
      </c>
      <c r="AH484" s="138">
        <f t="shared" ref="AH484:AI484" si="2706">AH485+AH486</f>
        <v>0</v>
      </c>
      <c r="AI484" s="138">
        <f t="shared" si="2706"/>
        <v>0</v>
      </c>
      <c r="AJ484" s="138">
        <f t="shared" ref="AJ484:AK484" si="2707">AJ485+AJ486</f>
        <v>0</v>
      </c>
      <c r="AK484" s="138">
        <f t="shared" si="2707"/>
        <v>0</v>
      </c>
      <c r="AL484" s="138">
        <f t="shared" ref="AL484:AM484" si="2708">AL485+AL486</f>
        <v>0</v>
      </c>
      <c r="AM484" s="138">
        <f t="shared" si="2708"/>
        <v>0</v>
      </c>
      <c r="AN484" s="138">
        <f t="shared" ref="AN484:AO484" si="2709">AN485+AN486</f>
        <v>0</v>
      </c>
      <c r="AO484" s="138">
        <f t="shared" si="2709"/>
        <v>0</v>
      </c>
      <c r="AP484" s="138">
        <f t="shared" ref="AP484:AQ484" si="2710">AP485+AP486</f>
        <v>0</v>
      </c>
      <c r="AQ484" s="138">
        <f t="shared" si="2710"/>
        <v>0</v>
      </c>
      <c r="AR484" s="138">
        <f t="shared" ref="AR484:AS484" si="2711">AR485+AR486</f>
        <v>0</v>
      </c>
      <c r="AS484" s="138">
        <f t="shared" si="2711"/>
        <v>0</v>
      </c>
      <c r="AT484" s="138">
        <f t="shared" ref="AT484:AU484" si="2712">AT485+AT486</f>
        <v>0</v>
      </c>
      <c r="AU484" s="138">
        <f t="shared" si="2712"/>
        <v>0</v>
      </c>
      <c r="AV484" s="138">
        <f t="shared" ref="AV484" si="2713">AV485+AV486</f>
        <v>0</v>
      </c>
      <c r="AW484" s="148"/>
      <c r="AX484" s="142">
        <f>SUM(G484:AW484)</f>
        <v>0</v>
      </c>
    </row>
    <row r="485" spans="1:50" hidden="1" outlineLevel="1" x14ac:dyDescent="0.2">
      <c r="A485" s="172" t="str">
        <f ca="1">Language!A$704</f>
        <v>заработная плата</v>
      </c>
      <c r="B485" s="204"/>
      <c r="C485" s="124" t="str">
        <f t="shared" ca="1" si="2670"/>
        <v>тыс. руб.</v>
      </c>
      <c r="D485" s="66">
        <v>1</v>
      </c>
      <c r="F485" s="57" t="s">
        <v>1110</v>
      </c>
      <c r="G485" s="138">
        <v>0</v>
      </c>
      <c r="H485" s="138">
        <v>0</v>
      </c>
      <c r="I485" s="138"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8">
        <v>0</v>
      </c>
      <c r="AF485" s="138">
        <v>0</v>
      </c>
      <c r="AG485" s="138">
        <v>0</v>
      </c>
      <c r="AH485" s="138">
        <v>0</v>
      </c>
      <c r="AI485" s="138">
        <v>0</v>
      </c>
      <c r="AJ485" s="138">
        <v>0</v>
      </c>
      <c r="AK485" s="138">
        <v>0</v>
      </c>
      <c r="AL485" s="138">
        <v>0</v>
      </c>
      <c r="AM485" s="138">
        <v>0</v>
      </c>
      <c r="AN485" s="138">
        <v>0</v>
      </c>
      <c r="AO485" s="138">
        <v>0</v>
      </c>
      <c r="AP485" s="138">
        <v>0</v>
      </c>
      <c r="AQ485" s="138">
        <v>0</v>
      </c>
      <c r="AR485" s="138">
        <v>0</v>
      </c>
      <c r="AS485" s="138">
        <v>0</v>
      </c>
      <c r="AT485" s="138">
        <v>0</v>
      </c>
      <c r="AU485" s="138">
        <v>0</v>
      </c>
      <c r="AV485" s="138">
        <v>0</v>
      </c>
      <c r="AW485" s="148"/>
      <c r="AX485" s="142">
        <f>SUM(G485:AW485)</f>
        <v>0</v>
      </c>
    </row>
    <row r="486" spans="1:50" hidden="1" outlineLevel="1" x14ac:dyDescent="0.2">
      <c r="A486" s="172" t="str">
        <f ca="1">Language!A$705</f>
        <v>социальные взносы</v>
      </c>
      <c r="B486" s="205"/>
      <c r="C486" s="124" t="str">
        <f t="shared" ca="1" si="2670"/>
        <v>тыс. руб.</v>
      </c>
      <c r="D486" s="66">
        <v>1</v>
      </c>
      <c r="F486" s="57" t="s">
        <v>1454</v>
      </c>
      <c r="G486" s="138">
        <v>0</v>
      </c>
      <c r="H486" s="138">
        <v>0</v>
      </c>
      <c r="I486" s="138">
        <v>0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0</v>
      </c>
      <c r="V486" s="138">
        <v>0</v>
      </c>
      <c r="W486" s="138">
        <v>0</v>
      </c>
      <c r="X486" s="138">
        <v>0</v>
      </c>
      <c r="Y486" s="138">
        <v>0</v>
      </c>
      <c r="Z486" s="138">
        <v>0</v>
      </c>
      <c r="AA486" s="138">
        <v>0</v>
      </c>
      <c r="AB486" s="138">
        <v>0</v>
      </c>
      <c r="AC486" s="138">
        <v>0</v>
      </c>
      <c r="AD486" s="138">
        <v>0</v>
      </c>
      <c r="AE486" s="138">
        <v>0</v>
      </c>
      <c r="AF486" s="138">
        <v>0</v>
      </c>
      <c r="AG486" s="138">
        <v>0</v>
      </c>
      <c r="AH486" s="138">
        <v>0</v>
      </c>
      <c r="AI486" s="138">
        <v>0</v>
      </c>
      <c r="AJ486" s="138">
        <v>0</v>
      </c>
      <c r="AK486" s="138">
        <v>0</v>
      </c>
      <c r="AL486" s="138">
        <v>0</v>
      </c>
      <c r="AM486" s="138">
        <v>0</v>
      </c>
      <c r="AN486" s="138">
        <v>0</v>
      </c>
      <c r="AO486" s="138">
        <v>0</v>
      </c>
      <c r="AP486" s="138">
        <v>0</v>
      </c>
      <c r="AQ486" s="138">
        <v>0</v>
      </c>
      <c r="AR486" s="138">
        <v>0</v>
      </c>
      <c r="AS486" s="138">
        <v>0</v>
      </c>
      <c r="AT486" s="138">
        <v>0</v>
      </c>
      <c r="AU486" s="138">
        <v>0</v>
      </c>
      <c r="AV486" s="138">
        <v>0</v>
      </c>
      <c r="AW486" s="148"/>
      <c r="AX486" s="142">
        <f>SUM(G486:AW486)</f>
        <v>0</v>
      </c>
    </row>
    <row r="487" spans="1:50" hidden="1" outlineLevel="1" x14ac:dyDescent="0.2">
      <c r="A487" s="172" t="str">
        <f ca="1">Language!A$707</f>
        <v>затраты в запасах готовой продукции</v>
      </c>
      <c r="B487" s="195"/>
      <c r="C487" s="124" t="str">
        <f t="shared" ca="1" si="2670"/>
        <v>тыс. руб.</v>
      </c>
      <c r="D487" s="66"/>
      <c r="F487" s="57" t="s">
        <v>754</v>
      </c>
      <c r="G487" s="311">
        <f>IF(AND($B488=0,G$2&gt;1),F487,G484*$B488/Параметры!G$30)</f>
        <v>0</v>
      </c>
      <c r="H487" s="311">
        <f>IF(AND($B488=0,H$2&gt;1),G487,H484*$B488/Параметры!H$30)</f>
        <v>0</v>
      </c>
      <c r="I487" s="311">
        <f>IF(AND($B488=0,I$2&gt;1),H487,I484*$B488/Параметры!I$30)</f>
        <v>0</v>
      </c>
      <c r="J487" s="311">
        <f>IF(AND($B488=0,J$2&gt;1),I487,J484*$B488/Параметры!J$30)</f>
        <v>0</v>
      </c>
      <c r="K487" s="311">
        <f>IF(AND($B488=0,K$2&gt;1),J487,K484*$B488/Параметры!K$30)</f>
        <v>0</v>
      </c>
      <c r="L487" s="311">
        <f>IF(AND($B488=0,L$2&gt;1),K487,L484*$B488/Параметры!L$30)</f>
        <v>0</v>
      </c>
      <c r="M487" s="311">
        <f>IF(AND($B488=0,M$2&gt;1),L487,M484*$B488/Параметры!M$30)</f>
        <v>0</v>
      </c>
      <c r="N487" s="311">
        <f>IF(AND($B488=0,N$2&gt;1),M487,N484*$B488/Параметры!N$30)</f>
        <v>0</v>
      </c>
      <c r="O487" s="311">
        <f>IF(AND($B488=0,O$2&gt;1),N487,O484*$B488/Параметры!O$30)</f>
        <v>0</v>
      </c>
      <c r="P487" s="311">
        <f>IF(AND($B488=0,P$2&gt;1),O487,P484*$B488/Параметры!P$30)</f>
        <v>0</v>
      </c>
      <c r="Q487" s="311">
        <f>IF(AND($B488=0,Q$2&gt;1),P487,Q484*$B488/Параметры!Q$30)</f>
        <v>0</v>
      </c>
      <c r="R487" s="311">
        <f>IF(AND($B488=0,R$2&gt;1),Q487,R484*$B488/Параметры!R$30)</f>
        <v>0</v>
      </c>
      <c r="S487" s="311">
        <f>IF(AND($B488=0,S$2&gt;1),R487,S484*$B488/Параметры!S$30)</f>
        <v>0</v>
      </c>
      <c r="T487" s="311">
        <f>IF(AND($B488=0,T$2&gt;1),S487,T484*$B488/Параметры!T$30)</f>
        <v>0</v>
      </c>
      <c r="U487" s="311">
        <f>IF(AND($B488=0,U$2&gt;1),T487,U484*$B488/Параметры!U$30)</f>
        <v>0</v>
      </c>
      <c r="V487" s="311">
        <f>IF(AND($B488=0,V$2&gt;1),U487,V484*$B488/Параметры!V$30)</f>
        <v>0</v>
      </c>
      <c r="W487" s="311">
        <f>IF(AND($B488=0,W$2&gt;1),V487,W484*$B488/Параметры!W$30)</f>
        <v>0</v>
      </c>
      <c r="X487" s="311">
        <f>IF(AND($B488=0,X$2&gt;1),W487,X484*$B488/Параметры!X$30)</f>
        <v>0</v>
      </c>
      <c r="Y487" s="311">
        <f>IF(AND($B488=0,Y$2&gt;1),X487,Y484*$B488/Параметры!Y$30)</f>
        <v>0</v>
      </c>
      <c r="Z487" s="311">
        <f>IF(AND($B488=0,Z$2&gt;1),Y487,Z484*$B488/Параметры!Z$30)</f>
        <v>0</v>
      </c>
      <c r="AA487" s="311">
        <f>IF(AND($B488=0,AA$2&gt;1),Z487,AA484*$B488/Параметры!AA$30)</f>
        <v>0</v>
      </c>
      <c r="AB487" s="311">
        <f>IF(AND($B488=0,AB$2&gt;1),AA487,AB484*$B488/Параметры!AB$30)</f>
        <v>0</v>
      </c>
      <c r="AC487" s="311">
        <f>IF(AND($B488=0,AC$2&gt;1),AB487,AC484*$B488/Параметры!AC$30)</f>
        <v>0</v>
      </c>
      <c r="AD487" s="311">
        <f>IF(AND($B488=0,AD$2&gt;1),AC487,AD484*$B488/Параметры!AD$30)</f>
        <v>0</v>
      </c>
      <c r="AE487" s="311">
        <f>IF(AND($B488=0,AE$2&gt;1),AD487,AE484*$B488/Параметры!AE$30)</f>
        <v>0</v>
      </c>
      <c r="AF487" s="311">
        <f>IF(AND($B488=0,AF$2&gt;1),AE487,AF484*$B488/Параметры!AF$30)</f>
        <v>0</v>
      </c>
      <c r="AG487" s="311">
        <f>IF(AND($B488=0,AG$2&gt;1),AF487,AG484*$B488/Параметры!AG$30)</f>
        <v>0</v>
      </c>
      <c r="AH487" s="311">
        <f>IF(AND($B488=0,AH$2&gt;1),AG487,AH484*$B488/Параметры!AH$30)</f>
        <v>0</v>
      </c>
      <c r="AI487" s="311">
        <f>IF(AND($B488=0,AI$2&gt;1),AH487,AI484*$B488/Параметры!AI$30)</f>
        <v>0</v>
      </c>
      <c r="AJ487" s="311">
        <f>IF(AND($B488=0,AJ$2&gt;1),AI487,AJ484*$B488/Параметры!AJ$30)</f>
        <v>0</v>
      </c>
      <c r="AK487" s="311">
        <f>IF(AND($B488=0,AK$2&gt;1),AJ487,AK484*$B488/Параметры!AK$30)</f>
        <v>0</v>
      </c>
      <c r="AL487" s="311">
        <f>IF(AND($B488=0,AL$2&gt;1),AK487,AL484*$B488/Параметры!AL$30)</f>
        <v>0</v>
      </c>
      <c r="AM487" s="311">
        <f>IF(AND($B488=0,AM$2&gt;1),AL487,AM484*$B488/Параметры!AM$30)</f>
        <v>0</v>
      </c>
      <c r="AN487" s="311">
        <f>IF(AND($B488=0,AN$2&gt;1),AM487,AN484*$B488/Параметры!AN$30)</f>
        <v>0</v>
      </c>
      <c r="AO487" s="311">
        <f>IF(AND($B488=0,AO$2&gt;1),AN487,AO484*$B488/Параметры!AO$30)</f>
        <v>0</v>
      </c>
      <c r="AP487" s="311">
        <f>IF(AND($B488=0,AP$2&gt;1),AO487,AP484*$B488/Параметры!AP$30)</f>
        <v>0</v>
      </c>
      <c r="AQ487" s="311">
        <f>IF(AND($B488=0,AQ$2&gt;1),AP487,AQ484*$B488/Параметры!AQ$30)</f>
        <v>0</v>
      </c>
      <c r="AR487" s="311">
        <f>IF(AND($B488=0,AR$2&gt;1),AQ487,AR484*$B488/Параметры!AR$30)</f>
        <v>0</v>
      </c>
      <c r="AS487" s="311">
        <f>IF(AND($B488=0,AS$2&gt;1),AR487,AS484*$B488/Параметры!AS$30)</f>
        <v>0</v>
      </c>
      <c r="AT487" s="311">
        <f>IF(AND($B488=0,AT$2&gt;1),AS487,AT484*$B488/Параметры!AT$30)</f>
        <v>0</v>
      </c>
      <c r="AU487" s="311">
        <f>IF(AND($B488=0,AU$2&gt;1),AT487,AU484*$B488/Параметры!AU$30)</f>
        <v>0</v>
      </c>
      <c r="AV487" s="311">
        <f>IF(AND($B488=0,AV$2&gt;1),AU487,AV484*$B488/Параметры!AV$30)</f>
        <v>0</v>
      </c>
      <c r="AW487" s="148"/>
      <c r="AX487" s="171"/>
    </row>
    <row r="488" spans="1:50" hidden="1" outlineLevel="1" x14ac:dyDescent="0.2">
      <c r="A488" s="206" t="str">
        <f ca="1">Language!A$706</f>
        <v>периодичность отгрузки</v>
      </c>
      <c r="B488" s="313">
        <v>0</v>
      </c>
      <c r="C488" s="124" t="str">
        <f ca="1">Language!$A$1446</f>
        <v>дней</v>
      </c>
      <c r="D488" s="66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71"/>
    </row>
    <row r="489" spans="1:50" hidden="1" outlineLevel="1" x14ac:dyDescent="0.2">
      <c r="A489" s="172" t="str">
        <f ca="1">Language!A$709</f>
        <v>затраты в незавершенном производстве</v>
      </c>
      <c r="B489" s="195"/>
      <c r="C489" s="124" t="str">
        <f t="shared" ca="1" si="2670"/>
        <v>тыс. руб.</v>
      </c>
      <c r="D489" s="66"/>
      <c r="F489" s="57" t="s">
        <v>754</v>
      </c>
      <c r="G489" s="311">
        <f>IF(AND($B490=0,G$2&gt;1),F489,G484*$B490/Параметры!G$30)</f>
        <v>0</v>
      </c>
      <c r="H489" s="311">
        <f>IF(AND($B490=0,H$2&gt;1),G489,H484*$B490/Параметры!H$30)</f>
        <v>0</v>
      </c>
      <c r="I489" s="311">
        <f>IF(AND($B490=0,I$2&gt;1),H489,I484*$B490/Параметры!I$30)</f>
        <v>0</v>
      </c>
      <c r="J489" s="311">
        <f>IF(AND($B490=0,J$2&gt;1),I489,J484*$B490/Параметры!J$30)</f>
        <v>0</v>
      </c>
      <c r="K489" s="311">
        <f>IF(AND($B490=0,K$2&gt;1),J489,K484*$B490/Параметры!K$30)</f>
        <v>0</v>
      </c>
      <c r="L489" s="311">
        <f>IF(AND($B490=0,L$2&gt;1),K489,L484*$B490/Параметры!L$30)</f>
        <v>0</v>
      </c>
      <c r="M489" s="311">
        <f>IF(AND($B490=0,M$2&gt;1),L489,M484*$B490/Параметры!M$30)</f>
        <v>0</v>
      </c>
      <c r="N489" s="311">
        <f>IF(AND($B490=0,N$2&gt;1),M489,N484*$B490/Параметры!N$30)</f>
        <v>0</v>
      </c>
      <c r="O489" s="311">
        <f>IF(AND($B490=0,O$2&gt;1),N489,O484*$B490/Параметры!O$30)</f>
        <v>0</v>
      </c>
      <c r="P489" s="311">
        <f>IF(AND($B490=0,P$2&gt;1),O489,P484*$B490/Параметры!P$30)</f>
        <v>0</v>
      </c>
      <c r="Q489" s="311">
        <f>IF(AND($B490=0,Q$2&gt;1),P489,Q484*$B490/Параметры!Q$30)</f>
        <v>0</v>
      </c>
      <c r="R489" s="311">
        <f>IF(AND($B490=0,R$2&gt;1),Q489,R484*$B490/Параметры!R$30)</f>
        <v>0</v>
      </c>
      <c r="S489" s="311">
        <f>IF(AND($B490=0,S$2&gt;1),R489,S484*$B490/Параметры!S$30)</f>
        <v>0</v>
      </c>
      <c r="T489" s="311">
        <f>IF(AND($B490=0,T$2&gt;1),S489,T484*$B490/Параметры!T$30)</f>
        <v>0</v>
      </c>
      <c r="U489" s="311">
        <f>IF(AND($B490=0,U$2&gt;1),T489,U484*$B490/Параметры!U$30)</f>
        <v>0</v>
      </c>
      <c r="V489" s="311">
        <f>IF(AND($B490=0,V$2&gt;1),U489,V484*$B490/Параметры!V$30)</f>
        <v>0</v>
      </c>
      <c r="W489" s="311">
        <f>IF(AND($B490=0,W$2&gt;1),V489,W484*$B490/Параметры!W$30)</f>
        <v>0</v>
      </c>
      <c r="X489" s="311">
        <f>IF(AND($B490=0,X$2&gt;1),W489,X484*$B490/Параметры!X$30)</f>
        <v>0</v>
      </c>
      <c r="Y489" s="311">
        <f>IF(AND($B490=0,Y$2&gt;1),X489,Y484*$B490/Параметры!Y$30)</f>
        <v>0</v>
      </c>
      <c r="Z489" s="311">
        <f>IF(AND($B490=0,Z$2&gt;1),Y489,Z484*$B490/Параметры!Z$30)</f>
        <v>0</v>
      </c>
      <c r="AA489" s="311">
        <f>IF(AND($B490=0,AA$2&gt;1),Z489,AA484*$B490/Параметры!AA$30)</f>
        <v>0</v>
      </c>
      <c r="AB489" s="311">
        <f>IF(AND($B490=0,AB$2&gt;1),AA489,AB484*$B490/Параметры!AB$30)</f>
        <v>0</v>
      </c>
      <c r="AC489" s="311">
        <f>IF(AND($B490=0,AC$2&gt;1),AB489,AC484*$B490/Параметры!AC$30)</f>
        <v>0</v>
      </c>
      <c r="AD489" s="311">
        <f>IF(AND($B490=0,AD$2&gt;1),AC489,AD484*$B490/Параметры!AD$30)</f>
        <v>0</v>
      </c>
      <c r="AE489" s="311">
        <f>IF(AND($B490=0,AE$2&gt;1),AD489,AE484*$B490/Параметры!AE$30)</f>
        <v>0</v>
      </c>
      <c r="AF489" s="311">
        <f>IF(AND($B490=0,AF$2&gt;1),AE489,AF484*$B490/Параметры!AF$30)</f>
        <v>0</v>
      </c>
      <c r="AG489" s="311">
        <f>IF(AND($B490=0,AG$2&gt;1),AF489,AG484*$B490/Параметры!AG$30)</f>
        <v>0</v>
      </c>
      <c r="AH489" s="311">
        <f>IF(AND($B490=0,AH$2&gt;1),AG489,AH484*$B490/Параметры!AH$30)</f>
        <v>0</v>
      </c>
      <c r="AI489" s="311">
        <f>IF(AND($B490=0,AI$2&gt;1),AH489,AI484*$B490/Параметры!AI$30)</f>
        <v>0</v>
      </c>
      <c r="AJ489" s="311">
        <f>IF(AND($B490=0,AJ$2&gt;1),AI489,AJ484*$B490/Параметры!AJ$30)</f>
        <v>0</v>
      </c>
      <c r="AK489" s="311">
        <f>IF(AND($B490=0,AK$2&gt;1),AJ489,AK484*$B490/Параметры!AK$30)</f>
        <v>0</v>
      </c>
      <c r="AL489" s="311">
        <f>IF(AND($B490=0,AL$2&gt;1),AK489,AL484*$B490/Параметры!AL$30)</f>
        <v>0</v>
      </c>
      <c r="AM489" s="311">
        <f>IF(AND($B490=0,AM$2&gt;1),AL489,AM484*$B490/Параметры!AM$30)</f>
        <v>0</v>
      </c>
      <c r="AN489" s="311">
        <f>IF(AND($B490=0,AN$2&gt;1),AM489,AN484*$B490/Параметры!AN$30)</f>
        <v>0</v>
      </c>
      <c r="AO489" s="311">
        <f>IF(AND($B490=0,AO$2&gt;1),AN489,AO484*$B490/Параметры!AO$30)</f>
        <v>0</v>
      </c>
      <c r="AP489" s="311">
        <f>IF(AND($B490=0,AP$2&gt;1),AO489,AP484*$B490/Параметры!AP$30)</f>
        <v>0</v>
      </c>
      <c r="AQ489" s="311">
        <f>IF(AND($B490=0,AQ$2&gt;1),AP489,AQ484*$B490/Параметры!AQ$30)</f>
        <v>0</v>
      </c>
      <c r="AR489" s="311">
        <f>IF(AND($B490=0,AR$2&gt;1),AQ489,AR484*$B490/Параметры!AR$30)</f>
        <v>0</v>
      </c>
      <c r="AS489" s="311">
        <f>IF(AND($B490=0,AS$2&gt;1),AR489,AS484*$B490/Параметры!AS$30)</f>
        <v>0</v>
      </c>
      <c r="AT489" s="311">
        <f>IF(AND($B490=0,AT$2&gt;1),AS489,AT484*$B490/Параметры!AT$30)</f>
        <v>0</v>
      </c>
      <c r="AU489" s="311">
        <f>IF(AND($B490=0,AU$2&gt;1),AT489,AU484*$B490/Параметры!AU$30)</f>
        <v>0</v>
      </c>
      <c r="AV489" s="311">
        <f>IF(AND($B490=0,AV$2&gt;1),AU489,AV484*$B490/Параметры!AV$30)</f>
        <v>0</v>
      </c>
      <c r="AW489" s="148"/>
      <c r="AX489" s="171"/>
    </row>
    <row r="490" spans="1:50" hidden="1" outlineLevel="1" x14ac:dyDescent="0.2">
      <c r="A490" s="206" t="str">
        <f ca="1">Language!A$708</f>
        <v>длительность производственного цикла</v>
      </c>
      <c r="B490" s="313">
        <v>0</v>
      </c>
      <c r="C490" s="124" t="str">
        <f ca="1">Language!$A$1446</f>
        <v>дней</v>
      </c>
      <c r="D490" s="66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71"/>
    </row>
    <row r="491" spans="1:50" hidden="1" outlineLevel="1" x14ac:dyDescent="0.2">
      <c r="A491" s="172" t="str">
        <f ca="1">Language!A$710</f>
        <v>списано на продажи в отчете о прибылях и убытках</v>
      </c>
      <c r="B491" s="195"/>
      <c r="C491" s="124" t="str">
        <f t="shared" ca="1" si="2670"/>
        <v>тыс. руб.</v>
      </c>
      <c r="D491" s="66"/>
      <c r="F491" s="57" t="s">
        <v>753</v>
      </c>
      <c r="G491" s="45">
        <f t="shared" ref="G491:AV491" si="2714">G484-IF(G$2=1, G487+G489, G487+G489-F487-F489)</f>
        <v>0</v>
      </c>
      <c r="H491" s="45">
        <f t="shared" si="2714"/>
        <v>0</v>
      </c>
      <c r="I491" s="45">
        <f t="shared" si="2714"/>
        <v>0</v>
      </c>
      <c r="J491" s="45">
        <f t="shared" si="2714"/>
        <v>0</v>
      </c>
      <c r="K491" s="45">
        <f t="shared" si="2714"/>
        <v>0</v>
      </c>
      <c r="L491" s="45">
        <f t="shared" si="2714"/>
        <v>0</v>
      </c>
      <c r="M491" s="45">
        <f t="shared" si="2714"/>
        <v>0</v>
      </c>
      <c r="N491" s="45">
        <f t="shared" si="2714"/>
        <v>0</v>
      </c>
      <c r="O491" s="45">
        <f t="shared" si="2714"/>
        <v>0</v>
      </c>
      <c r="P491" s="45">
        <f t="shared" si="2714"/>
        <v>0</v>
      </c>
      <c r="Q491" s="45">
        <f t="shared" si="2714"/>
        <v>0</v>
      </c>
      <c r="R491" s="45">
        <f t="shared" si="2714"/>
        <v>0</v>
      </c>
      <c r="S491" s="45">
        <f t="shared" si="2714"/>
        <v>0</v>
      </c>
      <c r="T491" s="45">
        <f t="shared" si="2714"/>
        <v>0</v>
      </c>
      <c r="U491" s="45">
        <f t="shared" si="2714"/>
        <v>0</v>
      </c>
      <c r="V491" s="45">
        <f t="shared" si="2714"/>
        <v>0</v>
      </c>
      <c r="W491" s="45">
        <f t="shared" si="2714"/>
        <v>0</v>
      </c>
      <c r="X491" s="45">
        <f t="shared" si="2714"/>
        <v>0</v>
      </c>
      <c r="Y491" s="45">
        <f t="shared" si="2714"/>
        <v>0</v>
      </c>
      <c r="Z491" s="45">
        <f t="shared" si="2714"/>
        <v>0</v>
      </c>
      <c r="AA491" s="45">
        <f t="shared" si="2714"/>
        <v>0</v>
      </c>
      <c r="AB491" s="45">
        <f t="shared" si="2714"/>
        <v>0</v>
      </c>
      <c r="AC491" s="45">
        <f t="shared" si="2714"/>
        <v>0</v>
      </c>
      <c r="AD491" s="45">
        <f t="shared" si="2714"/>
        <v>0</v>
      </c>
      <c r="AE491" s="45">
        <f t="shared" si="2714"/>
        <v>0</v>
      </c>
      <c r="AF491" s="45">
        <f t="shared" si="2714"/>
        <v>0</v>
      </c>
      <c r="AG491" s="45">
        <f t="shared" si="2714"/>
        <v>0</v>
      </c>
      <c r="AH491" s="45">
        <f t="shared" si="2714"/>
        <v>0</v>
      </c>
      <c r="AI491" s="45">
        <f t="shared" si="2714"/>
        <v>0</v>
      </c>
      <c r="AJ491" s="45">
        <f t="shared" si="2714"/>
        <v>0</v>
      </c>
      <c r="AK491" s="45">
        <f t="shared" si="2714"/>
        <v>0</v>
      </c>
      <c r="AL491" s="45">
        <f t="shared" si="2714"/>
        <v>0</v>
      </c>
      <c r="AM491" s="45">
        <f t="shared" si="2714"/>
        <v>0</v>
      </c>
      <c r="AN491" s="45">
        <f t="shared" si="2714"/>
        <v>0</v>
      </c>
      <c r="AO491" s="45">
        <f t="shared" si="2714"/>
        <v>0</v>
      </c>
      <c r="AP491" s="45">
        <f t="shared" si="2714"/>
        <v>0</v>
      </c>
      <c r="AQ491" s="45">
        <f t="shared" si="2714"/>
        <v>0</v>
      </c>
      <c r="AR491" s="45">
        <f t="shared" si="2714"/>
        <v>0</v>
      </c>
      <c r="AS491" s="45">
        <f t="shared" si="2714"/>
        <v>0</v>
      </c>
      <c r="AT491" s="45">
        <f t="shared" si="2714"/>
        <v>0</v>
      </c>
      <c r="AU491" s="45">
        <f t="shared" si="2714"/>
        <v>0</v>
      </c>
      <c r="AV491" s="45">
        <f t="shared" si="2714"/>
        <v>0</v>
      </c>
      <c r="AW491" s="45"/>
      <c r="AX491" s="142">
        <f>SUM(G491:AW491)</f>
        <v>0</v>
      </c>
    </row>
    <row r="492" spans="1:50" collapsed="1" x14ac:dyDescent="0.2">
      <c r="A492" s="58" t="str">
        <f ca="1">Language!A$711</f>
        <v>Затраты на коммерческий персонал, с соц. взносами</v>
      </c>
      <c r="B492" s="204"/>
      <c r="C492" s="124" t="str">
        <f t="shared" ca="1" si="2670"/>
        <v>тыс. руб.</v>
      </c>
      <c r="D492" s="66">
        <v>1</v>
      </c>
      <c r="F492" s="57" t="s">
        <v>753</v>
      </c>
      <c r="G492" s="138">
        <f>G493+G494</f>
        <v>0</v>
      </c>
      <c r="H492" s="138">
        <f t="shared" ref="H492:K492" si="2715">H493+H494</f>
        <v>0</v>
      </c>
      <c r="I492" s="138">
        <f t="shared" si="2715"/>
        <v>0</v>
      </c>
      <c r="J492" s="138">
        <f t="shared" si="2715"/>
        <v>0</v>
      </c>
      <c r="K492" s="138">
        <f t="shared" si="2715"/>
        <v>0</v>
      </c>
      <c r="L492" s="138">
        <f t="shared" ref="L492:M492" si="2716">L493+L494</f>
        <v>0</v>
      </c>
      <c r="M492" s="138">
        <f t="shared" si="2716"/>
        <v>0</v>
      </c>
      <c r="N492" s="138">
        <f t="shared" ref="N492:O492" si="2717">N493+N494</f>
        <v>0</v>
      </c>
      <c r="O492" s="138">
        <f t="shared" si="2717"/>
        <v>0</v>
      </c>
      <c r="P492" s="138">
        <f t="shared" ref="P492:Q492" si="2718">P493+P494</f>
        <v>0</v>
      </c>
      <c r="Q492" s="138">
        <f t="shared" si="2718"/>
        <v>0</v>
      </c>
      <c r="R492" s="138">
        <f t="shared" ref="R492:S492" si="2719">R493+R494</f>
        <v>0</v>
      </c>
      <c r="S492" s="138">
        <f t="shared" si="2719"/>
        <v>0</v>
      </c>
      <c r="T492" s="138">
        <f t="shared" ref="T492:U492" si="2720">T493+T494</f>
        <v>0</v>
      </c>
      <c r="U492" s="138">
        <f t="shared" si="2720"/>
        <v>0</v>
      </c>
      <c r="V492" s="138">
        <f t="shared" ref="V492:W492" si="2721">V493+V494</f>
        <v>0</v>
      </c>
      <c r="W492" s="138">
        <f t="shared" si="2721"/>
        <v>0</v>
      </c>
      <c r="X492" s="138">
        <f t="shared" ref="X492:Y492" si="2722">X493+X494</f>
        <v>0</v>
      </c>
      <c r="Y492" s="138">
        <f t="shared" si="2722"/>
        <v>0</v>
      </c>
      <c r="Z492" s="138">
        <f t="shared" ref="Z492:AA492" si="2723">Z493+Z494</f>
        <v>0</v>
      </c>
      <c r="AA492" s="138">
        <f t="shared" si="2723"/>
        <v>0</v>
      </c>
      <c r="AB492" s="138">
        <f t="shared" ref="AB492:AC492" si="2724">AB493+AB494</f>
        <v>0</v>
      </c>
      <c r="AC492" s="138">
        <f t="shared" si="2724"/>
        <v>0</v>
      </c>
      <c r="AD492" s="138">
        <f t="shared" ref="AD492:AE492" si="2725">AD493+AD494</f>
        <v>0</v>
      </c>
      <c r="AE492" s="138">
        <f t="shared" si="2725"/>
        <v>0</v>
      </c>
      <c r="AF492" s="138">
        <f t="shared" ref="AF492:AG492" si="2726">AF493+AF494</f>
        <v>0</v>
      </c>
      <c r="AG492" s="138">
        <f t="shared" si="2726"/>
        <v>0</v>
      </c>
      <c r="AH492" s="138">
        <f t="shared" ref="AH492:AI492" si="2727">AH493+AH494</f>
        <v>0</v>
      </c>
      <c r="AI492" s="138">
        <f t="shared" si="2727"/>
        <v>0</v>
      </c>
      <c r="AJ492" s="138">
        <f t="shared" ref="AJ492:AK492" si="2728">AJ493+AJ494</f>
        <v>0</v>
      </c>
      <c r="AK492" s="138">
        <f t="shared" si="2728"/>
        <v>0</v>
      </c>
      <c r="AL492" s="138">
        <f t="shared" ref="AL492:AM492" si="2729">AL493+AL494</f>
        <v>0</v>
      </c>
      <c r="AM492" s="138">
        <f t="shared" si="2729"/>
        <v>0</v>
      </c>
      <c r="AN492" s="138">
        <f t="shared" ref="AN492:AO492" si="2730">AN493+AN494</f>
        <v>0</v>
      </c>
      <c r="AO492" s="138">
        <f t="shared" si="2730"/>
        <v>0</v>
      </c>
      <c r="AP492" s="138">
        <f t="shared" ref="AP492:AQ492" si="2731">AP493+AP494</f>
        <v>0</v>
      </c>
      <c r="AQ492" s="138">
        <f t="shared" si="2731"/>
        <v>0</v>
      </c>
      <c r="AR492" s="138">
        <f t="shared" ref="AR492:AS492" si="2732">AR493+AR494</f>
        <v>0</v>
      </c>
      <c r="AS492" s="138">
        <f t="shared" si="2732"/>
        <v>0</v>
      </c>
      <c r="AT492" s="138">
        <f t="shared" ref="AT492:AU492" si="2733">AT493+AT494</f>
        <v>0</v>
      </c>
      <c r="AU492" s="138">
        <f t="shared" si="2733"/>
        <v>0</v>
      </c>
      <c r="AV492" s="138">
        <f t="shared" ref="AV492" si="2734">AV493+AV494</f>
        <v>0</v>
      </c>
      <c r="AW492" s="148"/>
      <c r="AX492" s="142">
        <f>SUM(G492:AW492)</f>
        <v>0</v>
      </c>
    </row>
    <row r="493" spans="1:50" hidden="1" outlineLevel="1" x14ac:dyDescent="0.2">
      <c r="A493" s="172" t="str">
        <f ca="1">Language!A$712</f>
        <v>заработная плата</v>
      </c>
      <c r="B493" s="204"/>
      <c r="C493" s="124" t="str">
        <f t="shared" ca="1" si="2670"/>
        <v>тыс. руб.</v>
      </c>
      <c r="D493" s="66">
        <v>1</v>
      </c>
      <c r="F493" s="57" t="s">
        <v>1111</v>
      </c>
      <c r="G493" s="138">
        <v>0</v>
      </c>
      <c r="H493" s="138">
        <v>0</v>
      </c>
      <c r="I493" s="138">
        <v>0</v>
      </c>
      <c r="J493" s="138">
        <v>0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0</v>
      </c>
      <c r="V493" s="138">
        <v>0</v>
      </c>
      <c r="W493" s="138">
        <v>0</v>
      </c>
      <c r="X493" s="138">
        <v>0</v>
      </c>
      <c r="Y493" s="138">
        <v>0</v>
      </c>
      <c r="Z493" s="138">
        <v>0</v>
      </c>
      <c r="AA493" s="138">
        <v>0</v>
      </c>
      <c r="AB493" s="138">
        <v>0</v>
      </c>
      <c r="AC493" s="138">
        <v>0</v>
      </c>
      <c r="AD493" s="138">
        <v>0</v>
      </c>
      <c r="AE493" s="138">
        <v>0</v>
      </c>
      <c r="AF493" s="138">
        <v>0</v>
      </c>
      <c r="AG493" s="138">
        <v>0</v>
      </c>
      <c r="AH493" s="138">
        <v>0</v>
      </c>
      <c r="AI493" s="138">
        <v>0</v>
      </c>
      <c r="AJ493" s="138">
        <v>0</v>
      </c>
      <c r="AK493" s="138">
        <v>0</v>
      </c>
      <c r="AL493" s="138">
        <v>0</v>
      </c>
      <c r="AM493" s="138">
        <v>0</v>
      </c>
      <c r="AN493" s="138">
        <v>0</v>
      </c>
      <c r="AO493" s="138">
        <v>0</v>
      </c>
      <c r="AP493" s="138">
        <v>0</v>
      </c>
      <c r="AQ493" s="138">
        <v>0</v>
      </c>
      <c r="AR493" s="138">
        <v>0</v>
      </c>
      <c r="AS493" s="138">
        <v>0</v>
      </c>
      <c r="AT493" s="138">
        <v>0</v>
      </c>
      <c r="AU493" s="138">
        <v>0</v>
      </c>
      <c r="AV493" s="138">
        <v>0</v>
      </c>
      <c r="AW493" s="148"/>
      <c r="AX493" s="142">
        <f>SUM(G493:AW493)</f>
        <v>0</v>
      </c>
    </row>
    <row r="494" spans="1:50" hidden="1" outlineLevel="1" x14ac:dyDescent="0.2">
      <c r="A494" s="172" t="str">
        <f ca="1">Language!A$713</f>
        <v>социальные взносы</v>
      </c>
      <c r="B494" s="205"/>
      <c r="C494" s="124" t="str">
        <f t="shared" ca="1" si="2670"/>
        <v>тыс. руб.</v>
      </c>
      <c r="D494" s="66">
        <v>1</v>
      </c>
      <c r="F494" s="57" t="s">
        <v>1455</v>
      </c>
      <c r="G494" s="138">
        <v>0</v>
      </c>
      <c r="H494" s="138">
        <v>0</v>
      </c>
      <c r="I494" s="138">
        <v>0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0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0</v>
      </c>
      <c r="X494" s="138">
        <v>0</v>
      </c>
      <c r="Y494" s="138">
        <v>0</v>
      </c>
      <c r="Z494" s="138">
        <v>0</v>
      </c>
      <c r="AA494" s="138">
        <v>0</v>
      </c>
      <c r="AB494" s="138">
        <v>0</v>
      </c>
      <c r="AC494" s="138">
        <v>0</v>
      </c>
      <c r="AD494" s="138">
        <v>0</v>
      </c>
      <c r="AE494" s="138">
        <v>0</v>
      </c>
      <c r="AF494" s="138">
        <v>0</v>
      </c>
      <c r="AG494" s="138">
        <v>0</v>
      </c>
      <c r="AH494" s="138">
        <v>0</v>
      </c>
      <c r="AI494" s="138">
        <v>0</v>
      </c>
      <c r="AJ494" s="138">
        <v>0</v>
      </c>
      <c r="AK494" s="138">
        <v>0</v>
      </c>
      <c r="AL494" s="138">
        <v>0</v>
      </c>
      <c r="AM494" s="138">
        <v>0</v>
      </c>
      <c r="AN494" s="138">
        <v>0</v>
      </c>
      <c r="AO494" s="138">
        <v>0</v>
      </c>
      <c r="AP494" s="138">
        <v>0</v>
      </c>
      <c r="AQ494" s="138">
        <v>0</v>
      </c>
      <c r="AR494" s="138">
        <v>0</v>
      </c>
      <c r="AS494" s="138">
        <v>0</v>
      </c>
      <c r="AT494" s="138">
        <v>0</v>
      </c>
      <c r="AU494" s="138">
        <v>0</v>
      </c>
      <c r="AV494" s="138">
        <v>0</v>
      </c>
      <c r="AW494" s="148"/>
      <c r="AX494" s="142">
        <f>SUM(G494:AW494)</f>
        <v>0</v>
      </c>
    </row>
    <row r="495" spans="1:50" hidden="1" outlineLevel="1" x14ac:dyDescent="0.2">
      <c r="A495" s="172" t="str">
        <f ca="1">Language!A$715</f>
        <v>затраты в запасах готовой продукции</v>
      </c>
      <c r="B495" s="195"/>
      <c r="C495" s="124" t="str">
        <f t="shared" ca="1" si="2670"/>
        <v>тыс. руб.</v>
      </c>
      <c r="D495" s="66"/>
      <c r="F495" s="57" t="s">
        <v>754</v>
      </c>
      <c r="G495" s="311">
        <f>IF(AND($B496=0,G$2&gt;1),F495,G492*$B496/Параметры!G$30)</f>
        <v>0</v>
      </c>
      <c r="H495" s="311">
        <f>IF(AND($B496=0,H$2&gt;1),G495,H492*$B496/Параметры!H$30)</f>
        <v>0</v>
      </c>
      <c r="I495" s="311">
        <f>IF(AND($B496=0,I$2&gt;1),H495,I492*$B496/Параметры!I$30)</f>
        <v>0</v>
      </c>
      <c r="J495" s="311">
        <f>IF(AND($B496=0,J$2&gt;1),I495,J492*$B496/Параметры!J$30)</f>
        <v>0</v>
      </c>
      <c r="K495" s="311">
        <f>IF(AND($B496=0,K$2&gt;1),J495,K492*$B496/Параметры!K$30)</f>
        <v>0</v>
      </c>
      <c r="L495" s="311">
        <f>IF(AND($B496=0,L$2&gt;1),K495,L492*$B496/Параметры!L$30)</f>
        <v>0</v>
      </c>
      <c r="M495" s="311">
        <f>IF(AND($B496=0,M$2&gt;1),L495,M492*$B496/Параметры!M$30)</f>
        <v>0</v>
      </c>
      <c r="N495" s="311">
        <f>IF(AND($B496=0,N$2&gt;1),M495,N492*$B496/Параметры!N$30)</f>
        <v>0</v>
      </c>
      <c r="O495" s="311">
        <f>IF(AND($B496=0,O$2&gt;1),N495,O492*$B496/Параметры!O$30)</f>
        <v>0</v>
      </c>
      <c r="P495" s="311">
        <f>IF(AND($B496=0,P$2&gt;1),O495,P492*$B496/Параметры!P$30)</f>
        <v>0</v>
      </c>
      <c r="Q495" s="311">
        <f>IF(AND($B496=0,Q$2&gt;1),P495,Q492*$B496/Параметры!Q$30)</f>
        <v>0</v>
      </c>
      <c r="R495" s="311">
        <f>IF(AND($B496=0,R$2&gt;1),Q495,R492*$B496/Параметры!R$30)</f>
        <v>0</v>
      </c>
      <c r="S495" s="311">
        <f>IF(AND($B496=0,S$2&gt;1),R495,S492*$B496/Параметры!S$30)</f>
        <v>0</v>
      </c>
      <c r="T495" s="311">
        <f>IF(AND($B496=0,T$2&gt;1),S495,T492*$B496/Параметры!T$30)</f>
        <v>0</v>
      </c>
      <c r="U495" s="311">
        <f>IF(AND($B496=0,U$2&gt;1),T495,U492*$B496/Параметры!U$30)</f>
        <v>0</v>
      </c>
      <c r="V495" s="311">
        <f>IF(AND($B496=0,V$2&gt;1),U495,V492*$B496/Параметры!V$30)</f>
        <v>0</v>
      </c>
      <c r="W495" s="311">
        <f>IF(AND($B496=0,W$2&gt;1),V495,W492*$B496/Параметры!W$30)</f>
        <v>0</v>
      </c>
      <c r="X495" s="311">
        <f>IF(AND($B496=0,X$2&gt;1),W495,X492*$B496/Параметры!X$30)</f>
        <v>0</v>
      </c>
      <c r="Y495" s="311">
        <f>IF(AND($B496=0,Y$2&gt;1),X495,Y492*$B496/Параметры!Y$30)</f>
        <v>0</v>
      </c>
      <c r="Z495" s="311">
        <f>IF(AND($B496=0,Z$2&gt;1),Y495,Z492*$B496/Параметры!Z$30)</f>
        <v>0</v>
      </c>
      <c r="AA495" s="311">
        <f>IF(AND($B496=0,AA$2&gt;1),Z495,AA492*$B496/Параметры!AA$30)</f>
        <v>0</v>
      </c>
      <c r="AB495" s="311">
        <f>IF(AND($B496=0,AB$2&gt;1),AA495,AB492*$B496/Параметры!AB$30)</f>
        <v>0</v>
      </c>
      <c r="AC495" s="311">
        <f>IF(AND($B496=0,AC$2&gt;1),AB495,AC492*$B496/Параметры!AC$30)</f>
        <v>0</v>
      </c>
      <c r="AD495" s="311">
        <f>IF(AND($B496=0,AD$2&gt;1),AC495,AD492*$B496/Параметры!AD$30)</f>
        <v>0</v>
      </c>
      <c r="AE495" s="311">
        <f>IF(AND($B496=0,AE$2&gt;1),AD495,AE492*$B496/Параметры!AE$30)</f>
        <v>0</v>
      </c>
      <c r="AF495" s="311">
        <f>IF(AND($B496=0,AF$2&gt;1),AE495,AF492*$B496/Параметры!AF$30)</f>
        <v>0</v>
      </c>
      <c r="AG495" s="311">
        <f>IF(AND($B496=0,AG$2&gt;1),AF495,AG492*$B496/Параметры!AG$30)</f>
        <v>0</v>
      </c>
      <c r="AH495" s="311">
        <f>IF(AND($B496=0,AH$2&gt;1),AG495,AH492*$B496/Параметры!AH$30)</f>
        <v>0</v>
      </c>
      <c r="AI495" s="311">
        <f>IF(AND($B496=0,AI$2&gt;1),AH495,AI492*$B496/Параметры!AI$30)</f>
        <v>0</v>
      </c>
      <c r="AJ495" s="311">
        <f>IF(AND($B496=0,AJ$2&gt;1),AI495,AJ492*$B496/Параметры!AJ$30)</f>
        <v>0</v>
      </c>
      <c r="AK495" s="311">
        <f>IF(AND($B496=0,AK$2&gt;1),AJ495,AK492*$B496/Параметры!AK$30)</f>
        <v>0</v>
      </c>
      <c r="AL495" s="311">
        <f>IF(AND($B496=0,AL$2&gt;1),AK495,AL492*$B496/Параметры!AL$30)</f>
        <v>0</v>
      </c>
      <c r="AM495" s="311">
        <f>IF(AND($B496=0,AM$2&gt;1),AL495,AM492*$B496/Параметры!AM$30)</f>
        <v>0</v>
      </c>
      <c r="AN495" s="311">
        <f>IF(AND($B496=0,AN$2&gt;1),AM495,AN492*$B496/Параметры!AN$30)</f>
        <v>0</v>
      </c>
      <c r="AO495" s="311">
        <f>IF(AND($B496=0,AO$2&gt;1),AN495,AO492*$B496/Параметры!AO$30)</f>
        <v>0</v>
      </c>
      <c r="AP495" s="311">
        <f>IF(AND($B496=0,AP$2&gt;1),AO495,AP492*$B496/Параметры!AP$30)</f>
        <v>0</v>
      </c>
      <c r="AQ495" s="311">
        <f>IF(AND($B496=0,AQ$2&gt;1),AP495,AQ492*$B496/Параметры!AQ$30)</f>
        <v>0</v>
      </c>
      <c r="AR495" s="311">
        <f>IF(AND($B496=0,AR$2&gt;1),AQ495,AR492*$B496/Параметры!AR$30)</f>
        <v>0</v>
      </c>
      <c r="AS495" s="311">
        <f>IF(AND($B496=0,AS$2&gt;1),AR495,AS492*$B496/Параметры!AS$30)</f>
        <v>0</v>
      </c>
      <c r="AT495" s="311">
        <f>IF(AND($B496=0,AT$2&gt;1),AS495,AT492*$B496/Параметры!AT$30)</f>
        <v>0</v>
      </c>
      <c r="AU495" s="311">
        <f>IF(AND($B496=0,AU$2&gt;1),AT495,AU492*$B496/Параметры!AU$30)</f>
        <v>0</v>
      </c>
      <c r="AV495" s="311">
        <f>IF(AND($B496=0,AV$2&gt;1),AU495,AV492*$B496/Параметры!AV$30)</f>
        <v>0</v>
      </c>
      <c r="AW495" s="148"/>
      <c r="AX495" s="171"/>
    </row>
    <row r="496" spans="1:50" hidden="1" outlineLevel="1" x14ac:dyDescent="0.2">
      <c r="A496" s="206" t="str">
        <f ca="1">Language!A$714</f>
        <v>периодичность отгрузки</v>
      </c>
      <c r="B496" s="313">
        <v>0</v>
      </c>
      <c r="C496" s="124" t="str">
        <f ca="1">Language!$A$1446</f>
        <v>дней</v>
      </c>
      <c r="D496" s="66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71"/>
    </row>
    <row r="497" spans="1:50" hidden="1" outlineLevel="1" x14ac:dyDescent="0.2">
      <c r="A497" s="172" t="str">
        <f ca="1">Language!A$717</f>
        <v>затраты в незавершенном производстве</v>
      </c>
      <c r="B497" s="195"/>
      <c r="C497" s="124" t="str">
        <f t="shared" ca="1" si="2670"/>
        <v>тыс. руб.</v>
      </c>
      <c r="D497" s="66"/>
      <c r="F497" s="57" t="s">
        <v>754</v>
      </c>
      <c r="G497" s="311">
        <f>IF(AND($B498=0,G$2&gt;1),F497,G492*$B498/Параметры!G$30)</f>
        <v>0</v>
      </c>
      <c r="H497" s="311">
        <f>IF(AND($B498=0,H$2&gt;1),G497,H492*$B498/Параметры!H$30)</f>
        <v>0</v>
      </c>
      <c r="I497" s="311">
        <f>IF(AND($B498=0,I$2&gt;1),H497,I492*$B498/Параметры!I$30)</f>
        <v>0</v>
      </c>
      <c r="J497" s="311">
        <f>IF(AND($B498=0,J$2&gt;1),I497,J492*$B498/Параметры!J$30)</f>
        <v>0</v>
      </c>
      <c r="K497" s="311">
        <f>IF(AND($B498=0,K$2&gt;1),J497,K492*$B498/Параметры!K$30)</f>
        <v>0</v>
      </c>
      <c r="L497" s="311">
        <f>IF(AND($B498=0,L$2&gt;1),K497,L492*$B498/Параметры!L$30)</f>
        <v>0</v>
      </c>
      <c r="M497" s="311">
        <f>IF(AND($B498=0,M$2&gt;1),L497,M492*$B498/Параметры!M$30)</f>
        <v>0</v>
      </c>
      <c r="N497" s="311">
        <f>IF(AND($B498=0,N$2&gt;1),M497,N492*$B498/Параметры!N$30)</f>
        <v>0</v>
      </c>
      <c r="O497" s="311">
        <f>IF(AND($B498=0,O$2&gt;1),N497,O492*$B498/Параметры!O$30)</f>
        <v>0</v>
      </c>
      <c r="P497" s="311">
        <f>IF(AND($B498=0,P$2&gt;1),O497,P492*$B498/Параметры!P$30)</f>
        <v>0</v>
      </c>
      <c r="Q497" s="311">
        <f>IF(AND($B498=0,Q$2&gt;1),P497,Q492*$B498/Параметры!Q$30)</f>
        <v>0</v>
      </c>
      <c r="R497" s="311">
        <f>IF(AND($B498=0,R$2&gt;1),Q497,R492*$B498/Параметры!R$30)</f>
        <v>0</v>
      </c>
      <c r="S497" s="311">
        <f>IF(AND($B498=0,S$2&gt;1),R497,S492*$B498/Параметры!S$30)</f>
        <v>0</v>
      </c>
      <c r="T497" s="311">
        <f>IF(AND($B498=0,T$2&gt;1),S497,T492*$B498/Параметры!T$30)</f>
        <v>0</v>
      </c>
      <c r="U497" s="311">
        <f>IF(AND($B498=0,U$2&gt;1),T497,U492*$B498/Параметры!U$30)</f>
        <v>0</v>
      </c>
      <c r="V497" s="311">
        <f>IF(AND($B498=0,V$2&gt;1),U497,V492*$B498/Параметры!V$30)</f>
        <v>0</v>
      </c>
      <c r="W497" s="311">
        <f>IF(AND($B498=0,W$2&gt;1),V497,W492*$B498/Параметры!W$30)</f>
        <v>0</v>
      </c>
      <c r="X497" s="311">
        <f>IF(AND($B498=0,X$2&gt;1),W497,X492*$B498/Параметры!X$30)</f>
        <v>0</v>
      </c>
      <c r="Y497" s="311">
        <f>IF(AND($B498=0,Y$2&gt;1),X497,Y492*$B498/Параметры!Y$30)</f>
        <v>0</v>
      </c>
      <c r="Z497" s="311">
        <f>IF(AND($B498=0,Z$2&gt;1),Y497,Z492*$B498/Параметры!Z$30)</f>
        <v>0</v>
      </c>
      <c r="AA497" s="311">
        <f>IF(AND($B498=0,AA$2&gt;1),Z497,AA492*$B498/Параметры!AA$30)</f>
        <v>0</v>
      </c>
      <c r="AB497" s="311">
        <f>IF(AND($B498=0,AB$2&gt;1),AA497,AB492*$B498/Параметры!AB$30)</f>
        <v>0</v>
      </c>
      <c r="AC497" s="311">
        <f>IF(AND($B498=0,AC$2&gt;1),AB497,AC492*$B498/Параметры!AC$30)</f>
        <v>0</v>
      </c>
      <c r="AD497" s="311">
        <f>IF(AND($B498=0,AD$2&gt;1),AC497,AD492*$B498/Параметры!AD$30)</f>
        <v>0</v>
      </c>
      <c r="AE497" s="311">
        <f>IF(AND($B498=0,AE$2&gt;1),AD497,AE492*$B498/Параметры!AE$30)</f>
        <v>0</v>
      </c>
      <c r="AF497" s="311">
        <f>IF(AND($B498=0,AF$2&gt;1),AE497,AF492*$B498/Параметры!AF$30)</f>
        <v>0</v>
      </c>
      <c r="AG497" s="311">
        <f>IF(AND($B498=0,AG$2&gt;1),AF497,AG492*$B498/Параметры!AG$30)</f>
        <v>0</v>
      </c>
      <c r="AH497" s="311">
        <f>IF(AND($B498=0,AH$2&gt;1),AG497,AH492*$B498/Параметры!AH$30)</f>
        <v>0</v>
      </c>
      <c r="AI497" s="311">
        <f>IF(AND($B498=0,AI$2&gt;1),AH497,AI492*$B498/Параметры!AI$30)</f>
        <v>0</v>
      </c>
      <c r="AJ497" s="311">
        <f>IF(AND($B498=0,AJ$2&gt;1),AI497,AJ492*$B498/Параметры!AJ$30)</f>
        <v>0</v>
      </c>
      <c r="AK497" s="311">
        <f>IF(AND($B498=0,AK$2&gt;1),AJ497,AK492*$B498/Параметры!AK$30)</f>
        <v>0</v>
      </c>
      <c r="AL497" s="311">
        <f>IF(AND($B498=0,AL$2&gt;1),AK497,AL492*$B498/Параметры!AL$30)</f>
        <v>0</v>
      </c>
      <c r="AM497" s="311">
        <f>IF(AND($B498=0,AM$2&gt;1),AL497,AM492*$B498/Параметры!AM$30)</f>
        <v>0</v>
      </c>
      <c r="AN497" s="311">
        <f>IF(AND($B498=0,AN$2&gt;1),AM497,AN492*$B498/Параметры!AN$30)</f>
        <v>0</v>
      </c>
      <c r="AO497" s="311">
        <f>IF(AND($B498=0,AO$2&gt;1),AN497,AO492*$B498/Параметры!AO$30)</f>
        <v>0</v>
      </c>
      <c r="AP497" s="311">
        <f>IF(AND($B498=0,AP$2&gt;1),AO497,AP492*$B498/Параметры!AP$30)</f>
        <v>0</v>
      </c>
      <c r="AQ497" s="311">
        <f>IF(AND($B498=0,AQ$2&gt;1),AP497,AQ492*$B498/Параметры!AQ$30)</f>
        <v>0</v>
      </c>
      <c r="AR497" s="311">
        <f>IF(AND($B498=0,AR$2&gt;1),AQ497,AR492*$B498/Параметры!AR$30)</f>
        <v>0</v>
      </c>
      <c r="AS497" s="311">
        <f>IF(AND($B498=0,AS$2&gt;1),AR497,AS492*$B498/Параметры!AS$30)</f>
        <v>0</v>
      </c>
      <c r="AT497" s="311">
        <f>IF(AND($B498=0,AT$2&gt;1),AS497,AT492*$B498/Параметры!AT$30)</f>
        <v>0</v>
      </c>
      <c r="AU497" s="311">
        <f>IF(AND($B498=0,AU$2&gt;1),AT497,AU492*$B498/Параметры!AU$30)</f>
        <v>0</v>
      </c>
      <c r="AV497" s="311">
        <f>IF(AND($B498=0,AV$2&gt;1),AU497,AV492*$B498/Параметры!AV$30)</f>
        <v>0</v>
      </c>
      <c r="AW497" s="148"/>
      <c r="AX497" s="171"/>
    </row>
    <row r="498" spans="1:50" hidden="1" outlineLevel="1" x14ac:dyDescent="0.2">
      <c r="A498" s="206" t="str">
        <f ca="1">Language!A$716</f>
        <v>длительность производственного цикла</v>
      </c>
      <c r="B498" s="313">
        <v>0</v>
      </c>
      <c r="C498" s="124" t="str">
        <f ca="1">Language!$A$1446</f>
        <v>дней</v>
      </c>
      <c r="D498" s="66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71"/>
    </row>
    <row r="499" spans="1:50" hidden="1" outlineLevel="1" x14ac:dyDescent="0.2">
      <c r="A499" s="172" t="str">
        <f ca="1">Language!A$718</f>
        <v>списано на продажи в отчете о прибылях и убытках</v>
      </c>
      <c r="B499" s="195"/>
      <c r="C499" s="124" t="str">
        <f t="shared" ca="1" si="2670"/>
        <v>тыс. руб.</v>
      </c>
      <c r="D499" s="66"/>
      <c r="F499" s="57" t="s">
        <v>753</v>
      </c>
      <c r="G499" s="45">
        <f t="shared" ref="G499:AV499" si="2735">G492-IF(G$2=1, G495+G497, G495+G497-F495-F497)</f>
        <v>0</v>
      </c>
      <c r="H499" s="45">
        <f t="shared" si="2735"/>
        <v>0</v>
      </c>
      <c r="I499" s="45">
        <f t="shared" si="2735"/>
        <v>0</v>
      </c>
      <c r="J499" s="45">
        <f t="shared" si="2735"/>
        <v>0</v>
      </c>
      <c r="K499" s="45">
        <f t="shared" si="2735"/>
        <v>0</v>
      </c>
      <c r="L499" s="45">
        <f t="shared" si="2735"/>
        <v>0</v>
      </c>
      <c r="M499" s="45">
        <f t="shared" si="2735"/>
        <v>0</v>
      </c>
      <c r="N499" s="45">
        <f t="shared" si="2735"/>
        <v>0</v>
      </c>
      <c r="O499" s="45">
        <f t="shared" si="2735"/>
        <v>0</v>
      </c>
      <c r="P499" s="45">
        <f t="shared" si="2735"/>
        <v>0</v>
      </c>
      <c r="Q499" s="45">
        <f t="shared" si="2735"/>
        <v>0</v>
      </c>
      <c r="R499" s="45">
        <f t="shared" si="2735"/>
        <v>0</v>
      </c>
      <c r="S499" s="45">
        <f t="shared" si="2735"/>
        <v>0</v>
      </c>
      <c r="T499" s="45">
        <f t="shared" si="2735"/>
        <v>0</v>
      </c>
      <c r="U499" s="45">
        <f t="shared" si="2735"/>
        <v>0</v>
      </c>
      <c r="V499" s="45">
        <f t="shared" si="2735"/>
        <v>0</v>
      </c>
      <c r="W499" s="45">
        <f t="shared" si="2735"/>
        <v>0</v>
      </c>
      <c r="X499" s="45">
        <f t="shared" si="2735"/>
        <v>0</v>
      </c>
      <c r="Y499" s="45">
        <f t="shared" si="2735"/>
        <v>0</v>
      </c>
      <c r="Z499" s="45">
        <f t="shared" si="2735"/>
        <v>0</v>
      </c>
      <c r="AA499" s="45">
        <f t="shared" si="2735"/>
        <v>0</v>
      </c>
      <c r="AB499" s="45">
        <f t="shared" si="2735"/>
        <v>0</v>
      </c>
      <c r="AC499" s="45">
        <f t="shared" si="2735"/>
        <v>0</v>
      </c>
      <c r="AD499" s="45">
        <f t="shared" si="2735"/>
        <v>0</v>
      </c>
      <c r="AE499" s="45">
        <f t="shared" si="2735"/>
        <v>0</v>
      </c>
      <c r="AF499" s="45">
        <f t="shared" si="2735"/>
        <v>0</v>
      </c>
      <c r="AG499" s="45">
        <f t="shared" si="2735"/>
        <v>0</v>
      </c>
      <c r="AH499" s="45">
        <f t="shared" si="2735"/>
        <v>0</v>
      </c>
      <c r="AI499" s="45">
        <f t="shared" si="2735"/>
        <v>0</v>
      </c>
      <c r="AJ499" s="45">
        <f t="shared" si="2735"/>
        <v>0</v>
      </c>
      <c r="AK499" s="45">
        <f t="shared" si="2735"/>
        <v>0</v>
      </c>
      <c r="AL499" s="45">
        <f t="shared" si="2735"/>
        <v>0</v>
      </c>
      <c r="AM499" s="45">
        <f t="shared" si="2735"/>
        <v>0</v>
      </c>
      <c r="AN499" s="45">
        <f t="shared" si="2735"/>
        <v>0</v>
      </c>
      <c r="AO499" s="45">
        <f t="shared" si="2735"/>
        <v>0</v>
      </c>
      <c r="AP499" s="45">
        <f t="shared" si="2735"/>
        <v>0</v>
      </c>
      <c r="AQ499" s="45">
        <f t="shared" si="2735"/>
        <v>0</v>
      </c>
      <c r="AR499" s="45">
        <f t="shared" si="2735"/>
        <v>0</v>
      </c>
      <c r="AS499" s="45">
        <f t="shared" si="2735"/>
        <v>0</v>
      </c>
      <c r="AT499" s="45">
        <f t="shared" si="2735"/>
        <v>0</v>
      </c>
      <c r="AU499" s="45">
        <f t="shared" si="2735"/>
        <v>0</v>
      </c>
      <c r="AV499" s="45">
        <f t="shared" si="2735"/>
        <v>0</v>
      </c>
      <c r="AW499" s="45"/>
      <c r="AX499" s="142">
        <f>SUM(G499:AW499)</f>
        <v>0</v>
      </c>
    </row>
    <row r="500" spans="1:50" x14ac:dyDescent="0.2">
      <c r="A500" s="207" t="str">
        <f ca="1">Language!A$719</f>
        <v>Итого: затраты на персонал, с соц. взносами</v>
      </c>
      <c r="B500" s="208"/>
      <c r="C500" s="124" t="str">
        <f t="shared" ca="1" si="2670"/>
        <v>тыс. руб.</v>
      </c>
      <c r="D500" s="66">
        <v>1</v>
      </c>
      <c r="F500" s="57" t="s">
        <v>753</v>
      </c>
      <c r="G500" s="209">
        <f t="shared" ref="G500:AV500" ca="1" si="2736">G476+G484+G492</f>
        <v>27846</v>
      </c>
      <c r="H500" s="209">
        <f t="shared" ca="1" si="2736"/>
        <v>28254.607920412487</v>
      </c>
      <c r="I500" s="209">
        <f t="shared" ca="1" si="2736"/>
        <v>34403.054028710889</v>
      </c>
      <c r="J500" s="209">
        <f t="shared" ca="1" si="2736"/>
        <v>34907.879151260262</v>
      </c>
      <c r="K500" s="209">
        <f t="shared" ca="1" si="2736"/>
        <v>35420.112000000001</v>
      </c>
      <c r="L500" s="209">
        <f t="shared" ca="1" si="2736"/>
        <v>35939.861274764684</v>
      </c>
      <c r="M500" s="209">
        <f t="shared" ca="1" si="2736"/>
        <v>40221.217577684045</v>
      </c>
      <c r="N500" s="209">
        <f t="shared" ca="1" si="2736"/>
        <v>40811.417537135159</v>
      </c>
      <c r="O500" s="209">
        <f t="shared" ca="1" si="2736"/>
        <v>41410.278000000006</v>
      </c>
      <c r="P500" s="209">
        <f t="shared" ca="1" si="2736"/>
        <v>42017.926049173417</v>
      </c>
      <c r="Q500" s="209">
        <f t="shared" ca="1" si="2736"/>
        <v>42634.490632345092</v>
      </c>
      <c r="R500" s="209">
        <f t="shared" ca="1" si="2736"/>
        <v>43260.102589363276</v>
      </c>
      <c r="S500" s="209">
        <f t="shared" ca="1" si="2736"/>
        <v>43894.894679999998</v>
      </c>
      <c r="T500" s="209">
        <f t="shared" ca="1" si="2736"/>
        <v>44539.00161212383</v>
      </c>
      <c r="U500" s="209">
        <f t="shared" ca="1" si="2736"/>
        <v>45192.560070285806</v>
      </c>
      <c r="V500" s="209">
        <f t="shared" ca="1" si="2736"/>
        <v>45855.708744725067</v>
      </c>
      <c r="W500" s="209">
        <f t="shared" ca="1" si="2736"/>
        <v>46528.588360800008</v>
      </c>
      <c r="X500" s="209">
        <f t="shared" ca="1" si="2736"/>
        <v>47211.341708851258</v>
      </c>
      <c r="Y500" s="209">
        <f t="shared" ca="1" si="2736"/>
        <v>47904.113674502951</v>
      </c>
      <c r="Z500" s="209">
        <f t="shared" ca="1" si="2736"/>
        <v>48607.051269408577</v>
      </c>
      <c r="AA500" s="209">
        <f t="shared" ca="1" si="2736"/>
        <v>49320.303662448016</v>
      </c>
      <c r="AB500" s="209">
        <f t="shared" ca="1" si="2736"/>
        <v>50044.02221138234</v>
      </c>
      <c r="AC500" s="209">
        <f t="shared" ca="1" si="2736"/>
        <v>50778.360494973138</v>
      </c>
      <c r="AD500" s="209">
        <f t="shared" ca="1" si="2736"/>
        <v>51523.474345573093</v>
      </c>
      <c r="AE500" s="209">
        <f t="shared" ca="1" si="2736"/>
        <v>52279.521882194895</v>
      </c>
      <c r="AF500" s="209">
        <f t="shared" ca="1" si="2736"/>
        <v>53046.66354406529</v>
      </c>
      <c r="AG500" s="209">
        <f t="shared" ca="1" si="2736"/>
        <v>53825.062124671524</v>
      </c>
      <c r="AH500" s="209">
        <f t="shared" ca="1" si="2736"/>
        <v>54614.882806307491</v>
      </c>
      <c r="AI500" s="209">
        <f t="shared" ca="1" si="2736"/>
        <v>55416.2931951266</v>
      </c>
      <c r="AJ500" s="209">
        <f t="shared" ca="1" si="2736"/>
        <v>56229.46335670921</v>
      </c>
      <c r="AK500" s="209">
        <f t="shared" ca="1" si="2736"/>
        <v>57054.56585215182</v>
      </c>
      <c r="AL500" s="209">
        <f t="shared" ca="1" si="2736"/>
        <v>57891.775774685942</v>
      </c>
      <c r="AM500" s="209">
        <f t="shared" ca="1" si="2736"/>
        <v>58741.270786834197</v>
      </c>
      <c r="AN500" s="209">
        <f t="shared" ca="1" si="2736"/>
        <v>59603.231158111768</v>
      </c>
      <c r="AO500" s="209">
        <f t="shared" ca="1" si="2736"/>
        <v>60477.839803280935</v>
      </c>
      <c r="AP500" s="209">
        <f t="shared" ca="1" si="2736"/>
        <v>61365.282321167098</v>
      </c>
      <c r="AQ500" s="209">
        <f t="shared" ca="1" si="2736"/>
        <v>62265.747034044252</v>
      </c>
      <c r="AR500" s="209">
        <f t="shared" ca="1" si="2736"/>
        <v>63179.425027598474</v>
      </c>
      <c r="AS500" s="209">
        <f t="shared" ca="1" si="2736"/>
        <v>64106.510191477806</v>
      </c>
      <c r="AT500" s="209">
        <f t="shared" ca="1" si="2736"/>
        <v>65047.199260437133</v>
      </c>
      <c r="AU500" s="209">
        <f t="shared" ca="1" si="2736"/>
        <v>66001.691856086924</v>
      </c>
      <c r="AV500" s="209">
        <f t="shared" ca="1" si="2736"/>
        <v>66970.190529254382</v>
      </c>
      <c r="AW500" s="209"/>
      <c r="AX500" s="210">
        <f ca="1">SUM(G500:AW500)</f>
        <v>2086642.984100129</v>
      </c>
    </row>
    <row r="501" spans="1:50" collapsed="1" x14ac:dyDescent="0.2">
      <c r="A501" s="58" t="str">
        <f ca="1">Language!A$720</f>
        <v>Численность персонала</v>
      </c>
      <c r="B501" s="205"/>
      <c r="C501" s="124" t="str">
        <f ca="1">Language!$A$1455</f>
        <v>человек</v>
      </c>
      <c r="D501" s="66"/>
      <c r="F501" s="57" t="s">
        <v>1112</v>
      </c>
      <c r="G501" s="200">
        <f t="shared" ref="G501:AV501" si="2737">SUM(G$469)</f>
        <v>170</v>
      </c>
      <c r="H501" s="200">
        <f t="shared" si="2737"/>
        <v>170</v>
      </c>
      <c r="I501" s="200">
        <f t="shared" si="2737"/>
        <v>204</v>
      </c>
      <c r="J501" s="200">
        <f t="shared" si="2737"/>
        <v>204</v>
      </c>
      <c r="K501" s="200">
        <f t="shared" si="2737"/>
        <v>204</v>
      </c>
      <c r="L501" s="200">
        <f t="shared" si="2737"/>
        <v>204</v>
      </c>
      <c r="M501" s="200">
        <f t="shared" si="2737"/>
        <v>225</v>
      </c>
      <c r="N501" s="200">
        <f t="shared" si="2737"/>
        <v>225</v>
      </c>
      <c r="O501" s="200">
        <f t="shared" si="2737"/>
        <v>225</v>
      </c>
      <c r="P501" s="200">
        <f t="shared" si="2737"/>
        <v>225</v>
      </c>
      <c r="Q501" s="200">
        <f t="shared" si="2737"/>
        <v>225</v>
      </c>
      <c r="R501" s="200">
        <f t="shared" si="2737"/>
        <v>225</v>
      </c>
      <c r="S501" s="200">
        <f t="shared" si="2737"/>
        <v>225</v>
      </c>
      <c r="T501" s="200">
        <f t="shared" si="2737"/>
        <v>225</v>
      </c>
      <c r="U501" s="200">
        <f t="shared" si="2737"/>
        <v>225</v>
      </c>
      <c r="V501" s="200">
        <f t="shared" si="2737"/>
        <v>225</v>
      </c>
      <c r="W501" s="200">
        <f t="shared" si="2737"/>
        <v>225</v>
      </c>
      <c r="X501" s="200">
        <f t="shared" si="2737"/>
        <v>225</v>
      </c>
      <c r="Y501" s="200">
        <f t="shared" si="2737"/>
        <v>225</v>
      </c>
      <c r="Z501" s="200">
        <f t="shared" si="2737"/>
        <v>225</v>
      </c>
      <c r="AA501" s="200">
        <f t="shared" si="2737"/>
        <v>225</v>
      </c>
      <c r="AB501" s="200">
        <f t="shared" si="2737"/>
        <v>225</v>
      </c>
      <c r="AC501" s="200">
        <f t="shared" si="2737"/>
        <v>225</v>
      </c>
      <c r="AD501" s="200">
        <f t="shared" si="2737"/>
        <v>225</v>
      </c>
      <c r="AE501" s="200">
        <f t="shared" si="2737"/>
        <v>225</v>
      </c>
      <c r="AF501" s="200">
        <f t="shared" si="2737"/>
        <v>225</v>
      </c>
      <c r="AG501" s="200">
        <f t="shared" si="2737"/>
        <v>225</v>
      </c>
      <c r="AH501" s="200">
        <f t="shared" si="2737"/>
        <v>225</v>
      </c>
      <c r="AI501" s="200">
        <f t="shared" si="2737"/>
        <v>225</v>
      </c>
      <c r="AJ501" s="200">
        <f t="shared" si="2737"/>
        <v>225</v>
      </c>
      <c r="AK501" s="200">
        <f t="shared" si="2737"/>
        <v>225</v>
      </c>
      <c r="AL501" s="200">
        <f t="shared" si="2737"/>
        <v>225</v>
      </c>
      <c r="AM501" s="200">
        <f t="shared" si="2737"/>
        <v>225</v>
      </c>
      <c r="AN501" s="200">
        <f t="shared" si="2737"/>
        <v>225</v>
      </c>
      <c r="AO501" s="200">
        <f t="shared" si="2737"/>
        <v>225</v>
      </c>
      <c r="AP501" s="200">
        <f t="shared" si="2737"/>
        <v>225</v>
      </c>
      <c r="AQ501" s="200">
        <f t="shared" si="2737"/>
        <v>225</v>
      </c>
      <c r="AR501" s="200">
        <f t="shared" si="2737"/>
        <v>225</v>
      </c>
      <c r="AS501" s="200">
        <f t="shared" si="2737"/>
        <v>225</v>
      </c>
      <c r="AT501" s="200">
        <f t="shared" si="2737"/>
        <v>225</v>
      </c>
      <c r="AU501" s="200">
        <f t="shared" si="2737"/>
        <v>225</v>
      </c>
      <c r="AV501" s="200">
        <f t="shared" si="2737"/>
        <v>225</v>
      </c>
      <c r="AW501" s="200"/>
      <c r="AX501" s="142"/>
    </row>
    <row r="502" spans="1:50" hidden="1" outlineLevel="1" x14ac:dyDescent="0.2">
      <c r="A502" s="172" t="str">
        <f ca="1">Language!A$721</f>
        <v>заработная плата</v>
      </c>
      <c r="B502" s="205"/>
      <c r="C502" s="124" t="str">
        <f t="shared" ca="1" si="2670"/>
        <v>тыс. руб.</v>
      </c>
      <c r="D502" s="66">
        <v>1</v>
      </c>
      <c r="F502" s="57" t="s">
        <v>753</v>
      </c>
      <c r="G502" s="200">
        <f t="shared" ref="G502:K503" ca="1" si="2738">G477+G485+G493</f>
        <v>21420</v>
      </c>
      <c r="H502" s="200">
        <f t="shared" ca="1" si="2738"/>
        <v>21734.313784932681</v>
      </c>
      <c r="I502" s="200">
        <f t="shared" ca="1" si="2738"/>
        <v>26463.887714392993</v>
      </c>
      <c r="J502" s="200">
        <f t="shared" ca="1" si="2738"/>
        <v>26852.214731738663</v>
      </c>
      <c r="K502" s="200">
        <f t="shared" ca="1" si="2738"/>
        <v>27246.239999999998</v>
      </c>
      <c r="L502" s="200">
        <f t="shared" ref="L502:M502" ca="1" si="2739">L477+L485+L493</f>
        <v>27646.047134434371</v>
      </c>
      <c r="M502" s="200">
        <f t="shared" ca="1" si="2739"/>
        <v>30939.398136680036</v>
      </c>
      <c r="N502" s="200">
        <f t="shared" ref="N502:O502" ca="1" si="2740">N477+N485+N493</f>
        <v>31393.398105488581</v>
      </c>
      <c r="O502" s="200">
        <f t="shared" ca="1" si="2740"/>
        <v>31854.06</v>
      </c>
      <c r="P502" s="200">
        <f t="shared" ref="P502:Q502" ca="1" si="2741">P477+P485+P493</f>
        <v>32321.481576287246</v>
      </c>
      <c r="Q502" s="200">
        <f t="shared" ca="1" si="2741"/>
        <v>32795.762024880838</v>
      </c>
      <c r="R502" s="200">
        <f t="shared" ref="R502:S502" ca="1" si="2742">R477+R485+R493</f>
        <v>33277.001991817902</v>
      </c>
      <c r="S502" s="200">
        <f t="shared" ca="1" si="2742"/>
        <v>33765.303599999999</v>
      </c>
      <c r="T502" s="200">
        <f t="shared" ref="T502:U502" ca="1" si="2743">T477+T485+T493</f>
        <v>34260.770470864481</v>
      </c>
      <c r="U502" s="200">
        <f t="shared" ca="1" si="2743"/>
        <v>34763.507746373696</v>
      </c>
      <c r="V502" s="200">
        <f t="shared" ref="V502:W502" ca="1" si="2744">V477+V485+V493</f>
        <v>35273.622111326971</v>
      </c>
      <c r="W502" s="200">
        <f t="shared" ca="1" si="2744"/>
        <v>35791.221816000005</v>
      </c>
      <c r="X502" s="200">
        <f t="shared" ref="X502:Y502" ca="1" si="2745">X477+X485+X493</f>
        <v>36316.416699116351</v>
      </c>
      <c r="Y502" s="200">
        <f t="shared" ca="1" si="2745"/>
        <v>36849.318211156118</v>
      </c>
      <c r="Z502" s="200">
        <f t="shared" ref="Z502:AA502" ca="1" si="2746">Z477+Z485+Z493</f>
        <v>37390.039438006599</v>
      </c>
      <c r="AA502" s="200">
        <f t="shared" ca="1" si="2746"/>
        <v>37938.69512496001</v>
      </c>
      <c r="AB502" s="200">
        <f t="shared" ref="AB502:AC502" ca="1" si="2747">AB477+AB485+AB493</f>
        <v>38495.40170106334</v>
      </c>
      <c r="AC502" s="200">
        <f t="shared" ca="1" si="2747"/>
        <v>39060.277303825489</v>
      </c>
      <c r="AD502" s="200">
        <f t="shared" ref="AD502:AE502" ca="1" si="2748">AD477+AD485+AD493</f>
        <v>39633.441804286995</v>
      </c>
      <c r="AE502" s="200">
        <f t="shared" ca="1" si="2748"/>
        <v>40215.016832457608</v>
      </c>
      <c r="AF502" s="200">
        <f t="shared" ref="AF502:AG502" ca="1" si="2749">AF477+AF485+AF493</f>
        <v>40805.125803127143</v>
      </c>
      <c r="AG502" s="200">
        <f t="shared" ca="1" si="2749"/>
        <v>41403.893942055016</v>
      </c>
      <c r="AH502" s="200">
        <f t="shared" ref="AH502:AI502" ca="1" si="2750">AH477+AH485+AH493</f>
        <v>42011.44831254422</v>
      </c>
      <c r="AI502" s="200">
        <f t="shared" ca="1" si="2750"/>
        <v>42627.917842405077</v>
      </c>
      <c r="AJ502" s="200">
        <f t="shared" ref="AJ502:AK502" ca="1" si="2751">AJ477+AJ485+AJ493</f>
        <v>43253.433351314772</v>
      </c>
      <c r="AK502" s="200">
        <f t="shared" ca="1" si="2751"/>
        <v>43888.127578578322</v>
      </c>
      <c r="AL502" s="200">
        <f t="shared" ref="AL502:AM502" ca="1" si="2752">AL477+AL485+AL493</f>
        <v>44532.135211296874</v>
      </c>
      <c r="AM502" s="200">
        <f t="shared" ca="1" si="2752"/>
        <v>45185.592912949382</v>
      </c>
      <c r="AN502" s="200">
        <f t="shared" ref="AN502:AO502" ca="1" si="2753">AN477+AN485+AN493</f>
        <v>45848.639352393664</v>
      </c>
      <c r="AO502" s="200">
        <f t="shared" ca="1" si="2753"/>
        <v>46521.415233293024</v>
      </c>
      <c r="AP502" s="200">
        <f t="shared" ref="AP502:AQ502" ca="1" si="2754">AP477+AP485+AP493</f>
        <v>47204.063323974689</v>
      </c>
      <c r="AQ502" s="200">
        <f t="shared" ca="1" si="2754"/>
        <v>47896.728487726345</v>
      </c>
      <c r="AR502" s="200">
        <f t="shared" ref="AR502:AS502" ca="1" si="2755">AR477+AR485+AR493</f>
        <v>48599.557713537288</v>
      </c>
      <c r="AS502" s="200">
        <f t="shared" ca="1" si="2755"/>
        <v>49312.700147290619</v>
      </c>
      <c r="AT502" s="200">
        <f t="shared" ref="AT502:AU502" ca="1" si="2756">AT477+AT485+AT493</f>
        <v>50036.307123413178</v>
      </c>
      <c r="AU502" s="200">
        <f t="shared" ca="1" si="2756"/>
        <v>50770.532196989938</v>
      </c>
      <c r="AV502" s="200">
        <f t="shared" ref="AV502" ca="1" si="2757">AV477+AV485+AV493</f>
        <v>51515.531176349527</v>
      </c>
      <c r="AW502" s="200"/>
      <c r="AX502" s="142">
        <f ca="1">SUM(G502:AW502)</f>
        <v>1605109.9877693302</v>
      </c>
    </row>
    <row r="503" spans="1:50" hidden="1" outlineLevel="1" x14ac:dyDescent="0.2">
      <c r="A503" s="172" t="str">
        <f ca="1">Language!A$722</f>
        <v>социальные взносы</v>
      </c>
      <c r="B503" s="205"/>
      <c r="C503" s="124" t="str">
        <f t="shared" ca="1" si="2670"/>
        <v>тыс. руб.</v>
      </c>
      <c r="D503" s="66">
        <v>1</v>
      </c>
      <c r="F503" s="57" t="s">
        <v>753</v>
      </c>
      <c r="G503" s="200">
        <f t="shared" ca="1" si="2738"/>
        <v>6426.0000000000009</v>
      </c>
      <c r="H503" s="200">
        <f t="shared" ca="1" si="2738"/>
        <v>6520.2941354798049</v>
      </c>
      <c r="I503" s="200">
        <f t="shared" ca="1" si="2738"/>
        <v>7939.1663143178994</v>
      </c>
      <c r="J503" s="200">
        <f t="shared" ca="1" si="2738"/>
        <v>8055.6644195216004</v>
      </c>
      <c r="K503" s="200">
        <f t="shared" ca="1" si="2738"/>
        <v>8173.8720000000003</v>
      </c>
      <c r="L503" s="200">
        <f t="shared" ref="L503:M503" ca="1" si="2758">L478+L486+L494</f>
        <v>8293.8141403303125</v>
      </c>
      <c r="M503" s="200">
        <f t="shared" ca="1" si="2758"/>
        <v>9281.8194410040123</v>
      </c>
      <c r="N503" s="200">
        <f t="shared" ref="N503:O503" ca="1" si="2759">N478+N486+N494</f>
        <v>9418.019431646575</v>
      </c>
      <c r="O503" s="200">
        <f t="shared" ca="1" si="2759"/>
        <v>9556.2180000000026</v>
      </c>
      <c r="P503" s="200">
        <f t="shared" ref="P503:Q503" ca="1" si="2760">P478+P486+P494</f>
        <v>9696.4444728861745</v>
      </c>
      <c r="Q503" s="200">
        <f t="shared" ca="1" si="2760"/>
        <v>9838.7286074642525</v>
      </c>
      <c r="R503" s="200">
        <f t="shared" ref="R503:S503" ca="1" si="2761">R478+R486+R494</f>
        <v>9983.1005975453718</v>
      </c>
      <c r="S503" s="200">
        <f t="shared" ca="1" si="2761"/>
        <v>10129.591080000002</v>
      </c>
      <c r="T503" s="200">
        <f t="shared" ref="T503:U503" ca="1" si="2762">T478+T486+T494</f>
        <v>10278.231141259346</v>
      </c>
      <c r="U503" s="200">
        <f t="shared" ca="1" si="2762"/>
        <v>10429.05232391211</v>
      </c>
      <c r="V503" s="200">
        <f t="shared" ref="V503:W503" ca="1" si="2763">V478+V486+V494</f>
        <v>10582.086633398092</v>
      </c>
      <c r="W503" s="200">
        <f t="shared" ca="1" si="2763"/>
        <v>10737.366544800003</v>
      </c>
      <c r="X503" s="200">
        <f t="shared" ref="X503:Y503" ca="1" si="2764">X478+X486+X494</f>
        <v>10894.925009734907</v>
      </c>
      <c r="Y503" s="200">
        <f t="shared" ca="1" si="2764"/>
        <v>11054.795463346836</v>
      </c>
      <c r="Z503" s="200">
        <f t="shared" ref="Z503:AA503" ca="1" si="2765">Z478+Z486+Z494</f>
        <v>11217.011831401982</v>
      </c>
      <c r="AA503" s="200">
        <f t="shared" ca="1" si="2765"/>
        <v>11381.608537488004</v>
      </c>
      <c r="AB503" s="200">
        <f t="shared" ref="AB503:AC503" ca="1" si="2766">AB478+AB486+AB494</f>
        <v>11548.620510319004</v>
      </c>
      <c r="AC503" s="200">
        <f t="shared" ca="1" si="2766"/>
        <v>11718.083191147649</v>
      </c>
      <c r="AD503" s="200">
        <f t="shared" ref="AD503:AE503" ca="1" si="2767">AD478+AD486+AD494</f>
        <v>11890.0325412861</v>
      </c>
      <c r="AE503" s="200">
        <f t="shared" ca="1" si="2767"/>
        <v>12064.505049737285</v>
      </c>
      <c r="AF503" s="200">
        <f t="shared" ref="AF503:AG503" ca="1" si="2768">AF478+AF486+AF494</f>
        <v>12241.537740938145</v>
      </c>
      <c r="AG503" s="200">
        <f t="shared" ca="1" si="2768"/>
        <v>12421.168182616506</v>
      </c>
      <c r="AH503" s="200">
        <f t="shared" ref="AH503:AI503" ca="1" si="2769">AH478+AH486+AH494</f>
        <v>12603.434493763269</v>
      </c>
      <c r="AI503" s="200">
        <f t="shared" ca="1" si="2769"/>
        <v>12788.375352721525</v>
      </c>
      <c r="AJ503" s="200">
        <f t="shared" ref="AJ503:AK503" ca="1" si="2770">AJ478+AJ486+AJ494</f>
        <v>12976.030005394434</v>
      </c>
      <c r="AK503" s="200">
        <f t="shared" ca="1" si="2770"/>
        <v>13166.438273573498</v>
      </c>
      <c r="AL503" s="200">
        <f t="shared" ref="AL503:AM503" ca="1" si="2771">AL478+AL486+AL494</f>
        <v>13359.640563389064</v>
      </c>
      <c r="AM503" s="200">
        <f t="shared" ca="1" si="2771"/>
        <v>13555.677873884817</v>
      </c>
      <c r="AN503" s="200">
        <f t="shared" ref="AN503:AO503" ca="1" si="2772">AN478+AN486+AN494</f>
        <v>13754.591805718101</v>
      </c>
      <c r="AO503" s="200">
        <f t="shared" ca="1" si="2772"/>
        <v>13956.42456998791</v>
      </c>
      <c r="AP503" s="200">
        <f t="shared" ref="AP503:AQ503" ca="1" si="2773">AP478+AP486+AP494</f>
        <v>14161.218997192409</v>
      </c>
      <c r="AQ503" s="200">
        <f t="shared" ca="1" si="2773"/>
        <v>14369.018546317906</v>
      </c>
      <c r="AR503" s="200">
        <f t="shared" ref="AR503:AS503" ca="1" si="2774">AR478+AR486+AR494</f>
        <v>14579.867314061188</v>
      </c>
      <c r="AS503" s="200">
        <f t="shared" ca="1" si="2774"/>
        <v>14793.810044187188</v>
      </c>
      <c r="AT503" s="200">
        <f t="shared" ref="AT503:AU503" ca="1" si="2775">AT478+AT486+AT494</f>
        <v>15010.892137023955</v>
      </c>
      <c r="AU503" s="200">
        <f t="shared" ca="1" si="2775"/>
        <v>15231.159659096984</v>
      </c>
      <c r="AV503" s="200">
        <f t="shared" ref="AV503" ca="1" si="2776">AV478+AV486+AV494</f>
        <v>15454.65935290486</v>
      </c>
      <c r="AW503" s="200"/>
      <c r="AX503" s="142">
        <f ca="1">SUM(G503:AW503)</f>
        <v>481532.99633079901</v>
      </c>
    </row>
    <row r="504" spans="1:50" hidden="1" outlineLevel="1" x14ac:dyDescent="0.2">
      <c r="A504" s="172" t="str">
        <f ca="1">Language!A$724</f>
        <v>задолженность по заработной плате</v>
      </c>
      <c r="B504" s="124"/>
      <c r="C504" s="124" t="str">
        <f t="shared" ca="1" si="2670"/>
        <v>тыс. руб.</v>
      </c>
      <c r="D504" s="66"/>
      <c r="F504" s="57" t="s">
        <v>754</v>
      </c>
      <c r="G504" s="327">
        <f ca="1">IF(AND($B505=0,G$2&gt;1),F504,G502*$B505/Параметры!G$30)</f>
        <v>3570</v>
      </c>
      <c r="H504" s="327">
        <f ca="1">IF(AND($B505=0,H$2&gt;1),G504,H502*$B505/Параметры!H$30)</f>
        <v>3622.3856308221139</v>
      </c>
      <c r="I504" s="327">
        <f ca="1">IF(AND($B505=0,I$2&gt;1),H504,I502*$B505/Параметры!I$30)</f>
        <v>4410.6479523988328</v>
      </c>
      <c r="J504" s="327">
        <f ca="1">IF(AND($B505=0,J$2&gt;1),I504,J502*$B505/Параметры!J$30)</f>
        <v>4475.3691219564435</v>
      </c>
      <c r="K504" s="327">
        <f ca="1">IF(AND($B505=0,K$2&gt;1),J504,K502*$B505/Параметры!K$30)</f>
        <v>4541.04</v>
      </c>
      <c r="L504" s="327">
        <f ca="1">IF(AND($B505=0,L$2&gt;1),K504,L502*$B505/Параметры!L$30)</f>
        <v>4607.6745224057286</v>
      </c>
      <c r="M504" s="327">
        <f ca="1">IF(AND($B505=0,M$2&gt;1),L504,M502*$B505/Параметры!M$30)</f>
        <v>5156.5663561133397</v>
      </c>
      <c r="N504" s="327">
        <f ca="1">IF(AND($B505=0,N$2&gt;1),M504,N502*$B505/Параметры!N$30)</f>
        <v>5232.2330175814304</v>
      </c>
      <c r="O504" s="327">
        <f ca="1">IF(AND($B505=0,O$2&gt;1),N504,O502*$B505/Параметры!O$30)</f>
        <v>5309.01</v>
      </c>
      <c r="P504" s="327">
        <f ca="1">IF(AND($B505=0,P$2&gt;1),O504,P502*$B505/Параметры!P$30)</f>
        <v>5386.9135960478743</v>
      </c>
      <c r="Q504" s="327">
        <f ca="1">IF(AND($B505=0,Q$2&gt;1),P504,Q502*$B505/Параметры!Q$30)</f>
        <v>5465.9603374801391</v>
      </c>
      <c r="R504" s="327">
        <f ca="1">IF(AND($B505=0,R$2&gt;1),Q504,R502*$B505/Параметры!R$30)</f>
        <v>5546.1669986363167</v>
      </c>
      <c r="S504" s="327">
        <f ca="1">IF(AND($B505=0,S$2&gt;1),R504,S502*$B505/Параметры!S$30)</f>
        <v>5627.5506000000005</v>
      </c>
      <c r="T504" s="327">
        <f ca="1">IF(AND($B505=0,T$2&gt;1),S504,T502*$B505/Параметры!T$30)</f>
        <v>5710.1284118107469</v>
      </c>
      <c r="U504" s="327">
        <f ca="1">IF(AND($B505=0,U$2&gt;1),T504,U502*$B505/Параметры!U$30)</f>
        <v>5793.9179577289487</v>
      </c>
      <c r="V504" s="327">
        <f ca="1">IF(AND($B505=0,V$2&gt;1),U504,V502*$B505/Параметры!V$30)</f>
        <v>5878.9370185544949</v>
      </c>
      <c r="W504" s="327">
        <f ca="1">IF(AND($B505=0,W$2&gt;1),V504,W502*$B505/Параметры!W$30)</f>
        <v>5965.2036360000002</v>
      </c>
      <c r="X504" s="327">
        <f ca="1">IF(AND($B505=0,X$2&gt;1),W504,X502*$B505/Параметры!X$30)</f>
        <v>6052.7361165193915</v>
      </c>
      <c r="Y504" s="327">
        <f ca="1">IF(AND($B505=0,Y$2&gt;1),X504,Y502*$B505/Параметры!Y$30)</f>
        <v>6141.5530351926855</v>
      </c>
      <c r="Z504" s="327">
        <f ca="1">IF(AND($B505=0,Z$2&gt;1),Y504,Z502*$B505/Параметры!Z$30)</f>
        <v>6231.6732396677671</v>
      </c>
      <c r="AA504" s="327">
        <f ca="1">IF(AND($B505=0,AA$2&gt;1),Z504,AA502*$B505/Параметры!AA$30)</f>
        <v>6323.1158541600016</v>
      </c>
      <c r="AB504" s="327">
        <f ca="1">IF(AND($B505=0,AB$2&gt;1),AA504,AB502*$B505/Параметры!AB$30)</f>
        <v>6415.9002835105557</v>
      </c>
      <c r="AC504" s="327">
        <f ca="1">IF(AND($B505=0,AC$2&gt;1),AB504,AC502*$B505/Параметры!AC$30)</f>
        <v>6510.0462173042479</v>
      </c>
      <c r="AD504" s="327">
        <f ca="1">IF(AND($B505=0,AD$2&gt;1),AC504,AD502*$B505/Параметры!AD$30)</f>
        <v>6605.5736340478325</v>
      </c>
      <c r="AE504" s="327">
        <f ca="1">IF(AND($B505=0,AE$2&gt;1),AD504,AE502*$B505/Параметры!AE$30)</f>
        <v>6702.502805409601</v>
      </c>
      <c r="AF504" s="327">
        <f ca="1">IF(AND($B505=0,AF$2&gt;1),AE504,AF502*$B505/Параметры!AF$30)</f>
        <v>6800.8543005211895</v>
      </c>
      <c r="AG504" s="327">
        <f ca="1">IF(AND($B505=0,AG$2&gt;1),AF504,AG502*$B505/Параметры!AG$30)</f>
        <v>6900.6489903425017</v>
      </c>
      <c r="AH504" s="327">
        <f ca="1">IF(AND($B505=0,AH$2&gt;1),AG504,AH502*$B505/Параметры!AH$30)</f>
        <v>7001.9080520907028</v>
      </c>
      <c r="AI504" s="327">
        <f ca="1">IF(AND($B505=0,AI$2&gt;1),AH504,AI502*$B505/Параметры!AI$30)</f>
        <v>7104.6529737341798</v>
      </c>
      <c r="AJ504" s="327">
        <f ca="1">IF(AND($B505=0,AJ$2&gt;1),AI504,AJ502*$B505/Параметры!AJ$30)</f>
        <v>7208.905558552462</v>
      </c>
      <c r="AK504" s="327">
        <f ca="1">IF(AND($B505=0,AK$2&gt;1),AJ504,AK502*$B505/Параметры!AK$30)</f>
        <v>7314.6879297630539</v>
      </c>
      <c r="AL504" s="327">
        <f ca="1">IF(AND($B505=0,AL$2&gt;1),AK504,AL502*$B505/Параметры!AL$30)</f>
        <v>7422.022535216146</v>
      </c>
      <c r="AM504" s="327">
        <f ca="1">IF(AND($B505=0,AM$2&gt;1),AL504,AM502*$B505/Параметры!AM$30)</f>
        <v>7530.9321521582306</v>
      </c>
      <c r="AN504" s="327">
        <f ca="1">IF(AND($B505=0,AN$2&gt;1),AM504,AN502*$B505/Параметры!AN$30)</f>
        <v>7641.4398920656104</v>
      </c>
      <c r="AO504" s="327">
        <f ca="1">IF(AND($B505=0,AO$2&gt;1),AN504,AO502*$B505/Параметры!AO$30)</f>
        <v>7753.5692055488371</v>
      </c>
      <c r="AP504" s="327">
        <f ca="1">IF(AND($B505=0,AP$2&gt;1),AO504,AP502*$B505/Параметры!AP$30)</f>
        <v>7867.3438873291143</v>
      </c>
      <c r="AQ504" s="327">
        <f ca="1">IF(AND($B505=0,AQ$2&gt;1),AP504,AQ502*$B505/Параметры!AQ$30)</f>
        <v>7982.7880812877247</v>
      </c>
      <c r="AR504" s="327">
        <f ca="1">IF(AND($B505=0,AR$2&gt;1),AQ504,AR502*$B505/Параметры!AR$30)</f>
        <v>8099.9262855895486</v>
      </c>
      <c r="AS504" s="327">
        <f ca="1">IF(AND($B505=0,AS$2&gt;1),AR504,AS502*$B505/Параметры!AS$30)</f>
        <v>8218.7833578817699</v>
      </c>
      <c r="AT504" s="327">
        <f ca="1">IF(AND($B505=0,AT$2&gt;1),AS504,AT502*$B505/Параметры!AT$30)</f>
        <v>8339.3845205688631</v>
      </c>
      <c r="AU504" s="327">
        <f ca="1">IF(AND($B505=0,AU$2&gt;1),AT504,AU502*$B505/Параметры!AU$30)</f>
        <v>8461.755366164989</v>
      </c>
      <c r="AV504" s="327">
        <f ca="1">IF(AND($B505=0,AV$2&gt;1),AU504,AV502*$B505/Параметры!AV$30)</f>
        <v>8585.9218627249211</v>
      </c>
      <c r="AW504" s="211"/>
    </row>
    <row r="505" spans="1:50" hidden="1" outlineLevel="1" x14ac:dyDescent="0.2">
      <c r="A505" s="206" t="str">
        <f ca="1">Language!A$723</f>
        <v>периодичность выплаты заработной платы</v>
      </c>
      <c r="B505" s="313">
        <f>B660</f>
        <v>15</v>
      </c>
      <c r="C505" s="124" t="str">
        <f ca="1">Language!$A$1446</f>
        <v>дней</v>
      </c>
      <c r="D505" s="66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48"/>
      <c r="AX505" s="150"/>
    </row>
    <row r="506" spans="1:50" hidden="1" outlineLevel="1" x14ac:dyDescent="0.2">
      <c r="A506" s="172" t="str">
        <f ca="1">Language!A$726</f>
        <v>задолженность перед внебюджетными фондами</v>
      </c>
      <c r="B506" s="124"/>
      <c r="C506" s="124" t="str">
        <f t="shared" ca="1" si="2670"/>
        <v>тыс. руб.</v>
      </c>
      <c r="D506" s="66"/>
      <c r="F506" s="57" t="s">
        <v>754</v>
      </c>
      <c r="G506" s="327">
        <f ca="1">IF(AND($B507=0,G$2&gt;1),F506,G503*$B507/Параметры!G$30)</f>
        <v>2142.0000000000005</v>
      </c>
      <c r="H506" s="327">
        <f ca="1">IF(AND($B507=0,H$2&gt;1),G506,H503*$B507/Параметры!H$30)</f>
        <v>2173.4313784932683</v>
      </c>
      <c r="I506" s="327">
        <f ca="1">IF(AND($B507=0,I$2&gt;1),H506,I503*$B507/Параметры!I$30)</f>
        <v>2646.3887714392995</v>
      </c>
      <c r="J506" s="327">
        <f ca="1">IF(AND($B507=0,J$2&gt;1),I506,J503*$B507/Параметры!J$30)</f>
        <v>2685.2214731738668</v>
      </c>
      <c r="K506" s="327">
        <f ca="1">IF(AND($B507=0,K$2&gt;1),J506,K503*$B507/Параметры!K$30)</f>
        <v>2724.6240000000003</v>
      </c>
      <c r="L506" s="327">
        <f ca="1">IF(AND($B507=0,L$2&gt;1),K506,L503*$B507/Параметры!L$30)</f>
        <v>2764.6047134434375</v>
      </c>
      <c r="M506" s="327">
        <f ca="1">IF(AND($B507=0,M$2&gt;1),L506,M503*$B507/Параметры!M$30)</f>
        <v>3093.9398136680038</v>
      </c>
      <c r="N506" s="327">
        <f ca="1">IF(AND($B507=0,N$2&gt;1),M506,N503*$B507/Параметры!N$30)</f>
        <v>3139.3398105488586</v>
      </c>
      <c r="O506" s="327">
        <f ca="1">IF(AND($B507=0,O$2&gt;1),N506,O503*$B507/Параметры!O$30)</f>
        <v>3185.4060000000009</v>
      </c>
      <c r="P506" s="327">
        <f ca="1">IF(AND($B507=0,P$2&gt;1),O506,P503*$B507/Параметры!P$30)</f>
        <v>3232.1481576287247</v>
      </c>
      <c r="Q506" s="327">
        <f ca="1">IF(AND($B507=0,Q$2&gt;1),P506,Q503*$B507/Параметры!Q$30)</f>
        <v>3279.5762024880842</v>
      </c>
      <c r="R506" s="327">
        <f ca="1">IF(AND($B507=0,R$2&gt;1),Q506,R503*$B507/Параметры!R$30)</f>
        <v>3327.700199181791</v>
      </c>
      <c r="S506" s="327">
        <f ca="1">IF(AND($B507=0,S$2&gt;1),R506,S503*$B507/Параметры!S$30)</f>
        <v>3376.5303600000002</v>
      </c>
      <c r="T506" s="327">
        <f ca="1">IF(AND($B507=0,T$2&gt;1),S506,T503*$B507/Параметры!T$30)</f>
        <v>3426.0770470864491</v>
      </c>
      <c r="U506" s="327">
        <f ca="1">IF(AND($B507=0,U$2&gt;1),T506,U503*$B507/Параметры!U$30)</f>
        <v>3476.3507746373703</v>
      </c>
      <c r="V506" s="327">
        <f ca="1">IF(AND($B507=0,V$2&gt;1),U506,V503*$B507/Параметры!V$30)</f>
        <v>3527.3622111326977</v>
      </c>
      <c r="W506" s="327">
        <f ca="1">IF(AND($B507=0,W$2&gt;1),V506,W503*$B507/Параметры!W$30)</f>
        <v>3579.1221816000011</v>
      </c>
      <c r="X506" s="327">
        <f ca="1">IF(AND($B507=0,X$2&gt;1),W506,X503*$B507/Параметры!X$30)</f>
        <v>3631.6416699116357</v>
      </c>
      <c r="Y506" s="327">
        <f ca="1">IF(AND($B507=0,Y$2&gt;1),X506,Y503*$B507/Параметры!Y$30)</f>
        <v>3684.9318211156119</v>
      </c>
      <c r="Z506" s="327">
        <f ca="1">IF(AND($B507=0,Z$2&gt;1),Y506,Z503*$B507/Параметры!Z$30)</f>
        <v>3739.0039438006602</v>
      </c>
      <c r="AA506" s="327">
        <f ca="1">IF(AND($B507=0,AA$2&gt;1),Z506,AA503*$B507/Параметры!AA$30)</f>
        <v>3793.8695124960013</v>
      </c>
      <c r="AB506" s="327">
        <f ca="1">IF(AND($B507=0,AB$2&gt;1),AA506,AB503*$B507/Параметры!AB$30)</f>
        <v>3849.5401701063342</v>
      </c>
      <c r="AC506" s="327">
        <f ca="1">IF(AND($B507=0,AC$2&gt;1),AB506,AC503*$B507/Параметры!AC$30)</f>
        <v>3906.0277303825496</v>
      </c>
      <c r="AD506" s="327">
        <f ca="1">IF(AND($B507=0,AD$2&gt;1),AC506,AD503*$B507/Параметры!AD$30)</f>
        <v>3963.3441804286999</v>
      </c>
      <c r="AE506" s="327">
        <f ca="1">IF(AND($B507=0,AE$2&gt;1),AD506,AE503*$B507/Параметры!AE$30)</f>
        <v>4021.5016832457618</v>
      </c>
      <c r="AF506" s="327">
        <f ca="1">IF(AND($B507=0,AF$2&gt;1),AE506,AF503*$B507/Параметры!AF$30)</f>
        <v>4080.5125803127153</v>
      </c>
      <c r="AG506" s="327">
        <f ca="1">IF(AND($B507=0,AG$2&gt;1),AF506,AG503*$B507/Параметры!AG$30)</f>
        <v>4140.389394205502</v>
      </c>
      <c r="AH506" s="327">
        <f ca="1">IF(AND($B507=0,AH$2&gt;1),AG506,AH503*$B507/Параметры!AH$30)</f>
        <v>4201.1448312544235</v>
      </c>
      <c r="AI506" s="327">
        <f ca="1">IF(AND($B507=0,AI$2&gt;1),AH506,AI503*$B507/Параметры!AI$30)</f>
        <v>4262.7917842405086</v>
      </c>
      <c r="AJ506" s="327">
        <f ca="1">IF(AND($B507=0,AJ$2&gt;1),AI506,AJ503*$B507/Параметры!AJ$30)</f>
        <v>4325.3433351314779</v>
      </c>
      <c r="AK506" s="327">
        <f ca="1">IF(AND($B507=0,AK$2&gt;1),AJ506,AK503*$B507/Параметры!AK$30)</f>
        <v>4388.8127578578324</v>
      </c>
      <c r="AL506" s="327">
        <f ca="1">IF(AND($B507=0,AL$2&gt;1),AK506,AL503*$B507/Параметры!AL$30)</f>
        <v>4453.2135211296882</v>
      </c>
      <c r="AM506" s="327">
        <f ca="1">IF(AND($B507=0,AM$2&gt;1),AL506,AM503*$B507/Параметры!AM$30)</f>
        <v>4518.5592912949387</v>
      </c>
      <c r="AN506" s="327">
        <f ca="1">IF(AND($B507=0,AN$2&gt;1),AM506,AN503*$B507/Параметры!AN$30)</f>
        <v>4584.8639352393666</v>
      </c>
      <c r="AO506" s="327">
        <f ca="1">IF(AND($B507=0,AO$2&gt;1),AN506,AO503*$B507/Параметры!AO$30)</f>
        <v>4652.1415233293028</v>
      </c>
      <c r="AP506" s="327">
        <f ca="1">IF(AND($B507=0,AP$2&gt;1),AO506,AP503*$B507/Параметры!AP$30)</f>
        <v>4720.4063323974697</v>
      </c>
      <c r="AQ506" s="327">
        <f ca="1">IF(AND($B507=0,AQ$2&gt;1),AP506,AQ503*$B507/Параметры!AQ$30)</f>
        <v>4789.672848772635</v>
      </c>
      <c r="AR506" s="327">
        <f ca="1">IF(AND($B507=0,AR$2&gt;1),AQ506,AR503*$B507/Параметры!AR$30)</f>
        <v>4859.9557713537297</v>
      </c>
      <c r="AS506" s="327">
        <f ca="1">IF(AND($B507=0,AS$2&gt;1),AR506,AS503*$B507/Параметры!AS$30)</f>
        <v>4931.2700147290634</v>
      </c>
      <c r="AT506" s="327">
        <f ca="1">IF(AND($B507=0,AT$2&gt;1),AS506,AT503*$B507/Параметры!AT$30)</f>
        <v>5003.630712341318</v>
      </c>
      <c r="AU506" s="327">
        <f ca="1">IF(AND($B507=0,AU$2&gt;1),AT506,AU503*$B507/Параметры!AU$30)</f>
        <v>5077.0532196989952</v>
      </c>
      <c r="AV506" s="327">
        <f ca="1">IF(AND($B507=0,AV$2&gt;1),AU506,AV503*$B507/Параметры!AV$30)</f>
        <v>5151.5531176349532</v>
      </c>
      <c r="AW506" s="211"/>
    </row>
    <row r="507" spans="1:50" hidden="1" outlineLevel="1" x14ac:dyDescent="0.2">
      <c r="A507" s="206" t="str">
        <f ca="1">Language!A$725</f>
        <v>периодичность социальных взносов</v>
      </c>
      <c r="B507" s="313">
        <f>Параметры!B92*30</f>
        <v>30</v>
      </c>
      <c r="C507" s="124" t="str">
        <f ca="1">Language!$A$1446</f>
        <v>дней</v>
      </c>
      <c r="D507" s="66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48"/>
      <c r="AX507" s="150"/>
    </row>
    <row r="508" spans="1:50" hidden="1" outlineLevel="1" x14ac:dyDescent="0.2">
      <c r="A508" s="172" t="str">
        <f ca="1">Language!A$727</f>
        <v>оплата расходов на заработную плату</v>
      </c>
      <c r="C508" s="124" t="str">
        <f t="shared" ca="1" si="2670"/>
        <v>тыс. руб.</v>
      </c>
      <c r="D508" s="66"/>
      <c r="F508" s="57" t="s">
        <v>753</v>
      </c>
      <c r="G508" s="148">
        <f t="shared" ref="G508:AV508" ca="1" si="2777">G502 - IF(G$2=1, G504, G504-F504)</f>
        <v>17850</v>
      </c>
      <c r="H508" s="148">
        <f t="shared" ca="1" si="2777"/>
        <v>21681.928154110567</v>
      </c>
      <c r="I508" s="148">
        <f t="shared" ca="1" si="2777"/>
        <v>25675.625392816273</v>
      </c>
      <c r="J508" s="148">
        <f t="shared" ca="1" si="2777"/>
        <v>26787.493562181051</v>
      </c>
      <c r="K508" s="148">
        <f t="shared" ca="1" si="2777"/>
        <v>27180.56912195644</v>
      </c>
      <c r="L508" s="148">
        <f t="shared" ca="1" si="2777"/>
        <v>27579.412612028642</v>
      </c>
      <c r="M508" s="148">
        <f t="shared" ca="1" si="2777"/>
        <v>30390.506302972426</v>
      </c>
      <c r="N508" s="148">
        <f t="shared" ca="1" si="2777"/>
        <v>31317.73144402049</v>
      </c>
      <c r="O508" s="148">
        <f t="shared" ca="1" si="2777"/>
        <v>31777.283017581431</v>
      </c>
      <c r="P508" s="148">
        <f t="shared" ca="1" si="2777"/>
        <v>32243.577980239374</v>
      </c>
      <c r="Q508" s="148">
        <f t="shared" ca="1" si="2777"/>
        <v>32716.715283448575</v>
      </c>
      <c r="R508" s="148">
        <f t="shared" ca="1" si="2777"/>
        <v>33196.795330661727</v>
      </c>
      <c r="S508" s="148">
        <f t="shared" ca="1" si="2777"/>
        <v>33683.919998636316</v>
      </c>
      <c r="T508" s="148">
        <f t="shared" ca="1" si="2777"/>
        <v>34178.192659053733</v>
      </c>
      <c r="U508" s="148">
        <f t="shared" ca="1" si="2777"/>
        <v>34679.718200455492</v>
      </c>
      <c r="V508" s="148">
        <f t="shared" ca="1" si="2777"/>
        <v>35188.603050501428</v>
      </c>
      <c r="W508" s="148">
        <f t="shared" ca="1" si="2777"/>
        <v>35704.955198554497</v>
      </c>
      <c r="X508" s="148">
        <f t="shared" ca="1" si="2777"/>
        <v>36228.884218596962</v>
      </c>
      <c r="Y508" s="148">
        <f t="shared" ca="1" si="2777"/>
        <v>36760.501292482826</v>
      </c>
      <c r="Z508" s="148">
        <f t="shared" ca="1" si="2777"/>
        <v>37299.919233531517</v>
      </c>
      <c r="AA508" s="148">
        <f t="shared" ca="1" si="2777"/>
        <v>37847.252510467777</v>
      </c>
      <c r="AB508" s="148">
        <f t="shared" ca="1" si="2777"/>
        <v>38402.617271712785</v>
      </c>
      <c r="AC508" s="148">
        <f t="shared" ca="1" si="2777"/>
        <v>38966.131370031799</v>
      </c>
      <c r="AD508" s="148">
        <f t="shared" ca="1" si="2777"/>
        <v>39537.914387543409</v>
      </c>
      <c r="AE508" s="148">
        <f t="shared" ca="1" si="2777"/>
        <v>40118.087661095837</v>
      </c>
      <c r="AF508" s="148">
        <f t="shared" ca="1" si="2777"/>
        <v>40706.774308015556</v>
      </c>
      <c r="AG508" s="148">
        <f t="shared" ca="1" si="2777"/>
        <v>41304.099252233704</v>
      </c>
      <c r="AH508" s="148">
        <f t="shared" ca="1" si="2777"/>
        <v>41910.189250796022</v>
      </c>
      <c r="AI508" s="148">
        <f t="shared" ca="1" si="2777"/>
        <v>42525.172920761601</v>
      </c>
      <c r="AJ508" s="148">
        <f t="shared" ca="1" si="2777"/>
        <v>43149.180766496487</v>
      </c>
      <c r="AK508" s="148">
        <f t="shared" ca="1" si="2777"/>
        <v>43782.345207367733</v>
      </c>
      <c r="AL508" s="148">
        <f t="shared" ca="1" si="2777"/>
        <v>44424.800605843782</v>
      </c>
      <c r="AM508" s="148">
        <f t="shared" ca="1" si="2777"/>
        <v>45076.683296007293</v>
      </c>
      <c r="AN508" s="148">
        <f t="shared" ca="1" si="2777"/>
        <v>45738.131612486286</v>
      </c>
      <c r="AO508" s="148">
        <f t="shared" ca="1" si="2777"/>
        <v>46409.285919809801</v>
      </c>
      <c r="AP508" s="148">
        <f t="shared" ca="1" si="2777"/>
        <v>47090.288642194413</v>
      </c>
      <c r="AQ508" s="148">
        <f t="shared" ca="1" si="2777"/>
        <v>47781.284293767734</v>
      </c>
      <c r="AR508" s="148">
        <f t="shared" ca="1" si="2777"/>
        <v>48482.419509235464</v>
      </c>
      <c r="AS508" s="148">
        <f t="shared" ca="1" si="2777"/>
        <v>49193.843074998396</v>
      </c>
      <c r="AT508" s="148">
        <f t="shared" ca="1" si="2777"/>
        <v>49915.705960726089</v>
      </c>
      <c r="AU508" s="148">
        <f t="shared" ca="1" si="2777"/>
        <v>50648.161351393814</v>
      </c>
      <c r="AV508" s="148">
        <f t="shared" ca="1" si="2777"/>
        <v>51391.364679789593</v>
      </c>
      <c r="AW508" s="148"/>
      <c r="AX508" s="142">
        <f ca="1">SUM(G508:AW508)</f>
        <v>1596524.0659066052</v>
      </c>
    </row>
    <row r="509" spans="1:50" hidden="1" outlineLevel="1" x14ac:dyDescent="0.2">
      <c r="A509" s="172" t="str">
        <f ca="1">Language!A$728</f>
        <v>оплата социальных взносов</v>
      </c>
      <c r="C509" s="124" t="str">
        <f t="shared" ca="1" si="2670"/>
        <v>тыс. руб.</v>
      </c>
      <c r="D509" s="66"/>
      <c r="F509" s="57" t="s">
        <v>753</v>
      </c>
      <c r="G509" s="148">
        <f t="shared" ref="G509:AV509" ca="1" si="2778">G503 - IF(G$2=1, G506, G506-F506)</f>
        <v>4284</v>
      </c>
      <c r="H509" s="148">
        <f t="shared" ca="1" si="2778"/>
        <v>6488.8627569865366</v>
      </c>
      <c r="I509" s="148">
        <f t="shared" ca="1" si="2778"/>
        <v>7466.2089213718682</v>
      </c>
      <c r="J509" s="148">
        <f t="shared" ca="1" si="2778"/>
        <v>8016.8317177870331</v>
      </c>
      <c r="K509" s="148">
        <f t="shared" ca="1" si="2778"/>
        <v>8134.4694731738673</v>
      </c>
      <c r="L509" s="148">
        <f t="shared" ca="1" si="2778"/>
        <v>8253.8334268868748</v>
      </c>
      <c r="M509" s="148">
        <f t="shared" ca="1" si="2778"/>
        <v>8952.4843407794469</v>
      </c>
      <c r="N509" s="148">
        <f t="shared" ca="1" si="2778"/>
        <v>9372.6194347657201</v>
      </c>
      <c r="O509" s="148">
        <f t="shared" ca="1" si="2778"/>
        <v>9510.1518105488612</v>
      </c>
      <c r="P509" s="148">
        <f t="shared" ca="1" si="2778"/>
        <v>9649.7023152574511</v>
      </c>
      <c r="Q509" s="148">
        <f t="shared" ca="1" si="2778"/>
        <v>9791.3005626048925</v>
      </c>
      <c r="R509" s="148">
        <f t="shared" ca="1" si="2778"/>
        <v>9934.9766008516654</v>
      </c>
      <c r="S509" s="148">
        <f t="shared" ca="1" si="2778"/>
        <v>10080.760919181794</v>
      </c>
      <c r="T509" s="148">
        <f t="shared" ca="1" si="2778"/>
        <v>10228.684454172897</v>
      </c>
      <c r="U509" s="148">
        <f t="shared" ca="1" si="2778"/>
        <v>10378.77859636119</v>
      </c>
      <c r="V509" s="148">
        <f t="shared" ca="1" si="2778"/>
        <v>10531.075196902764</v>
      </c>
      <c r="W509" s="148">
        <f t="shared" ca="1" si="2778"/>
        <v>10685.6065743327</v>
      </c>
      <c r="X509" s="148">
        <f t="shared" ca="1" si="2778"/>
        <v>10842.405521423272</v>
      </c>
      <c r="Y509" s="148">
        <f t="shared" ca="1" si="2778"/>
        <v>11001.505312142861</v>
      </c>
      <c r="Z509" s="148">
        <f t="shared" ca="1" si="2778"/>
        <v>11162.939708716935</v>
      </c>
      <c r="AA509" s="148">
        <f t="shared" ca="1" si="2778"/>
        <v>11326.742968792663</v>
      </c>
      <c r="AB509" s="148">
        <f t="shared" ca="1" si="2778"/>
        <v>11492.949852708671</v>
      </c>
      <c r="AC509" s="148">
        <f t="shared" ca="1" si="2778"/>
        <v>11661.595630871434</v>
      </c>
      <c r="AD509" s="148">
        <f t="shared" ca="1" si="2778"/>
        <v>11832.71609123995</v>
      </c>
      <c r="AE509" s="148">
        <f t="shared" ca="1" si="2778"/>
        <v>12006.347546920224</v>
      </c>
      <c r="AF509" s="148">
        <f t="shared" ca="1" si="2778"/>
        <v>12182.526843871192</v>
      </c>
      <c r="AG509" s="148">
        <f t="shared" ca="1" si="2778"/>
        <v>12361.29136872372</v>
      </c>
      <c r="AH509" s="148">
        <f t="shared" ca="1" si="2778"/>
        <v>12542.679056714347</v>
      </c>
      <c r="AI509" s="148">
        <f t="shared" ca="1" si="2778"/>
        <v>12726.728399735439</v>
      </c>
      <c r="AJ509" s="148">
        <f t="shared" ca="1" si="2778"/>
        <v>12913.478454503464</v>
      </c>
      <c r="AK509" s="148">
        <f t="shared" ca="1" si="2778"/>
        <v>13102.968850847144</v>
      </c>
      <c r="AL509" s="148">
        <f t="shared" ca="1" si="2778"/>
        <v>13295.239800117208</v>
      </c>
      <c r="AM509" s="148">
        <f t="shared" ca="1" si="2778"/>
        <v>13490.332103719567</v>
      </c>
      <c r="AN509" s="148">
        <f t="shared" ca="1" si="2778"/>
        <v>13688.287161773673</v>
      </c>
      <c r="AO509" s="148">
        <f t="shared" ca="1" si="2778"/>
        <v>13889.146981897975</v>
      </c>
      <c r="AP509" s="148">
        <f t="shared" ca="1" si="2778"/>
        <v>14092.954188124242</v>
      </c>
      <c r="AQ509" s="148">
        <f t="shared" ca="1" si="2778"/>
        <v>14299.752029942742</v>
      </c>
      <c r="AR509" s="148">
        <f t="shared" ca="1" si="2778"/>
        <v>14509.584391480093</v>
      </c>
      <c r="AS509" s="148">
        <f t="shared" ca="1" si="2778"/>
        <v>14722.495800811856</v>
      </c>
      <c r="AT509" s="148">
        <f t="shared" ca="1" si="2778"/>
        <v>14938.531439411701</v>
      </c>
      <c r="AU509" s="148">
        <f t="shared" ca="1" si="2778"/>
        <v>15157.737151739308</v>
      </c>
      <c r="AV509" s="148">
        <f t="shared" ca="1" si="2778"/>
        <v>15380.159454968903</v>
      </c>
      <c r="AW509" s="148"/>
      <c r="AX509" s="142">
        <f ca="1">SUM(G509:AW509)</f>
        <v>476381.44321316411</v>
      </c>
    </row>
    <row r="510" spans="1:50" x14ac:dyDescent="0.2">
      <c r="A510" s="51"/>
      <c r="B510" s="51"/>
      <c r="C510" s="51"/>
      <c r="D510" s="68"/>
      <c r="E510" s="68" t="s">
        <v>787</v>
      </c>
      <c r="F510" s="68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51"/>
      <c r="AV510" s="51"/>
      <c r="AW510" s="112"/>
      <c r="AX510" s="149"/>
    </row>
    <row r="513" spans="1:50" s="64" customFormat="1" ht="25.5" customHeight="1" thickBot="1" x14ac:dyDescent="0.25">
      <c r="A513" s="118" t="str">
        <f ca="1">Language!A$729</f>
        <v>ПОСТОЯННЫЕ ИЗДЕРЖКИ</v>
      </c>
      <c r="B513" s="119"/>
      <c r="C513" s="120"/>
      <c r="D513" s="121"/>
      <c r="E513" s="121" t="s">
        <v>895</v>
      </c>
      <c r="F513" s="121" t="s">
        <v>797</v>
      </c>
      <c r="G513" s="69" t="str">
        <f ca="1">Параметры!G$34</f>
        <v>4 кв. 2022</v>
      </c>
      <c r="H513" s="140" t="str">
        <f ca="1">Параметры!H$34</f>
        <v>1 кв. 2023</v>
      </c>
      <c r="I513" s="140" t="str">
        <f ca="1">Параметры!I$34</f>
        <v>2 кв. 2023</v>
      </c>
      <c r="J513" s="140" t="str">
        <f ca="1">Параметры!J$34</f>
        <v>3 кв. 2023</v>
      </c>
      <c r="K513" s="140" t="str">
        <f ca="1">Параметры!K$34</f>
        <v>4 кв. 2023</v>
      </c>
      <c r="L513" s="140" t="str">
        <f ca="1">Параметры!L$34</f>
        <v>1 кв. 2024</v>
      </c>
      <c r="M513" s="140" t="str">
        <f ca="1">Параметры!M$34</f>
        <v>2 кв. 2024</v>
      </c>
      <c r="N513" s="140" t="str">
        <f ca="1">Параметры!N$34</f>
        <v>3 кв. 2024</v>
      </c>
      <c r="O513" s="140" t="str">
        <f ca="1">Параметры!O$34</f>
        <v>4 кв. 2024</v>
      </c>
      <c r="P513" s="140" t="str">
        <f ca="1">Параметры!P$34</f>
        <v>1 кв. 2025</v>
      </c>
      <c r="Q513" s="140" t="str">
        <f ca="1">Параметры!Q$34</f>
        <v>2 кв. 2025</v>
      </c>
      <c r="R513" s="140" t="str">
        <f ca="1">Параметры!R$34</f>
        <v>3 кв. 2025</v>
      </c>
      <c r="S513" s="140" t="str">
        <f ca="1">Параметры!S$34</f>
        <v>4 кв. 2025</v>
      </c>
      <c r="T513" s="140" t="str">
        <f ca="1">Параметры!T$34</f>
        <v>1 кв. 2026</v>
      </c>
      <c r="U513" s="140" t="str">
        <f ca="1">Параметры!U$34</f>
        <v>2 кв. 2026</v>
      </c>
      <c r="V513" s="140" t="str">
        <f ca="1">Параметры!V$34</f>
        <v>3 кв. 2026</v>
      </c>
      <c r="W513" s="140" t="str">
        <f ca="1">Параметры!W$34</f>
        <v>4 кв. 2026</v>
      </c>
      <c r="X513" s="140" t="str">
        <f ca="1">Параметры!X$34</f>
        <v>1 кв. 2027</v>
      </c>
      <c r="Y513" s="140" t="str">
        <f ca="1">Параметры!Y$34</f>
        <v>2 кв. 2027</v>
      </c>
      <c r="Z513" s="140" t="str">
        <f ca="1">Параметры!Z$34</f>
        <v>3 кв. 2027</v>
      </c>
      <c r="AA513" s="140" t="str">
        <f ca="1">Параметры!AA$34</f>
        <v>4 кв. 2027</v>
      </c>
      <c r="AB513" s="140" t="str">
        <f ca="1">Параметры!AB$34</f>
        <v>1 кв. 2028</v>
      </c>
      <c r="AC513" s="140" t="str">
        <f ca="1">Параметры!AC$34</f>
        <v>2 кв. 2028</v>
      </c>
      <c r="AD513" s="140" t="str">
        <f ca="1">Параметры!AD$34</f>
        <v>3 кв. 2028</v>
      </c>
      <c r="AE513" s="140" t="str">
        <f ca="1">Параметры!AE$34</f>
        <v>4 кв. 2028</v>
      </c>
      <c r="AF513" s="140" t="str">
        <f ca="1">Параметры!AF$34</f>
        <v>1 кв. 2029</v>
      </c>
      <c r="AG513" s="140" t="str">
        <f ca="1">Параметры!AG$34</f>
        <v>2 кв. 2029</v>
      </c>
      <c r="AH513" s="140" t="str">
        <f ca="1">Параметры!AH$34</f>
        <v>3 кв. 2029</v>
      </c>
      <c r="AI513" s="140" t="str">
        <f ca="1">Параметры!AI$34</f>
        <v>4 кв. 2029</v>
      </c>
      <c r="AJ513" s="140" t="str">
        <f ca="1">Параметры!AJ$34</f>
        <v>1 кв. 2030</v>
      </c>
      <c r="AK513" s="140" t="str">
        <f ca="1">Параметры!AK$34</f>
        <v>2 кв. 2030</v>
      </c>
      <c r="AL513" s="140" t="str">
        <f ca="1">Параметры!AL$34</f>
        <v>3 кв. 2030</v>
      </c>
      <c r="AM513" s="140" t="str">
        <f ca="1">Параметры!AM$34</f>
        <v>4 кв. 2030</v>
      </c>
      <c r="AN513" s="140" t="str">
        <f ca="1">Параметры!AN$34</f>
        <v>1 кв. 2031</v>
      </c>
      <c r="AO513" s="140" t="str">
        <f ca="1">Параметры!AO$34</f>
        <v>2 кв. 2031</v>
      </c>
      <c r="AP513" s="140" t="str">
        <f ca="1">Параметры!AP$34</f>
        <v>3 кв. 2031</v>
      </c>
      <c r="AQ513" s="140" t="str">
        <f ca="1">Параметры!AQ$34</f>
        <v>4 кв. 2031</v>
      </c>
      <c r="AR513" s="140" t="str">
        <f ca="1">Параметры!AR$34</f>
        <v>1 кв. 2032</v>
      </c>
      <c r="AS513" s="140" t="str">
        <f ca="1">Параметры!AS$34</f>
        <v>2 кв. 2032</v>
      </c>
      <c r="AT513" s="140" t="str">
        <f ca="1">Параметры!AT$34</f>
        <v>3 кв. 2032</v>
      </c>
      <c r="AU513" s="140" t="str">
        <f ca="1">Параметры!AU$34</f>
        <v>4 кв. 2032</v>
      </c>
      <c r="AV513" s="140" t="str">
        <f ca="1">Параметры!AV$34</f>
        <v>1 кв. 2033</v>
      </c>
      <c r="AW513" s="140"/>
      <c r="AX513" s="141" t="str">
        <f ca="1">Language!$A$1445</f>
        <v>ИТОГО</v>
      </c>
    </row>
    <row r="514" spans="1:50" ht="13.5" thickTop="1" x14ac:dyDescent="0.2">
      <c r="AW514" s="94"/>
    </row>
    <row r="515" spans="1:50" x14ac:dyDescent="0.2">
      <c r="A515" s="203" t="str">
        <f ca="1">Language!A$747</f>
        <v>Производственные издержки</v>
      </c>
      <c r="B515" s="51"/>
      <c r="C515" s="51"/>
      <c r="D515" s="68"/>
      <c r="E515" s="68" t="s">
        <v>727</v>
      </c>
      <c r="F515" s="68" t="s">
        <v>2331</v>
      </c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51"/>
      <c r="AV515" s="51"/>
      <c r="AW515" s="112"/>
      <c r="AX515" s="149"/>
    </row>
    <row r="516" spans="1:50" x14ac:dyDescent="0.2">
      <c r="AW516" s="94"/>
    </row>
    <row r="517" spans="1:50" x14ac:dyDescent="0.2">
      <c r="A517" s="317" t="s">
        <v>2332</v>
      </c>
      <c r="B517" s="198"/>
      <c r="C517" s="146"/>
      <c r="D517" s="66">
        <v>1</v>
      </c>
      <c r="F517" s="57" t="s">
        <v>2328</v>
      </c>
      <c r="G517" s="199"/>
      <c r="H517" s="199"/>
      <c r="I517" s="199"/>
      <c r="J517" s="199"/>
      <c r="K517" s="199"/>
      <c r="L517" s="199"/>
      <c r="M517" s="199"/>
      <c r="N517" s="199"/>
      <c r="O517" s="199"/>
      <c r="P517" s="199"/>
      <c r="Q517" s="199"/>
      <c r="R517" s="199"/>
      <c r="S517" s="199"/>
      <c r="T517" s="199"/>
      <c r="U517" s="199"/>
      <c r="V517" s="199"/>
      <c r="W517" s="199"/>
      <c r="X517" s="199"/>
      <c r="Y517" s="199"/>
      <c r="Z517" s="199"/>
      <c r="AA517" s="199"/>
      <c r="AB517" s="199"/>
      <c r="AC517" s="199"/>
      <c r="AD517" s="199"/>
      <c r="AE517" s="199"/>
      <c r="AF517" s="199"/>
      <c r="AG517" s="199"/>
      <c r="AH517" s="199"/>
      <c r="AI517" s="199"/>
      <c r="AJ517" s="199"/>
      <c r="AK517" s="199"/>
      <c r="AL517" s="199"/>
      <c r="AM517" s="199"/>
      <c r="AN517" s="199"/>
      <c r="AO517" s="199"/>
      <c r="AP517" s="199"/>
      <c r="AQ517" s="199"/>
      <c r="AR517" s="199"/>
      <c r="AS517" s="199"/>
      <c r="AT517" s="199"/>
      <c r="AU517" s="199"/>
      <c r="AV517" s="199"/>
      <c r="AW517" s="199"/>
    </row>
    <row r="518" spans="1:50" x14ac:dyDescent="0.2">
      <c r="A518" s="172" t="str">
        <f ca="1">Language!A$731</f>
        <v>период появления затрат</v>
      </c>
      <c r="B518" s="313">
        <f>Prj_Invest+1</f>
        <v>1</v>
      </c>
      <c r="C518" s="146" t="str">
        <f ca="1">Language!$A$1452</f>
        <v>период</v>
      </c>
      <c r="D518" s="15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87"/>
    </row>
    <row r="519" spans="1:50" collapsed="1" x14ac:dyDescent="0.2">
      <c r="A519" s="172" t="str">
        <f ca="1">Language!A$732&amp;" ("&amp;Параметры!B$19&amp;"), "&amp;Language!A$733</f>
        <v>затраты за период (квартал), без НДС</v>
      </c>
      <c r="B519" s="313">
        <v>1300</v>
      </c>
      <c r="C519" s="146" t="str">
        <f t="shared" ref="C519" ca="1" si="2779">CHOOSE(D519,CurName1,CurName2,CurName3)</f>
        <v>тыс. руб.</v>
      </c>
      <c r="D519" s="158">
        <f>D517</f>
        <v>1</v>
      </c>
      <c r="E519" s="57" t="s">
        <v>758</v>
      </c>
      <c r="F519" s="57" t="s">
        <v>753</v>
      </c>
      <c r="G519" s="327">
        <f ca="1">IF(G$2&gt;=$B518,G523,0)*Параметры!G$33</f>
        <v>1300</v>
      </c>
      <c r="H519" s="327">
        <f ca="1">IF(H$2&gt;=$B518,H523,0)*Параметры!H$33</f>
        <v>1319.076000019257</v>
      </c>
      <c r="I519" s="327">
        <f ca="1">IF(I$2&gt;=$B518,I523,0)*Параметры!I$33</f>
        <v>1338.4319183283101</v>
      </c>
      <c r="J519" s="327">
        <f ca="1">IF(J$2&gt;=$B518,J523,0)*Параметры!J$33</f>
        <v>1358.0718624050833</v>
      </c>
      <c r="K519" s="327">
        <f ca="1">IF(K$2&gt;=$B518,K523,0)*Параметры!K$33</f>
        <v>1378</v>
      </c>
      <c r="L519" s="327">
        <f ca="1">IF(L$2&gt;=$B518,L523,0)*Параметры!L$33</f>
        <v>1398.2205600204124</v>
      </c>
      <c r="M519" s="327">
        <f ca="1">IF(M$2&gt;=$B518,M523,0)*Параметры!M$33</f>
        <v>1418.7378334280086</v>
      </c>
      <c r="N519" s="327">
        <f ca="1">IF(N$2&gt;=$B518,N523,0)*Параметры!N$33</f>
        <v>1439.5561741493882</v>
      </c>
      <c r="O519" s="327">
        <f ca="1">IF(O$2&gt;=$B518,O523,0)*Параметры!O$33</f>
        <v>1460.68</v>
      </c>
      <c r="P519" s="327">
        <f ca="1">IF(P$2&gt;=$B518,P523,0)*Параметры!P$33</f>
        <v>1482.1137936216373</v>
      </c>
      <c r="Q519" s="327">
        <f ca="1">IF(Q$2&gt;=$B518,Q523,0)*Параметры!Q$33</f>
        <v>1503.8621034336893</v>
      </c>
      <c r="R519" s="327">
        <f ca="1">IF(R$2&gt;=$B518,R523,0)*Параметры!R$33</f>
        <v>1525.9295445983516</v>
      </c>
      <c r="S519" s="327">
        <f ca="1">IF(S$2&gt;=$B518,S523,0)*Параметры!S$33</f>
        <v>1548.3208000000002</v>
      </c>
      <c r="T519" s="327">
        <f ca="1">IF(T$2&gt;=$B518,T523,0)*Параметры!T$33</f>
        <v>1571.0406212389357</v>
      </c>
      <c r="U519" s="327">
        <f ca="1">IF(U$2&gt;=$B518,U523,0)*Параметры!U$33</f>
        <v>1594.0938296397107</v>
      </c>
      <c r="V519" s="327">
        <f ca="1">IF(V$2&gt;=$B518,V523,0)*Параметры!V$33</f>
        <v>1617.4853172742528</v>
      </c>
      <c r="W519" s="327">
        <f ca="1">IF(W$2&gt;=$B518,W523,0)*Параметры!W$33</f>
        <v>1641.2200480000004</v>
      </c>
      <c r="X519" s="327">
        <f ca="1">IF(X$2&gt;=$B518,X523,0)*Параметры!X$33</f>
        <v>1665.3030585132719</v>
      </c>
      <c r="Y519" s="327">
        <f ca="1">IF(Y$2&gt;=$B518,Y523,0)*Параметры!Y$33</f>
        <v>1689.7394594180935</v>
      </c>
      <c r="Z519" s="327">
        <f ca="1">IF(Z$2&gt;=$B518,Z523,0)*Параметры!Z$33</f>
        <v>1714.5344363107081</v>
      </c>
      <c r="AA519" s="327">
        <f ca="1">IF(AA$2&gt;=$B518,AA523,0)*Параметры!AA$33</f>
        <v>1739.6932508800005</v>
      </c>
      <c r="AB519" s="327">
        <f ca="1">IF(AB$2&gt;=$B518,AB523,0)*Параметры!AB$33</f>
        <v>1765.2212420240685</v>
      </c>
      <c r="AC519" s="327">
        <f ca="1">IF(AC$2&gt;=$B518,AC523,0)*Параметры!AC$33</f>
        <v>1791.1238269831795</v>
      </c>
      <c r="AD519" s="327">
        <f ca="1">IF(AD$2&gt;=$B518,AD523,0)*Параметры!AD$33</f>
        <v>1817.4065024893509</v>
      </c>
      <c r="AE519" s="327">
        <f ca="1">IF(AE$2&gt;=$B518,AE523,0)*Параметры!AE$33</f>
        <v>1844.0748459328008</v>
      </c>
      <c r="AF519" s="327">
        <f ca="1">IF(AF$2&gt;=$B518,AF523,0)*Параметры!AF$33</f>
        <v>1871.134516545513</v>
      </c>
      <c r="AG519" s="327">
        <f ca="1">IF(AG$2&gt;=$B518,AG523,0)*Параметры!AG$33</f>
        <v>1898.5912566021705</v>
      </c>
      <c r="AH519" s="327">
        <f ca="1">IF(AH$2&gt;=$B518,AH523,0)*Параметры!AH$33</f>
        <v>1926.4508926387123</v>
      </c>
      <c r="AI519" s="327">
        <f ca="1">IF(AI$2&gt;=$B518,AI523,0)*Параметры!AI$33</f>
        <v>1954.7193366887691</v>
      </c>
      <c r="AJ519" s="327">
        <f ca="1">IF(AJ$2&gt;=$B518,AJ523,0)*Параметры!AJ$33</f>
        <v>1983.4025875382438</v>
      </c>
      <c r="AK519" s="327">
        <f ca="1">IF(AK$2&gt;=$B518,AK523,0)*Параметры!AK$33</f>
        <v>2012.5067319983007</v>
      </c>
      <c r="AL519" s="327">
        <f ca="1">IF(AL$2&gt;=$B518,AL523,0)*Параметры!AL$33</f>
        <v>2042.0379461970349</v>
      </c>
      <c r="AM519" s="327">
        <f ca="1">IF(AM$2&gt;=$B518,AM523,0)*Параметры!AM$33</f>
        <v>2072.0024968900952</v>
      </c>
      <c r="AN519" s="327">
        <f ca="1">IF(AN$2&gt;=$B518,AN523,0)*Параметры!AN$33</f>
        <v>2102.4067427905384</v>
      </c>
      <c r="AO519" s="327">
        <f ca="1">IF(AO$2&gt;=$B518,AO523,0)*Параметры!AO$33</f>
        <v>2133.2571359181989</v>
      </c>
      <c r="AP519" s="327">
        <f ca="1">IF(AP$2&gt;=$B518,AP523,0)*Параметры!AP$33</f>
        <v>2164.560222968857</v>
      </c>
      <c r="AQ519" s="327">
        <f ca="1">IF(AQ$2&gt;=$B518,AQ523,0)*Параметры!AQ$33</f>
        <v>2196.3226467035011</v>
      </c>
      <c r="AR519" s="327">
        <f ca="1">IF(AR$2&gt;=$B518,AR523,0)*Параметры!AR$33</f>
        <v>2228.5511473579709</v>
      </c>
      <c r="AS519" s="327">
        <f ca="1">IF(AS$2&gt;=$B518,AS523,0)*Параметры!AS$33</f>
        <v>2261.2525640732911</v>
      </c>
      <c r="AT519" s="327">
        <f ca="1">IF(AT$2&gt;=$B518,AT523,0)*Параметры!AT$33</f>
        <v>2294.4338363469888</v>
      </c>
      <c r="AU519" s="327">
        <f ca="1">IF(AU$2&gt;=$B518,AU523,0)*Параметры!AU$33</f>
        <v>2328.1020055057111</v>
      </c>
      <c r="AV519" s="327">
        <f ca="1">IF(AV$2&gt;=$B518,AV523,0)*Параметры!AV$33</f>
        <v>2362.264216199449</v>
      </c>
      <c r="AW519" s="148"/>
      <c r="AX519" s="171">
        <f ca="1">SUM(G519:AW519)</f>
        <v>74753.933311671863</v>
      </c>
    </row>
    <row r="520" spans="1:50" hidden="1" outlineLevel="1" x14ac:dyDescent="0.2">
      <c r="A520" s="167" t="str">
        <f ca="1">Language!A$734</f>
        <v>темп изменения цен</v>
      </c>
      <c r="B520" s="202"/>
      <c r="C520" s="103" t="str">
        <f ca="1">Language!$A$471</f>
        <v>% в год</v>
      </c>
      <c r="D520" s="153"/>
      <c r="F520" s="57" t="s">
        <v>756</v>
      </c>
      <c r="G520" s="324">
        <f>CHOOSE($D519,Параметры!G$49,Параметры!G$56,Параметры!G$62)</f>
        <v>0.06</v>
      </c>
      <c r="H520" s="324">
        <f>CHOOSE($D519,Параметры!H$49,Параметры!H$56,Параметры!H$62)</f>
        <v>0.06</v>
      </c>
      <c r="I520" s="324">
        <f>CHOOSE($D519,Параметры!I$49,Параметры!I$56,Параметры!I$62)</f>
        <v>0.06</v>
      </c>
      <c r="J520" s="324">
        <f>CHOOSE($D519,Параметры!J$49,Параметры!J$56,Параметры!J$62)</f>
        <v>0.06</v>
      </c>
      <c r="K520" s="324">
        <f>CHOOSE($D519,Параметры!K$49,Параметры!K$56,Параметры!K$62)</f>
        <v>0.06</v>
      </c>
      <c r="L520" s="324">
        <f>CHOOSE($D519,Параметры!L$49,Параметры!L$56,Параметры!L$62)</f>
        <v>0.06</v>
      </c>
      <c r="M520" s="324">
        <f>CHOOSE($D519,Параметры!M$49,Параметры!M$56,Параметры!M$62)</f>
        <v>0.06</v>
      </c>
      <c r="N520" s="324">
        <f>CHOOSE($D519,Параметры!N$49,Параметры!N$56,Параметры!N$62)</f>
        <v>0.06</v>
      </c>
      <c r="O520" s="324">
        <f>CHOOSE($D519,Параметры!O$49,Параметры!O$56,Параметры!O$62)</f>
        <v>0.06</v>
      </c>
      <c r="P520" s="324">
        <f>CHOOSE($D519,Параметры!P$49,Параметры!P$56,Параметры!P$62)</f>
        <v>0.06</v>
      </c>
      <c r="Q520" s="324">
        <f>CHOOSE($D519,Параметры!Q$49,Параметры!Q$56,Параметры!Q$62)</f>
        <v>0.06</v>
      </c>
      <c r="R520" s="324">
        <f>CHOOSE($D519,Параметры!R$49,Параметры!R$56,Параметры!R$62)</f>
        <v>0.06</v>
      </c>
      <c r="S520" s="324">
        <f>CHOOSE($D519,Параметры!S$49,Параметры!S$56,Параметры!S$62)</f>
        <v>0.06</v>
      </c>
      <c r="T520" s="324">
        <f>CHOOSE($D519,Параметры!T$49,Параметры!T$56,Параметры!T$62)</f>
        <v>0.06</v>
      </c>
      <c r="U520" s="324">
        <f>CHOOSE($D519,Параметры!U$49,Параметры!U$56,Параметры!U$62)</f>
        <v>0.06</v>
      </c>
      <c r="V520" s="324">
        <f>CHOOSE($D519,Параметры!V$49,Параметры!V$56,Параметры!V$62)</f>
        <v>0.06</v>
      </c>
      <c r="W520" s="324">
        <f>CHOOSE($D519,Параметры!W$49,Параметры!W$56,Параметры!W$62)</f>
        <v>0.06</v>
      </c>
      <c r="X520" s="324">
        <f>CHOOSE($D519,Параметры!X$49,Параметры!X$56,Параметры!X$62)</f>
        <v>0.06</v>
      </c>
      <c r="Y520" s="324">
        <f>CHOOSE($D519,Параметры!Y$49,Параметры!Y$56,Параметры!Y$62)</f>
        <v>0.06</v>
      </c>
      <c r="Z520" s="324">
        <f>CHOOSE($D519,Параметры!Z$49,Параметры!Z$56,Параметры!Z$62)</f>
        <v>0.06</v>
      </c>
      <c r="AA520" s="324">
        <f>CHOOSE($D519,Параметры!AA$49,Параметры!AA$56,Параметры!AA$62)</f>
        <v>0.06</v>
      </c>
      <c r="AB520" s="324">
        <f>CHOOSE($D519,Параметры!AB$49,Параметры!AB$56,Параметры!AB$62)</f>
        <v>0.06</v>
      </c>
      <c r="AC520" s="324">
        <f>CHOOSE($D519,Параметры!AC$49,Параметры!AC$56,Параметры!AC$62)</f>
        <v>0.06</v>
      </c>
      <c r="AD520" s="324">
        <f>CHOOSE($D519,Параметры!AD$49,Параметры!AD$56,Параметры!AD$62)</f>
        <v>0.06</v>
      </c>
      <c r="AE520" s="324">
        <f>CHOOSE($D519,Параметры!AE$49,Параметры!AE$56,Параметры!AE$62)</f>
        <v>0.06</v>
      </c>
      <c r="AF520" s="324">
        <f>CHOOSE($D519,Параметры!AF$49,Параметры!AF$56,Параметры!AF$62)</f>
        <v>0.06</v>
      </c>
      <c r="AG520" s="324">
        <f>CHOOSE($D519,Параметры!AG$49,Параметры!AG$56,Параметры!AG$62)</f>
        <v>0.06</v>
      </c>
      <c r="AH520" s="324">
        <f>CHOOSE($D519,Параметры!AH$49,Параметры!AH$56,Параметры!AH$62)</f>
        <v>0.06</v>
      </c>
      <c r="AI520" s="324">
        <f>CHOOSE($D519,Параметры!AI$49,Параметры!AI$56,Параметры!AI$62)</f>
        <v>0.06</v>
      </c>
      <c r="AJ520" s="324">
        <f>CHOOSE($D519,Параметры!AJ$49,Параметры!AJ$56,Параметры!AJ$62)</f>
        <v>0.06</v>
      </c>
      <c r="AK520" s="324">
        <f>CHOOSE($D519,Параметры!AK$49,Параметры!AK$56,Параметры!AK$62)</f>
        <v>0.06</v>
      </c>
      <c r="AL520" s="324">
        <f>CHOOSE($D519,Параметры!AL$49,Параметры!AL$56,Параметры!AL$62)</f>
        <v>0.06</v>
      </c>
      <c r="AM520" s="324">
        <f>CHOOSE($D519,Параметры!AM$49,Параметры!AM$56,Параметры!AM$62)</f>
        <v>0.06</v>
      </c>
      <c r="AN520" s="324">
        <f>CHOOSE($D519,Параметры!AN$49,Параметры!AN$56,Параметры!AN$62)</f>
        <v>0.06</v>
      </c>
      <c r="AO520" s="324">
        <f>CHOOSE($D519,Параметры!AO$49,Параметры!AO$56,Параметры!AO$62)</f>
        <v>0.06</v>
      </c>
      <c r="AP520" s="324">
        <f>CHOOSE($D519,Параметры!AP$49,Параметры!AP$56,Параметры!AP$62)</f>
        <v>0.06</v>
      </c>
      <c r="AQ520" s="324">
        <f>CHOOSE($D519,Параметры!AQ$49,Параметры!AQ$56,Параметры!AQ$62)</f>
        <v>0.06</v>
      </c>
      <c r="AR520" s="324">
        <f>CHOOSE($D519,Параметры!AR$49,Параметры!AR$56,Параметры!AR$62)</f>
        <v>0.06</v>
      </c>
      <c r="AS520" s="324">
        <f>CHOOSE($D519,Параметры!AS$49,Параметры!AS$56,Параметры!AS$62)</f>
        <v>0.06</v>
      </c>
      <c r="AT520" s="324">
        <f>CHOOSE($D519,Параметры!AT$49,Параметры!AT$56,Параметры!AT$62)</f>
        <v>0.06</v>
      </c>
      <c r="AU520" s="324">
        <f>CHOOSE($D519,Параметры!AU$49,Параметры!AU$56,Параметры!AU$62)</f>
        <v>0.06</v>
      </c>
      <c r="AV520" s="324">
        <f>CHOOSE($D519,Параметры!AV$49,Параметры!AV$56,Параметры!AV$62)</f>
        <v>0.06</v>
      </c>
      <c r="AW520" s="192"/>
      <c r="AX520" s="184"/>
    </row>
    <row r="521" spans="1:50" hidden="1" outlineLevel="1" x14ac:dyDescent="0.2">
      <c r="A521" s="167" t="str">
        <f ca="1">Language!A$735</f>
        <v>ставка НДС</v>
      </c>
      <c r="B521" s="202"/>
      <c r="C521" s="103" t="s">
        <v>1</v>
      </c>
      <c r="D521" s="155"/>
      <c r="F521" s="57" t="s">
        <v>756</v>
      </c>
      <c r="G521" s="324">
        <f>Параметры!G$72</f>
        <v>0.18</v>
      </c>
      <c r="H521" s="324">
        <f>Параметры!H$72</f>
        <v>0.18</v>
      </c>
      <c r="I521" s="324">
        <f>Параметры!I$72</f>
        <v>0.18</v>
      </c>
      <c r="J521" s="324">
        <f>Параметры!J$72</f>
        <v>0.18</v>
      </c>
      <c r="K521" s="324">
        <f>Параметры!K$72</f>
        <v>0.18</v>
      </c>
      <c r="L521" s="324">
        <f>Параметры!L$72</f>
        <v>0.18</v>
      </c>
      <c r="M521" s="324">
        <f>Параметры!M$72</f>
        <v>0.18</v>
      </c>
      <c r="N521" s="324">
        <f>Параметры!N$72</f>
        <v>0.18</v>
      </c>
      <c r="O521" s="324">
        <f>Параметры!O$72</f>
        <v>0.18</v>
      </c>
      <c r="P521" s="324">
        <f>Параметры!P$72</f>
        <v>0.18</v>
      </c>
      <c r="Q521" s="324">
        <f>Параметры!Q$72</f>
        <v>0.18</v>
      </c>
      <c r="R521" s="324">
        <f>Параметры!R$72</f>
        <v>0.18</v>
      </c>
      <c r="S521" s="324">
        <f>Параметры!S$72</f>
        <v>0.18</v>
      </c>
      <c r="T521" s="324">
        <f>Параметры!T$72</f>
        <v>0.18</v>
      </c>
      <c r="U521" s="324">
        <f>Параметры!U$72</f>
        <v>0.18</v>
      </c>
      <c r="V521" s="324">
        <f>Параметры!V$72</f>
        <v>0.18</v>
      </c>
      <c r="W521" s="324">
        <f>Параметры!W$72</f>
        <v>0.18</v>
      </c>
      <c r="X521" s="324">
        <f>Параметры!X$72</f>
        <v>0.18</v>
      </c>
      <c r="Y521" s="324">
        <f>Параметры!Y$72</f>
        <v>0.18</v>
      </c>
      <c r="Z521" s="324">
        <f>Параметры!Z$72</f>
        <v>0.18</v>
      </c>
      <c r="AA521" s="324">
        <f>Параметры!AA$72</f>
        <v>0.18</v>
      </c>
      <c r="AB521" s="324">
        <f>Параметры!AB$72</f>
        <v>0.18</v>
      </c>
      <c r="AC521" s="324">
        <f>Параметры!AC$72</f>
        <v>0.18</v>
      </c>
      <c r="AD521" s="324">
        <f>Параметры!AD$72</f>
        <v>0.18</v>
      </c>
      <c r="AE521" s="324">
        <f>Параметры!AE$72</f>
        <v>0.18</v>
      </c>
      <c r="AF521" s="324">
        <f>Параметры!AF$72</f>
        <v>0.18</v>
      </c>
      <c r="AG521" s="324">
        <f>Параметры!AG$72</f>
        <v>0.18</v>
      </c>
      <c r="AH521" s="324">
        <f>Параметры!AH$72</f>
        <v>0.18</v>
      </c>
      <c r="AI521" s="324">
        <f>Параметры!AI$72</f>
        <v>0.18</v>
      </c>
      <c r="AJ521" s="324">
        <f>Параметры!AJ$72</f>
        <v>0.18</v>
      </c>
      <c r="AK521" s="324">
        <f>Параметры!AK$72</f>
        <v>0.18</v>
      </c>
      <c r="AL521" s="324">
        <f>Параметры!AL$72</f>
        <v>0.18</v>
      </c>
      <c r="AM521" s="324">
        <f>Параметры!AM$72</f>
        <v>0.18</v>
      </c>
      <c r="AN521" s="324">
        <f>Параметры!AN$72</f>
        <v>0.18</v>
      </c>
      <c r="AO521" s="324">
        <f>Параметры!AO$72</f>
        <v>0.18</v>
      </c>
      <c r="AP521" s="324">
        <f>Параметры!AP$72</f>
        <v>0.18</v>
      </c>
      <c r="AQ521" s="324">
        <f>Параметры!AQ$72</f>
        <v>0.18</v>
      </c>
      <c r="AR521" s="324">
        <f>Параметры!AR$72</f>
        <v>0.18</v>
      </c>
      <c r="AS521" s="324">
        <f>Параметры!AS$72</f>
        <v>0.18</v>
      </c>
      <c r="AT521" s="324">
        <f>Параметры!AT$72</f>
        <v>0.18</v>
      </c>
      <c r="AU521" s="324">
        <f>Параметры!AU$72</f>
        <v>0.18</v>
      </c>
      <c r="AV521" s="324">
        <f>Параметры!AV$72</f>
        <v>0.18</v>
      </c>
      <c r="AW521" s="192"/>
      <c r="AX521" s="182"/>
    </row>
    <row r="522" spans="1:50" hidden="1" outlineLevel="1" x14ac:dyDescent="0.2">
      <c r="A522" s="167" t="str">
        <f ca="1">Language!A$736</f>
        <v>коэффициент изменения цен</v>
      </c>
      <c r="B522" s="202"/>
      <c r="C522" s="103" t="str">
        <f ca="1">Language!$A$1449</f>
        <v>раз</v>
      </c>
      <c r="D522" s="155"/>
      <c r="F522" s="57" t="s">
        <v>756</v>
      </c>
      <c r="G522" s="193">
        <f ca="1">IF(G$2=1,1,IF(Prj_Inflation=1, (1+OFFSET(G520,0,-1))^(Параметры!G$30/360), 1))</f>
        <v>1</v>
      </c>
      <c r="H522" s="193">
        <f ca="1">IF(H$2=1,1,IF(Prj_Inflation=1, (1+OFFSET(H520,0,-1))^(Параметры!H$30/360), 1))</f>
        <v>1.0146738461686593</v>
      </c>
      <c r="I522" s="193">
        <f ca="1">IF(I$2=1,1,IF(Prj_Inflation=1, (1+OFFSET(I520,0,-1))^(Параметры!I$30/360), 1))</f>
        <v>1.0146738461686593</v>
      </c>
      <c r="J522" s="193">
        <f ca="1">IF(J$2=1,1,IF(Prj_Inflation=1, (1+OFFSET(J520,0,-1))^(Параметры!J$30/360), 1))</f>
        <v>1.0146738461686593</v>
      </c>
      <c r="K522" s="193">
        <f ca="1">IF(K$2=1,1,IF(Prj_Inflation=1, (1+OFFSET(K520,0,-1))^(Параметры!K$30/360), 1))</f>
        <v>1.0146738461686593</v>
      </c>
      <c r="L522" s="193">
        <f ca="1">IF(L$2=1,1,IF(Prj_Inflation=1, (1+OFFSET(L520,0,-1))^(Параметры!L$30/360), 1))</f>
        <v>1.0146738461686593</v>
      </c>
      <c r="M522" s="193">
        <f ca="1">IF(M$2=1,1,IF(Prj_Inflation=1, (1+OFFSET(M520,0,-1))^(Параметры!M$30/360), 1))</f>
        <v>1.0146738461686593</v>
      </c>
      <c r="N522" s="193">
        <f ca="1">IF(N$2=1,1,IF(Prj_Inflation=1, (1+OFFSET(N520,0,-1))^(Параметры!N$30/360), 1))</f>
        <v>1.0146738461686593</v>
      </c>
      <c r="O522" s="193">
        <f ca="1">IF(O$2=1,1,IF(Prj_Inflation=1, (1+OFFSET(O520,0,-1))^(Параметры!O$30/360), 1))</f>
        <v>1.0146738461686593</v>
      </c>
      <c r="P522" s="193">
        <f ca="1">IF(P$2=1,1,IF(Prj_Inflation=1, (1+OFFSET(P520,0,-1))^(Параметры!P$30/360), 1))</f>
        <v>1.0146738461686593</v>
      </c>
      <c r="Q522" s="193">
        <f ca="1">IF(Q$2=1,1,IF(Prj_Inflation=1, (1+OFFSET(Q520,0,-1))^(Параметры!Q$30/360), 1))</f>
        <v>1.0146738461686593</v>
      </c>
      <c r="R522" s="193">
        <f ca="1">IF(R$2=1,1,IF(Prj_Inflation=1, (1+OFFSET(R520,0,-1))^(Параметры!R$30/360), 1))</f>
        <v>1.0146738461686593</v>
      </c>
      <c r="S522" s="193">
        <f ca="1">IF(S$2=1,1,IF(Prj_Inflation=1, (1+OFFSET(S520,0,-1))^(Параметры!S$30/360), 1))</f>
        <v>1.0146738461686593</v>
      </c>
      <c r="T522" s="193">
        <f ca="1">IF(T$2=1,1,IF(Prj_Inflation=1, (1+OFFSET(T520,0,-1))^(Параметры!T$30/360), 1))</f>
        <v>1.0146738461686593</v>
      </c>
      <c r="U522" s="193">
        <f ca="1">IF(U$2=1,1,IF(Prj_Inflation=1, (1+OFFSET(U520,0,-1))^(Параметры!U$30/360), 1))</f>
        <v>1.0146738461686593</v>
      </c>
      <c r="V522" s="193">
        <f ca="1">IF(V$2=1,1,IF(Prj_Inflation=1, (1+OFFSET(V520,0,-1))^(Параметры!V$30/360), 1))</f>
        <v>1.0146738461686593</v>
      </c>
      <c r="W522" s="193">
        <f ca="1">IF(W$2=1,1,IF(Prj_Inflation=1, (1+OFFSET(W520,0,-1))^(Параметры!W$30/360), 1))</f>
        <v>1.0146738461686593</v>
      </c>
      <c r="X522" s="193">
        <f ca="1">IF(X$2=1,1,IF(Prj_Inflation=1, (1+OFFSET(X520,0,-1))^(Параметры!X$30/360), 1))</f>
        <v>1.0146738461686593</v>
      </c>
      <c r="Y522" s="193">
        <f ca="1">IF(Y$2=1,1,IF(Prj_Inflation=1, (1+OFFSET(Y520,0,-1))^(Параметры!Y$30/360), 1))</f>
        <v>1.0146738461686593</v>
      </c>
      <c r="Z522" s="193">
        <f ca="1">IF(Z$2=1,1,IF(Prj_Inflation=1, (1+OFFSET(Z520,0,-1))^(Параметры!Z$30/360), 1))</f>
        <v>1.0146738461686593</v>
      </c>
      <c r="AA522" s="193">
        <f ca="1">IF(AA$2=1,1,IF(Prj_Inflation=1, (1+OFFSET(AA520,0,-1))^(Параметры!AA$30/360), 1))</f>
        <v>1.0146738461686593</v>
      </c>
      <c r="AB522" s="193">
        <f ca="1">IF(AB$2=1,1,IF(Prj_Inflation=1, (1+OFFSET(AB520,0,-1))^(Параметры!AB$30/360), 1))</f>
        <v>1.0146738461686593</v>
      </c>
      <c r="AC522" s="193">
        <f ca="1">IF(AC$2=1,1,IF(Prj_Inflation=1, (1+OFFSET(AC520,0,-1))^(Параметры!AC$30/360), 1))</f>
        <v>1.0146738461686593</v>
      </c>
      <c r="AD522" s="193">
        <f ca="1">IF(AD$2=1,1,IF(Prj_Inflation=1, (1+OFFSET(AD520,0,-1))^(Параметры!AD$30/360), 1))</f>
        <v>1.0146738461686593</v>
      </c>
      <c r="AE522" s="193">
        <f ca="1">IF(AE$2=1,1,IF(Prj_Inflation=1, (1+OFFSET(AE520,0,-1))^(Параметры!AE$30/360), 1))</f>
        <v>1.0146738461686593</v>
      </c>
      <c r="AF522" s="193">
        <f ca="1">IF(AF$2=1,1,IF(Prj_Inflation=1, (1+OFFSET(AF520,0,-1))^(Параметры!AF$30/360), 1))</f>
        <v>1.0146738461686593</v>
      </c>
      <c r="AG522" s="193">
        <f ca="1">IF(AG$2=1,1,IF(Prj_Inflation=1, (1+OFFSET(AG520,0,-1))^(Параметры!AG$30/360), 1))</f>
        <v>1.0146738461686593</v>
      </c>
      <c r="AH522" s="193">
        <f ca="1">IF(AH$2=1,1,IF(Prj_Inflation=1, (1+OFFSET(AH520,0,-1))^(Параметры!AH$30/360), 1))</f>
        <v>1.0146738461686593</v>
      </c>
      <c r="AI522" s="193">
        <f ca="1">IF(AI$2=1,1,IF(Prj_Inflation=1, (1+OFFSET(AI520,0,-1))^(Параметры!AI$30/360), 1))</f>
        <v>1.0146738461686593</v>
      </c>
      <c r="AJ522" s="193">
        <f ca="1">IF(AJ$2=1,1,IF(Prj_Inflation=1, (1+OFFSET(AJ520,0,-1))^(Параметры!AJ$30/360), 1))</f>
        <v>1.0146738461686593</v>
      </c>
      <c r="AK522" s="193">
        <f ca="1">IF(AK$2=1,1,IF(Prj_Inflation=1, (1+OFFSET(AK520,0,-1))^(Параметры!AK$30/360), 1))</f>
        <v>1.0146738461686593</v>
      </c>
      <c r="AL522" s="193">
        <f ca="1">IF(AL$2=1,1,IF(Prj_Inflation=1, (1+OFFSET(AL520,0,-1))^(Параметры!AL$30/360), 1))</f>
        <v>1.0146738461686593</v>
      </c>
      <c r="AM522" s="193">
        <f ca="1">IF(AM$2=1,1,IF(Prj_Inflation=1, (1+OFFSET(AM520,0,-1))^(Параметры!AM$30/360), 1))</f>
        <v>1.0146738461686593</v>
      </c>
      <c r="AN522" s="193">
        <f ca="1">IF(AN$2=1,1,IF(Prj_Inflation=1, (1+OFFSET(AN520,0,-1))^(Параметры!AN$30/360), 1))</f>
        <v>1.0146738461686593</v>
      </c>
      <c r="AO522" s="193">
        <f ca="1">IF(AO$2=1,1,IF(Prj_Inflation=1, (1+OFFSET(AO520,0,-1))^(Параметры!AO$30/360), 1))</f>
        <v>1.0146738461686593</v>
      </c>
      <c r="AP522" s="193">
        <f ca="1">IF(AP$2=1,1,IF(Prj_Inflation=1, (1+OFFSET(AP520,0,-1))^(Параметры!AP$30/360), 1))</f>
        <v>1.0146738461686593</v>
      </c>
      <c r="AQ522" s="193">
        <f ca="1">IF(AQ$2=1,1,IF(Prj_Inflation=1, (1+OFFSET(AQ520,0,-1))^(Параметры!AQ$30/360), 1))</f>
        <v>1.0146738461686593</v>
      </c>
      <c r="AR522" s="193">
        <f ca="1">IF(AR$2=1,1,IF(Prj_Inflation=1, (1+OFFSET(AR520,0,-1))^(Параметры!AR$30/360), 1))</f>
        <v>1.0146738461686593</v>
      </c>
      <c r="AS522" s="193">
        <f ca="1">IF(AS$2=1,1,IF(Prj_Inflation=1, (1+OFFSET(AS520,0,-1))^(Параметры!AS$30/360), 1))</f>
        <v>1.0146738461686593</v>
      </c>
      <c r="AT522" s="193">
        <f ca="1">IF(AT$2=1,1,IF(Prj_Inflation=1, (1+OFFSET(AT520,0,-1))^(Параметры!AT$30/360), 1))</f>
        <v>1.0146738461686593</v>
      </c>
      <c r="AU522" s="193">
        <f ca="1">IF(AU$2=1,1,IF(Prj_Inflation=1, (1+OFFSET(AU520,0,-1))^(Параметры!AU$30/360), 1))</f>
        <v>1.0146738461686593</v>
      </c>
      <c r="AV522" s="193">
        <f ca="1">IF(AV$2=1,1,IF(Prj_Inflation=1, (1+OFFSET(AV520,0,-1))^(Параметры!AV$30/360), 1))</f>
        <v>1.0146738461686593</v>
      </c>
      <c r="AW522" s="193"/>
      <c r="AX522" s="182"/>
    </row>
    <row r="523" spans="1:50" hidden="1" outlineLevel="1" x14ac:dyDescent="0.2">
      <c r="A523" s="179" t="str">
        <f ca="1">Language!A$737</f>
        <v>расчет затрат с учетом инфляции, без НДС</v>
      </c>
      <c r="B523" s="52"/>
      <c r="C523" s="82" t="str">
        <f ca="1">CHOOSE(D523,CurName1,CurName2,CurName3)</f>
        <v>тыс. руб.</v>
      </c>
      <c r="D523" s="155">
        <f>D517</f>
        <v>1</v>
      </c>
      <c r="F523" s="57" t="s">
        <v>753</v>
      </c>
      <c r="G523" s="180">
        <f t="shared" ref="G523:AV523" ca="1" si="2780">IF(G$2=1,$B519,F523)*G522</f>
        <v>1300</v>
      </c>
      <c r="H523" s="180">
        <f t="shared" ca="1" si="2780"/>
        <v>1319.076000019257</v>
      </c>
      <c r="I523" s="180">
        <f t="shared" ca="1" si="2780"/>
        <v>1338.4319183283101</v>
      </c>
      <c r="J523" s="180">
        <f t="shared" ca="1" si="2780"/>
        <v>1358.0718624050833</v>
      </c>
      <c r="K523" s="180">
        <f t="shared" ca="1" si="2780"/>
        <v>1378</v>
      </c>
      <c r="L523" s="180">
        <f t="shared" ca="1" si="2780"/>
        <v>1398.2205600204124</v>
      </c>
      <c r="M523" s="180">
        <f t="shared" ca="1" si="2780"/>
        <v>1418.7378334280086</v>
      </c>
      <c r="N523" s="180">
        <f t="shared" ca="1" si="2780"/>
        <v>1439.5561741493882</v>
      </c>
      <c r="O523" s="180">
        <f t="shared" ca="1" si="2780"/>
        <v>1460.68</v>
      </c>
      <c r="P523" s="180">
        <f t="shared" ca="1" si="2780"/>
        <v>1482.1137936216373</v>
      </c>
      <c r="Q523" s="180">
        <f t="shared" ca="1" si="2780"/>
        <v>1503.8621034336893</v>
      </c>
      <c r="R523" s="180">
        <f t="shared" ca="1" si="2780"/>
        <v>1525.9295445983516</v>
      </c>
      <c r="S523" s="180">
        <f t="shared" ca="1" si="2780"/>
        <v>1548.3208000000002</v>
      </c>
      <c r="T523" s="180">
        <f t="shared" ca="1" si="2780"/>
        <v>1571.0406212389357</v>
      </c>
      <c r="U523" s="180">
        <f t="shared" ca="1" si="2780"/>
        <v>1594.0938296397107</v>
      </c>
      <c r="V523" s="180">
        <f t="shared" ca="1" si="2780"/>
        <v>1617.4853172742528</v>
      </c>
      <c r="W523" s="180">
        <f t="shared" ca="1" si="2780"/>
        <v>1641.2200480000004</v>
      </c>
      <c r="X523" s="180">
        <f t="shared" ca="1" si="2780"/>
        <v>1665.3030585132719</v>
      </c>
      <c r="Y523" s="180">
        <f t="shared" ca="1" si="2780"/>
        <v>1689.7394594180935</v>
      </c>
      <c r="Z523" s="180">
        <f t="shared" ca="1" si="2780"/>
        <v>1714.5344363107081</v>
      </c>
      <c r="AA523" s="180">
        <f t="shared" ca="1" si="2780"/>
        <v>1739.6932508800005</v>
      </c>
      <c r="AB523" s="180">
        <f t="shared" ca="1" si="2780"/>
        <v>1765.2212420240685</v>
      </c>
      <c r="AC523" s="180">
        <f t="shared" ca="1" si="2780"/>
        <v>1791.1238269831795</v>
      </c>
      <c r="AD523" s="180">
        <f t="shared" ca="1" si="2780"/>
        <v>1817.4065024893509</v>
      </c>
      <c r="AE523" s="180">
        <f t="shared" ca="1" si="2780"/>
        <v>1844.0748459328008</v>
      </c>
      <c r="AF523" s="180">
        <f t="shared" ca="1" si="2780"/>
        <v>1871.134516545513</v>
      </c>
      <c r="AG523" s="180">
        <f t="shared" ca="1" si="2780"/>
        <v>1898.5912566021705</v>
      </c>
      <c r="AH523" s="180">
        <f t="shared" ca="1" si="2780"/>
        <v>1926.4508926387123</v>
      </c>
      <c r="AI523" s="180">
        <f t="shared" ca="1" si="2780"/>
        <v>1954.7193366887691</v>
      </c>
      <c r="AJ523" s="180">
        <f t="shared" ca="1" si="2780"/>
        <v>1983.4025875382438</v>
      </c>
      <c r="AK523" s="180">
        <f t="shared" ca="1" si="2780"/>
        <v>2012.5067319983007</v>
      </c>
      <c r="AL523" s="180">
        <f t="shared" ca="1" si="2780"/>
        <v>2042.0379461970349</v>
      </c>
      <c r="AM523" s="180">
        <f t="shared" ca="1" si="2780"/>
        <v>2072.0024968900952</v>
      </c>
      <c r="AN523" s="180">
        <f t="shared" ca="1" si="2780"/>
        <v>2102.4067427905384</v>
      </c>
      <c r="AO523" s="180">
        <f t="shared" ca="1" si="2780"/>
        <v>2133.2571359181989</v>
      </c>
      <c r="AP523" s="180">
        <f t="shared" ca="1" si="2780"/>
        <v>2164.560222968857</v>
      </c>
      <c r="AQ523" s="180">
        <f t="shared" ca="1" si="2780"/>
        <v>2196.3226467035011</v>
      </c>
      <c r="AR523" s="180">
        <f t="shared" ca="1" si="2780"/>
        <v>2228.5511473579709</v>
      </c>
      <c r="AS523" s="180">
        <f t="shared" ca="1" si="2780"/>
        <v>2261.2525640732911</v>
      </c>
      <c r="AT523" s="180">
        <f t="shared" ca="1" si="2780"/>
        <v>2294.4338363469888</v>
      </c>
      <c r="AU523" s="180">
        <f t="shared" ca="1" si="2780"/>
        <v>2328.1020055057111</v>
      </c>
      <c r="AV523" s="180">
        <f t="shared" ca="1" si="2780"/>
        <v>2362.264216199449</v>
      </c>
      <c r="AW523" s="180"/>
      <c r="AX523" s="189">
        <f ca="1">SUM(G523:AW523)</f>
        <v>74753.933311671863</v>
      </c>
    </row>
    <row r="524" spans="1:50" hidden="1" outlineLevel="1" x14ac:dyDescent="0.2">
      <c r="A524" s="167" t="str">
        <f ca="1">Language!A$738</f>
        <v>НДС начисленный</v>
      </c>
      <c r="B524" s="56"/>
      <c r="C524" s="103" t="str">
        <f ca="1">CHOOSE(D524,CurName1,CurName2,CurName3)</f>
        <v>тыс. руб.</v>
      </c>
      <c r="D524" s="155">
        <f>D517</f>
        <v>1</v>
      </c>
      <c r="E524" s="57" t="s">
        <v>789</v>
      </c>
      <c r="F524" s="57" t="s">
        <v>753</v>
      </c>
      <c r="G524" s="194">
        <f ca="1">G519*G521</f>
        <v>234</v>
      </c>
      <c r="H524" s="194">
        <f t="shared" ref="H524:AV524" ca="1" si="2781">H519*H521</f>
        <v>237.43368000346624</v>
      </c>
      <c r="I524" s="194">
        <f t="shared" ca="1" si="2781"/>
        <v>240.9177452990958</v>
      </c>
      <c r="J524" s="194">
        <f t="shared" ca="1" si="2781"/>
        <v>244.45293523291497</v>
      </c>
      <c r="K524" s="194">
        <f t="shared" ca="1" si="2781"/>
        <v>248.04</v>
      </c>
      <c r="L524" s="194">
        <f t="shared" ca="1" si="2781"/>
        <v>251.67970080367422</v>
      </c>
      <c r="M524" s="194">
        <f t="shared" ca="1" si="2781"/>
        <v>255.37281001704153</v>
      </c>
      <c r="N524" s="194">
        <f t="shared" ca="1" si="2781"/>
        <v>259.12011134688987</v>
      </c>
      <c r="O524" s="194">
        <f t="shared" ca="1" si="2781"/>
        <v>262.92239999999998</v>
      </c>
      <c r="P524" s="194">
        <f t="shared" ca="1" si="2781"/>
        <v>266.7804828518947</v>
      </c>
      <c r="Q524" s="194">
        <f t="shared" ca="1" si="2781"/>
        <v>270.69517861806406</v>
      </c>
      <c r="R524" s="194">
        <f t="shared" ca="1" si="2781"/>
        <v>274.66731802770329</v>
      </c>
      <c r="S524" s="194">
        <f t="shared" ca="1" si="2781"/>
        <v>278.697744</v>
      </c>
      <c r="T524" s="194">
        <f t="shared" ca="1" si="2781"/>
        <v>282.78731182300839</v>
      </c>
      <c r="U524" s="194">
        <f t="shared" ca="1" si="2781"/>
        <v>286.9368893351479</v>
      </c>
      <c r="V524" s="194">
        <f t="shared" ca="1" si="2781"/>
        <v>291.14735710936549</v>
      </c>
      <c r="W524" s="194">
        <f t="shared" ca="1" si="2781"/>
        <v>295.41960864000004</v>
      </c>
      <c r="X524" s="194">
        <f t="shared" ca="1" si="2781"/>
        <v>299.75455053238892</v>
      </c>
      <c r="Y524" s="194">
        <f t="shared" ca="1" si="2781"/>
        <v>304.15310269525679</v>
      </c>
      <c r="Z524" s="194">
        <f t="shared" ca="1" si="2781"/>
        <v>308.61619853592742</v>
      </c>
      <c r="AA524" s="194">
        <f t="shared" ca="1" si="2781"/>
        <v>313.14478515840005</v>
      </c>
      <c r="AB524" s="194">
        <f t="shared" ca="1" si="2781"/>
        <v>317.73982356433231</v>
      </c>
      <c r="AC524" s="194">
        <f t="shared" ca="1" si="2781"/>
        <v>322.40228885697229</v>
      </c>
      <c r="AD524" s="194">
        <f t="shared" ca="1" si="2781"/>
        <v>327.13317044808315</v>
      </c>
      <c r="AE524" s="194">
        <f t="shared" ca="1" si="2781"/>
        <v>331.93347226790416</v>
      </c>
      <c r="AF524" s="194">
        <f t="shared" ca="1" si="2781"/>
        <v>336.80421297819231</v>
      </c>
      <c r="AG524" s="194">
        <f t="shared" ca="1" si="2781"/>
        <v>341.74642618839067</v>
      </c>
      <c r="AH524" s="194">
        <f t="shared" ca="1" si="2781"/>
        <v>346.76116067496821</v>
      </c>
      <c r="AI524" s="194">
        <f t="shared" ca="1" si="2781"/>
        <v>351.84948060397841</v>
      </c>
      <c r="AJ524" s="194">
        <f t="shared" ca="1" si="2781"/>
        <v>357.01246575688384</v>
      </c>
      <c r="AK524" s="194">
        <f t="shared" ca="1" si="2781"/>
        <v>362.25121175969412</v>
      </c>
      <c r="AL524" s="194">
        <f t="shared" ca="1" si="2781"/>
        <v>367.56683031546629</v>
      </c>
      <c r="AM524" s="194">
        <f t="shared" ca="1" si="2781"/>
        <v>372.96044944021713</v>
      </c>
      <c r="AN524" s="194">
        <f t="shared" ca="1" si="2781"/>
        <v>378.43321370229688</v>
      </c>
      <c r="AO524" s="194">
        <f t="shared" ca="1" si="2781"/>
        <v>383.98628446527579</v>
      </c>
      <c r="AP524" s="194">
        <f t="shared" ca="1" si="2781"/>
        <v>389.62084013439426</v>
      </c>
      <c r="AQ524" s="194">
        <f t="shared" ca="1" si="2781"/>
        <v>395.33807640663019</v>
      </c>
      <c r="AR524" s="194">
        <f t="shared" ca="1" si="2781"/>
        <v>401.13920652443477</v>
      </c>
      <c r="AS524" s="194">
        <f t="shared" ca="1" si="2781"/>
        <v>407.02546153319236</v>
      </c>
      <c r="AT524" s="194">
        <f t="shared" ca="1" si="2781"/>
        <v>412.99809054245799</v>
      </c>
      <c r="AU524" s="194">
        <f t="shared" ca="1" si="2781"/>
        <v>419.058360991028</v>
      </c>
      <c r="AV524" s="194">
        <f t="shared" ca="1" si="2781"/>
        <v>425.20755891590079</v>
      </c>
      <c r="AW524" s="194"/>
      <c r="AX524" s="189">
        <f ca="1">SUM(G524:AW524)</f>
        <v>13455.707996100935</v>
      </c>
    </row>
    <row r="525" spans="1:50" x14ac:dyDescent="0.2">
      <c r="A525" s="317" t="s">
        <v>2333</v>
      </c>
      <c r="B525" s="198"/>
      <c r="C525" s="146"/>
      <c r="D525" s="66">
        <v>1</v>
      </c>
      <c r="F525" s="57" t="s">
        <v>2329</v>
      </c>
      <c r="G525" s="199"/>
      <c r="H525" s="199"/>
      <c r="I525" s="199"/>
      <c r="J525" s="199"/>
      <c r="K525" s="199"/>
      <c r="L525" s="199"/>
      <c r="M525" s="199"/>
      <c r="N525" s="199"/>
      <c r="O525" s="199"/>
      <c r="P525" s="199"/>
      <c r="Q525" s="199"/>
      <c r="R525" s="199"/>
      <c r="S525" s="199"/>
      <c r="T525" s="199"/>
      <c r="U525" s="199"/>
      <c r="V525" s="199"/>
      <c r="W525" s="199"/>
      <c r="X525" s="199"/>
      <c r="Y525" s="199"/>
      <c r="Z525" s="199"/>
      <c r="AA525" s="199"/>
      <c r="AB525" s="199"/>
      <c r="AC525" s="199"/>
      <c r="AD525" s="199"/>
      <c r="AE525" s="199"/>
      <c r="AF525" s="199"/>
      <c r="AG525" s="199"/>
      <c r="AH525" s="199"/>
      <c r="AI525" s="199"/>
      <c r="AJ525" s="199"/>
      <c r="AK525" s="199"/>
      <c r="AL525" s="199"/>
      <c r="AM525" s="199"/>
      <c r="AN525" s="199"/>
      <c r="AO525" s="199"/>
      <c r="AP525" s="199"/>
      <c r="AQ525" s="199"/>
      <c r="AR525" s="199"/>
      <c r="AS525" s="199"/>
      <c r="AT525" s="199"/>
      <c r="AU525" s="199"/>
      <c r="AV525" s="199"/>
      <c r="AW525" s="199"/>
    </row>
    <row r="526" spans="1:50" x14ac:dyDescent="0.2">
      <c r="A526" s="172" t="str">
        <f ca="1">Language!A$731</f>
        <v>период появления затрат</v>
      </c>
      <c r="B526" s="313">
        <f>Prj_Invest+1</f>
        <v>1</v>
      </c>
      <c r="C526" s="146" t="str">
        <f ca="1">Language!$A$1452</f>
        <v>период</v>
      </c>
      <c r="D526" s="15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87"/>
    </row>
    <row r="527" spans="1:50" collapsed="1" x14ac:dyDescent="0.2">
      <c r="A527" s="172" t="str">
        <f ca="1">Language!A$732&amp;" ("&amp;Параметры!B$19&amp;"), "&amp;Language!A$733</f>
        <v>затраты за период (квартал), без НДС</v>
      </c>
      <c r="B527" s="313">
        <v>7000</v>
      </c>
      <c r="C527" s="146" t="str">
        <f t="shared" ref="C527" ca="1" si="2782">CHOOSE(D527,CurName1,CurName2,CurName3)</f>
        <v>тыс. руб.</v>
      </c>
      <c r="D527" s="158">
        <f>D525</f>
        <v>1</v>
      </c>
      <c r="E527" s="57" t="s">
        <v>758</v>
      </c>
      <c r="F527" s="57" t="s">
        <v>753</v>
      </c>
      <c r="G527" s="327">
        <f ca="1">IF(G$2&gt;=$B526,G531,0)*Параметры!G$33</f>
        <v>7000</v>
      </c>
      <c r="H527" s="327">
        <f ca="1">IF(H$2&gt;=$B526,H531,0)*Параметры!H$33</f>
        <v>7102.7169231806147</v>
      </c>
      <c r="I527" s="327">
        <f ca="1">IF(I$2&gt;=$B526,I531,0)*Параметры!I$33</f>
        <v>7206.9410986908997</v>
      </c>
      <c r="J527" s="327">
        <f ca="1">IF(J$2&gt;=$B526,J531,0)*Параметры!J$33</f>
        <v>7312.6946437196784</v>
      </c>
      <c r="K527" s="327">
        <f ca="1">IF(K$2&gt;=$B526,K531,0)*Параметры!K$33</f>
        <v>7420</v>
      </c>
      <c r="L527" s="327">
        <f ca="1">IF(L$2&gt;=$B526,L531,0)*Параметры!L$33</f>
        <v>7528.8799385714519</v>
      </c>
      <c r="M527" s="327">
        <f ca="1">IF(M$2&gt;=$B526,M531,0)*Параметры!M$33</f>
        <v>7639.3575646123545</v>
      </c>
      <c r="N527" s="327">
        <f ca="1">IF(N$2&gt;=$B526,N531,0)*Параметры!N$33</f>
        <v>7751.4563223428595</v>
      </c>
      <c r="O527" s="327">
        <f ca="1">IF(O$2&gt;=$B526,O531,0)*Параметры!O$33</f>
        <v>7865.2</v>
      </c>
      <c r="P527" s="327">
        <f ca="1">IF(P$2&gt;=$B526,P531,0)*Параметры!P$33</f>
        <v>7980.612734885739</v>
      </c>
      <c r="Q527" s="327">
        <f ca="1">IF(Q$2&gt;=$B526,Q531,0)*Параметры!Q$33</f>
        <v>8097.719018489096</v>
      </c>
      <c r="R527" s="327">
        <f ca="1">IF(R$2&gt;=$B526,R531,0)*Параметры!R$33</f>
        <v>8216.5437016834312</v>
      </c>
      <c r="S527" s="327">
        <f ca="1">IF(S$2&gt;=$B526,S531,0)*Параметры!S$33</f>
        <v>8337.112000000001</v>
      </c>
      <c r="T527" s="327">
        <f ca="1">IF(T$2&gt;=$B526,T531,0)*Параметры!T$33</f>
        <v>8459.4494989788836</v>
      </c>
      <c r="U527" s="327">
        <f ca="1">IF(U$2&gt;=$B526,U531,0)*Параметры!U$33</f>
        <v>8583.5821595984416</v>
      </c>
      <c r="V527" s="327">
        <f ca="1">IF(V$2&gt;=$B526,V531,0)*Параметры!V$33</f>
        <v>8709.5363237844376</v>
      </c>
      <c r="W527" s="327">
        <f ca="1">IF(W$2&gt;=$B526,W531,0)*Параметры!W$33</f>
        <v>8837.3387200000016</v>
      </c>
      <c r="X527" s="327">
        <f ca="1">IF(X$2&gt;=$B526,X531,0)*Параметры!X$33</f>
        <v>8967.0164689176181</v>
      </c>
      <c r="Y527" s="327">
        <f ca="1">IF(Y$2&gt;=$B526,Y531,0)*Параметры!Y$33</f>
        <v>9098.5970891743491</v>
      </c>
      <c r="Z527" s="327">
        <f ca="1">IF(Z$2&gt;=$B526,Z531,0)*Параметры!Z$33</f>
        <v>9232.1085032115043</v>
      </c>
      <c r="AA527" s="327">
        <f ca="1">IF(AA$2&gt;=$B526,AA531,0)*Параметры!AA$33</f>
        <v>9367.5790432000013</v>
      </c>
      <c r="AB527" s="327">
        <f ca="1">IF(AB$2&gt;=$B526,AB531,0)*Параметры!AB$33</f>
        <v>9505.0374570526747</v>
      </c>
      <c r="AC527" s="327">
        <f ca="1">IF(AC$2&gt;=$B526,AC531,0)*Параметры!AC$33</f>
        <v>9644.5129145248102</v>
      </c>
      <c r="AD527" s="327">
        <f ca="1">IF(AD$2&gt;=$B526,AD531,0)*Параметры!AD$33</f>
        <v>9786.0350134041946</v>
      </c>
      <c r="AE527" s="327">
        <f ca="1">IF(AE$2&gt;=$B526,AE531,0)*Параметры!AE$33</f>
        <v>9929.6337857920007</v>
      </c>
      <c r="AF527" s="327">
        <f ca="1">IF(AF$2&gt;=$B526,AF531,0)*Параметры!AF$33</f>
        <v>10075.339704475835</v>
      </c>
      <c r="AG527" s="327">
        <f ca="1">IF(AG$2&gt;=$B526,AG531,0)*Параметры!AG$33</f>
        <v>10223.183689396299</v>
      </c>
      <c r="AH527" s="327">
        <f ca="1">IF(AH$2&gt;=$B526,AH531,0)*Параметры!AH$33</f>
        <v>10373.197114208448</v>
      </c>
      <c r="AI527" s="327">
        <f ca="1">IF(AI$2&gt;=$B526,AI531,0)*Параметры!AI$33</f>
        <v>10525.411812939523</v>
      </c>
      <c r="AJ527" s="327">
        <f ca="1">IF(AJ$2&gt;=$B526,AJ531,0)*Параметры!AJ$33</f>
        <v>10679.860086744387</v>
      </c>
      <c r="AK527" s="327">
        <f ca="1">IF(AK$2&gt;=$B526,AK531,0)*Параметры!AK$33</f>
        <v>10836.574710760078</v>
      </c>
      <c r="AL527" s="327">
        <f ca="1">IF(AL$2&gt;=$B526,AL531,0)*Параметры!AL$33</f>
        <v>10995.588941060956</v>
      </c>
      <c r="AM527" s="327">
        <f ca="1">IF(AM$2&gt;=$B526,AM531,0)*Параметры!AM$33</f>
        <v>11156.936521715896</v>
      </c>
      <c r="AN527" s="327">
        <f ca="1">IF(AN$2&gt;=$B526,AN531,0)*Параметры!AN$33</f>
        <v>11320.651691949051</v>
      </c>
      <c r="AO527" s="327">
        <f ca="1">IF(AO$2&gt;=$B526,AO531,0)*Параметры!AO$33</f>
        <v>11486.769193405684</v>
      </c>
      <c r="AP527" s="327">
        <f ca="1">IF(AP$2&gt;=$B526,AP531,0)*Параметры!AP$33</f>
        <v>11655.324277524613</v>
      </c>
      <c r="AQ527" s="327">
        <f ca="1">IF(AQ$2&gt;=$B526,AQ531,0)*Параметры!AQ$33</f>
        <v>11826.352713018849</v>
      </c>
      <c r="AR527" s="327">
        <f ca="1">IF(AR$2&gt;=$B526,AR531,0)*Параметры!AR$33</f>
        <v>11999.890793465993</v>
      </c>
      <c r="AS527" s="327">
        <f ca="1">IF(AS$2&gt;=$B526,AS531,0)*Параметры!AS$33</f>
        <v>12175.975345010023</v>
      </c>
      <c r="AT527" s="327">
        <f ca="1">IF(AT$2&gt;=$B526,AT531,0)*Параметры!AT$33</f>
        <v>12354.643734176088</v>
      </c>
      <c r="AU527" s="327">
        <f ca="1">IF(AU$2&gt;=$B526,AU531,0)*Параметры!AU$33</f>
        <v>12535.933875799979</v>
      </c>
      <c r="AV527" s="327">
        <f ca="1">IF(AV$2&gt;=$B526,AV531,0)*Параметры!AV$33</f>
        <v>12719.884241073953</v>
      </c>
      <c r="AW527" s="148"/>
      <c r="AX527" s="171">
        <f ca="1">SUM(G527:AW527)</f>
        <v>402521.17937054066</v>
      </c>
    </row>
    <row r="528" spans="1:50" hidden="1" outlineLevel="1" x14ac:dyDescent="0.2">
      <c r="A528" s="167" t="str">
        <f ca="1">Language!A$734</f>
        <v>темп изменения цен</v>
      </c>
      <c r="B528" s="202"/>
      <c r="C528" s="103" t="str">
        <f ca="1">Language!$A$471</f>
        <v>% в год</v>
      </c>
      <c r="D528" s="153"/>
      <c r="F528" s="57" t="s">
        <v>756</v>
      </c>
      <c r="G528" s="324">
        <f>CHOOSE($D527,Параметры!G$49,Параметры!G$56,Параметры!G$62)</f>
        <v>0.06</v>
      </c>
      <c r="H528" s="324">
        <f>CHOOSE($D527,Параметры!H$49,Параметры!H$56,Параметры!H$62)</f>
        <v>0.06</v>
      </c>
      <c r="I528" s="324">
        <f>CHOOSE($D527,Параметры!I$49,Параметры!I$56,Параметры!I$62)</f>
        <v>0.06</v>
      </c>
      <c r="J528" s="324">
        <f>CHOOSE($D527,Параметры!J$49,Параметры!J$56,Параметры!J$62)</f>
        <v>0.06</v>
      </c>
      <c r="K528" s="324">
        <f>CHOOSE($D527,Параметры!K$49,Параметры!K$56,Параметры!K$62)</f>
        <v>0.06</v>
      </c>
      <c r="L528" s="324">
        <f>CHOOSE($D527,Параметры!L$49,Параметры!L$56,Параметры!L$62)</f>
        <v>0.06</v>
      </c>
      <c r="M528" s="324">
        <f>CHOOSE($D527,Параметры!M$49,Параметры!M$56,Параметры!M$62)</f>
        <v>0.06</v>
      </c>
      <c r="N528" s="324">
        <f>CHOOSE($D527,Параметры!N$49,Параметры!N$56,Параметры!N$62)</f>
        <v>0.06</v>
      </c>
      <c r="O528" s="324">
        <f>CHOOSE($D527,Параметры!O$49,Параметры!O$56,Параметры!O$62)</f>
        <v>0.06</v>
      </c>
      <c r="P528" s="324">
        <f>CHOOSE($D527,Параметры!P$49,Параметры!P$56,Параметры!P$62)</f>
        <v>0.06</v>
      </c>
      <c r="Q528" s="324">
        <f>CHOOSE($D527,Параметры!Q$49,Параметры!Q$56,Параметры!Q$62)</f>
        <v>0.06</v>
      </c>
      <c r="R528" s="324">
        <f>CHOOSE($D527,Параметры!R$49,Параметры!R$56,Параметры!R$62)</f>
        <v>0.06</v>
      </c>
      <c r="S528" s="324">
        <f>CHOOSE($D527,Параметры!S$49,Параметры!S$56,Параметры!S$62)</f>
        <v>0.06</v>
      </c>
      <c r="T528" s="324">
        <f>CHOOSE($D527,Параметры!T$49,Параметры!T$56,Параметры!T$62)</f>
        <v>0.06</v>
      </c>
      <c r="U528" s="324">
        <f>CHOOSE($D527,Параметры!U$49,Параметры!U$56,Параметры!U$62)</f>
        <v>0.06</v>
      </c>
      <c r="V528" s="324">
        <f>CHOOSE($D527,Параметры!V$49,Параметры!V$56,Параметры!V$62)</f>
        <v>0.06</v>
      </c>
      <c r="W528" s="324">
        <f>CHOOSE($D527,Параметры!W$49,Параметры!W$56,Параметры!W$62)</f>
        <v>0.06</v>
      </c>
      <c r="X528" s="324">
        <f>CHOOSE($D527,Параметры!X$49,Параметры!X$56,Параметры!X$62)</f>
        <v>0.06</v>
      </c>
      <c r="Y528" s="324">
        <f>CHOOSE($D527,Параметры!Y$49,Параметры!Y$56,Параметры!Y$62)</f>
        <v>0.06</v>
      </c>
      <c r="Z528" s="324">
        <f>CHOOSE($D527,Параметры!Z$49,Параметры!Z$56,Параметры!Z$62)</f>
        <v>0.06</v>
      </c>
      <c r="AA528" s="324">
        <f>CHOOSE($D527,Параметры!AA$49,Параметры!AA$56,Параметры!AA$62)</f>
        <v>0.06</v>
      </c>
      <c r="AB528" s="324">
        <f>CHOOSE($D527,Параметры!AB$49,Параметры!AB$56,Параметры!AB$62)</f>
        <v>0.06</v>
      </c>
      <c r="AC528" s="324">
        <f>CHOOSE($D527,Параметры!AC$49,Параметры!AC$56,Параметры!AC$62)</f>
        <v>0.06</v>
      </c>
      <c r="AD528" s="324">
        <f>CHOOSE($D527,Параметры!AD$49,Параметры!AD$56,Параметры!AD$62)</f>
        <v>0.06</v>
      </c>
      <c r="AE528" s="324">
        <f>CHOOSE($D527,Параметры!AE$49,Параметры!AE$56,Параметры!AE$62)</f>
        <v>0.06</v>
      </c>
      <c r="AF528" s="324">
        <f>CHOOSE($D527,Параметры!AF$49,Параметры!AF$56,Параметры!AF$62)</f>
        <v>0.06</v>
      </c>
      <c r="AG528" s="324">
        <f>CHOOSE($D527,Параметры!AG$49,Параметры!AG$56,Параметры!AG$62)</f>
        <v>0.06</v>
      </c>
      <c r="AH528" s="324">
        <f>CHOOSE($D527,Параметры!AH$49,Параметры!AH$56,Параметры!AH$62)</f>
        <v>0.06</v>
      </c>
      <c r="AI528" s="324">
        <f>CHOOSE($D527,Параметры!AI$49,Параметры!AI$56,Параметры!AI$62)</f>
        <v>0.06</v>
      </c>
      <c r="AJ528" s="324">
        <f>CHOOSE($D527,Параметры!AJ$49,Параметры!AJ$56,Параметры!AJ$62)</f>
        <v>0.06</v>
      </c>
      <c r="AK528" s="324">
        <f>CHOOSE($D527,Параметры!AK$49,Параметры!AK$56,Параметры!AK$62)</f>
        <v>0.06</v>
      </c>
      <c r="AL528" s="324">
        <f>CHOOSE($D527,Параметры!AL$49,Параметры!AL$56,Параметры!AL$62)</f>
        <v>0.06</v>
      </c>
      <c r="AM528" s="324">
        <f>CHOOSE($D527,Параметры!AM$49,Параметры!AM$56,Параметры!AM$62)</f>
        <v>0.06</v>
      </c>
      <c r="AN528" s="324">
        <f>CHOOSE($D527,Параметры!AN$49,Параметры!AN$56,Параметры!AN$62)</f>
        <v>0.06</v>
      </c>
      <c r="AO528" s="324">
        <f>CHOOSE($D527,Параметры!AO$49,Параметры!AO$56,Параметры!AO$62)</f>
        <v>0.06</v>
      </c>
      <c r="AP528" s="324">
        <f>CHOOSE($D527,Параметры!AP$49,Параметры!AP$56,Параметры!AP$62)</f>
        <v>0.06</v>
      </c>
      <c r="AQ528" s="324">
        <f>CHOOSE($D527,Параметры!AQ$49,Параметры!AQ$56,Параметры!AQ$62)</f>
        <v>0.06</v>
      </c>
      <c r="AR528" s="324">
        <f>CHOOSE($D527,Параметры!AR$49,Параметры!AR$56,Параметры!AR$62)</f>
        <v>0.06</v>
      </c>
      <c r="AS528" s="324">
        <f>CHOOSE($D527,Параметры!AS$49,Параметры!AS$56,Параметры!AS$62)</f>
        <v>0.06</v>
      </c>
      <c r="AT528" s="324">
        <f>CHOOSE($D527,Параметры!AT$49,Параметры!AT$56,Параметры!AT$62)</f>
        <v>0.06</v>
      </c>
      <c r="AU528" s="324">
        <f>CHOOSE($D527,Параметры!AU$49,Параметры!AU$56,Параметры!AU$62)</f>
        <v>0.06</v>
      </c>
      <c r="AV528" s="324">
        <f>CHOOSE($D527,Параметры!AV$49,Параметры!AV$56,Параметры!AV$62)</f>
        <v>0.06</v>
      </c>
      <c r="AW528" s="192"/>
      <c r="AX528" s="184"/>
    </row>
    <row r="529" spans="1:50" hidden="1" outlineLevel="1" x14ac:dyDescent="0.2">
      <c r="A529" s="167" t="str">
        <f ca="1">Language!A$735</f>
        <v>ставка НДС</v>
      </c>
      <c r="B529" s="202"/>
      <c r="C529" s="103" t="s">
        <v>1</v>
      </c>
      <c r="D529" s="155"/>
      <c r="F529" s="57" t="s">
        <v>756</v>
      </c>
      <c r="G529" s="324">
        <f>Параметры!G$72</f>
        <v>0.18</v>
      </c>
      <c r="H529" s="324">
        <f>Параметры!H$72</f>
        <v>0.18</v>
      </c>
      <c r="I529" s="324">
        <f>Параметры!I$72</f>
        <v>0.18</v>
      </c>
      <c r="J529" s="324">
        <f>Параметры!J$72</f>
        <v>0.18</v>
      </c>
      <c r="K529" s="324">
        <f>Параметры!K$72</f>
        <v>0.18</v>
      </c>
      <c r="L529" s="324">
        <f>Параметры!L$72</f>
        <v>0.18</v>
      </c>
      <c r="M529" s="324">
        <f>Параметры!M$72</f>
        <v>0.18</v>
      </c>
      <c r="N529" s="324">
        <f>Параметры!N$72</f>
        <v>0.18</v>
      </c>
      <c r="O529" s="324">
        <f>Параметры!O$72</f>
        <v>0.18</v>
      </c>
      <c r="P529" s="324">
        <f>Параметры!P$72</f>
        <v>0.18</v>
      </c>
      <c r="Q529" s="324">
        <f>Параметры!Q$72</f>
        <v>0.18</v>
      </c>
      <c r="R529" s="324">
        <f>Параметры!R$72</f>
        <v>0.18</v>
      </c>
      <c r="S529" s="324">
        <f>Параметры!S$72</f>
        <v>0.18</v>
      </c>
      <c r="T529" s="324">
        <f>Параметры!T$72</f>
        <v>0.18</v>
      </c>
      <c r="U529" s="324">
        <f>Параметры!U$72</f>
        <v>0.18</v>
      </c>
      <c r="V529" s="324">
        <f>Параметры!V$72</f>
        <v>0.18</v>
      </c>
      <c r="W529" s="324">
        <f>Параметры!W$72</f>
        <v>0.18</v>
      </c>
      <c r="X529" s="324">
        <f>Параметры!X$72</f>
        <v>0.18</v>
      </c>
      <c r="Y529" s="324">
        <f>Параметры!Y$72</f>
        <v>0.18</v>
      </c>
      <c r="Z529" s="324">
        <f>Параметры!Z$72</f>
        <v>0.18</v>
      </c>
      <c r="AA529" s="324">
        <f>Параметры!AA$72</f>
        <v>0.18</v>
      </c>
      <c r="AB529" s="324">
        <f>Параметры!AB$72</f>
        <v>0.18</v>
      </c>
      <c r="AC529" s="324">
        <f>Параметры!AC$72</f>
        <v>0.18</v>
      </c>
      <c r="AD529" s="324">
        <f>Параметры!AD$72</f>
        <v>0.18</v>
      </c>
      <c r="AE529" s="324">
        <f>Параметры!AE$72</f>
        <v>0.18</v>
      </c>
      <c r="AF529" s="324">
        <f>Параметры!AF$72</f>
        <v>0.18</v>
      </c>
      <c r="AG529" s="324">
        <f>Параметры!AG$72</f>
        <v>0.18</v>
      </c>
      <c r="AH529" s="324">
        <f>Параметры!AH$72</f>
        <v>0.18</v>
      </c>
      <c r="AI529" s="324">
        <f>Параметры!AI$72</f>
        <v>0.18</v>
      </c>
      <c r="AJ529" s="324">
        <f>Параметры!AJ$72</f>
        <v>0.18</v>
      </c>
      <c r="AK529" s="324">
        <f>Параметры!AK$72</f>
        <v>0.18</v>
      </c>
      <c r="AL529" s="324">
        <f>Параметры!AL$72</f>
        <v>0.18</v>
      </c>
      <c r="AM529" s="324">
        <f>Параметры!AM$72</f>
        <v>0.18</v>
      </c>
      <c r="AN529" s="324">
        <f>Параметры!AN$72</f>
        <v>0.18</v>
      </c>
      <c r="AO529" s="324">
        <f>Параметры!AO$72</f>
        <v>0.18</v>
      </c>
      <c r="AP529" s="324">
        <f>Параметры!AP$72</f>
        <v>0.18</v>
      </c>
      <c r="AQ529" s="324">
        <f>Параметры!AQ$72</f>
        <v>0.18</v>
      </c>
      <c r="AR529" s="324">
        <f>Параметры!AR$72</f>
        <v>0.18</v>
      </c>
      <c r="AS529" s="324">
        <f>Параметры!AS$72</f>
        <v>0.18</v>
      </c>
      <c r="AT529" s="324">
        <f>Параметры!AT$72</f>
        <v>0.18</v>
      </c>
      <c r="AU529" s="324">
        <f>Параметры!AU$72</f>
        <v>0.18</v>
      </c>
      <c r="AV529" s="324">
        <f>Параметры!AV$72</f>
        <v>0.18</v>
      </c>
      <c r="AW529" s="192"/>
      <c r="AX529" s="182"/>
    </row>
    <row r="530" spans="1:50" hidden="1" outlineLevel="1" x14ac:dyDescent="0.2">
      <c r="A530" s="167" t="str">
        <f ca="1">Language!A$736</f>
        <v>коэффициент изменения цен</v>
      </c>
      <c r="B530" s="202"/>
      <c r="C530" s="103" t="str">
        <f ca="1">Language!$A$1449</f>
        <v>раз</v>
      </c>
      <c r="D530" s="155"/>
      <c r="F530" s="57" t="s">
        <v>756</v>
      </c>
      <c r="G530" s="193">
        <f ca="1">IF(G$2=1,1,IF(Prj_Inflation=1, (1+OFFSET(G528,0,-1))^(Параметры!G$30/360), 1))</f>
        <v>1</v>
      </c>
      <c r="H530" s="193">
        <f ca="1">IF(H$2=1,1,IF(Prj_Inflation=1, (1+OFFSET(H528,0,-1))^(Параметры!H$30/360), 1))</f>
        <v>1.0146738461686593</v>
      </c>
      <c r="I530" s="193">
        <f ca="1">IF(I$2=1,1,IF(Prj_Inflation=1, (1+OFFSET(I528,0,-1))^(Параметры!I$30/360), 1))</f>
        <v>1.0146738461686593</v>
      </c>
      <c r="J530" s="193">
        <f ca="1">IF(J$2=1,1,IF(Prj_Inflation=1, (1+OFFSET(J528,0,-1))^(Параметры!J$30/360), 1))</f>
        <v>1.0146738461686593</v>
      </c>
      <c r="K530" s="193">
        <f ca="1">IF(K$2=1,1,IF(Prj_Inflation=1, (1+OFFSET(K528,0,-1))^(Параметры!K$30/360), 1))</f>
        <v>1.0146738461686593</v>
      </c>
      <c r="L530" s="193">
        <f ca="1">IF(L$2=1,1,IF(Prj_Inflation=1, (1+OFFSET(L528,0,-1))^(Параметры!L$30/360), 1))</f>
        <v>1.0146738461686593</v>
      </c>
      <c r="M530" s="193">
        <f ca="1">IF(M$2=1,1,IF(Prj_Inflation=1, (1+OFFSET(M528,0,-1))^(Параметры!M$30/360), 1))</f>
        <v>1.0146738461686593</v>
      </c>
      <c r="N530" s="193">
        <f ca="1">IF(N$2=1,1,IF(Prj_Inflation=1, (1+OFFSET(N528,0,-1))^(Параметры!N$30/360), 1))</f>
        <v>1.0146738461686593</v>
      </c>
      <c r="O530" s="193">
        <f ca="1">IF(O$2=1,1,IF(Prj_Inflation=1, (1+OFFSET(O528,0,-1))^(Параметры!O$30/360), 1))</f>
        <v>1.0146738461686593</v>
      </c>
      <c r="P530" s="193">
        <f ca="1">IF(P$2=1,1,IF(Prj_Inflation=1, (1+OFFSET(P528,0,-1))^(Параметры!P$30/360), 1))</f>
        <v>1.0146738461686593</v>
      </c>
      <c r="Q530" s="193">
        <f ca="1">IF(Q$2=1,1,IF(Prj_Inflation=1, (1+OFFSET(Q528,0,-1))^(Параметры!Q$30/360), 1))</f>
        <v>1.0146738461686593</v>
      </c>
      <c r="R530" s="193">
        <f ca="1">IF(R$2=1,1,IF(Prj_Inflation=1, (1+OFFSET(R528,0,-1))^(Параметры!R$30/360), 1))</f>
        <v>1.0146738461686593</v>
      </c>
      <c r="S530" s="193">
        <f ca="1">IF(S$2=1,1,IF(Prj_Inflation=1, (1+OFFSET(S528,0,-1))^(Параметры!S$30/360), 1))</f>
        <v>1.0146738461686593</v>
      </c>
      <c r="T530" s="193">
        <f ca="1">IF(T$2=1,1,IF(Prj_Inflation=1, (1+OFFSET(T528,0,-1))^(Параметры!T$30/360), 1))</f>
        <v>1.0146738461686593</v>
      </c>
      <c r="U530" s="193">
        <f ca="1">IF(U$2=1,1,IF(Prj_Inflation=1, (1+OFFSET(U528,0,-1))^(Параметры!U$30/360), 1))</f>
        <v>1.0146738461686593</v>
      </c>
      <c r="V530" s="193">
        <f ca="1">IF(V$2=1,1,IF(Prj_Inflation=1, (1+OFFSET(V528,0,-1))^(Параметры!V$30/360), 1))</f>
        <v>1.0146738461686593</v>
      </c>
      <c r="W530" s="193">
        <f ca="1">IF(W$2=1,1,IF(Prj_Inflation=1, (1+OFFSET(W528,0,-1))^(Параметры!W$30/360), 1))</f>
        <v>1.0146738461686593</v>
      </c>
      <c r="X530" s="193">
        <f ca="1">IF(X$2=1,1,IF(Prj_Inflation=1, (1+OFFSET(X528,0,-1))^(Параметры!X$30/360), 1))</f>
        <v>1.0146738461686593</v>
      </c>
      <c r="Y530" s="193">
        <f ca="1">IF(Y$2=1,1,IF(Prj_Inflation=1, (1+OFFSET(Y528,0,-1))^(Параметры!Y$30/360), 1))</f>
        <v>1.0146738461686593</v>
      </c>
      <c r="Z530" s="193">
        <f ca="1">IF(Z$2=1,1,IF(Prj_Inflation=1, (1+OFFSET(Z528,0,-1))^(Параметры!Z$30/360), 1))</f>
        <v>1.0146738461686593</v>
      </c>
      <c r="AA530" s="193">
        <f ca="1">IF(AA$2=1,1,IF(Prj_Inflation=1, (1+OFFSET(AA528,0,-1))^(Параметры!AA$30/360), 1))</f>
        <v>1.0146738461686593</v>
      </c>
      <c r="AB530" s="193">
        <f ca="1">IF(AB$2=1,1,IF(Prj_Inflation=1, (1+OFFSET(AB528,0,-1))^(Параметры!AB$30/360), 1))</f>
        <v>1.0146738461686593</v>
      </c>
      <c r="AC530" s="193">
        <f ca="1">IF(AC$2=1,1,IF(Prj_Inflation=1, (1+OFFSET(AC528,0,-1))^(Параметры!AC$30/360), 1))</f>
        <v>1.0146738461686593</v>
      </c>
      <c r="AD530" s="193">
        <f ca="1">IF(AD$2=1,1,IF(Prj_Inflation=1, (1+OFFSET(AD528,0,-1))^(Параметры!AD$30/360), 1))</f>
        <v>1.0146738461686593</v>
      </c>
      <c r="AE530" s="193">
        <f ca="1">IF(AE$2=1,1,IF(Prj_Inflation=1, (1+OFFSET(AE528,0,-1))^(Параметры!AE$30/360), 1))</f>
        <v>1.0146738461686593</v>
      </c>
      <c r="AF530" s="193">
        <f ca="1">IF(AF$2=1,1,IF(Prj_Inflation=1, (1+OFFSET(AF528,0,-1))^(Параметры!AF$30/360), 1))</f>
        <v>1.0146738461686593</v>
      </c>
      <c r="AG530" s="193">
        <f ca="1">IF(AG$2=1,1,IF(Prj_Inflation=1, (1+OFFSET(AG528,0,-1))^(Параметры!AG$30/360), 1))</f>
        <v>1.0146738461686593</v>
      </c>
      <c r="AH530" s="193">
        <f ca="1">IF(AH$2=1,1,IF(Prj_Inflation=1, (1+OFFSET(AH528,0,-1))^(Параметры!AH$30/360), 1))</f>
        <v>1.0146738461686593</v>
      </c>
      <c r="AI530" s="193">
        <f ca="1">IF(AI$2=1,1,IF(Prj_Inflation=1, (1+OFFSET(AI528,0,-1))^(Параметры!AI$30/360), 1))</f>
        <v>1.0146738461686593</v>
      </c>
      <c r="AJ530" s="193">
        <f ca="1">IF(AJ$2=1,1,IF(Prj_Inflation=1, (1+OFFSET(AJ528,0,-1))^(Параметры!AJ$30/360), 1))</f>
        <v>1.0146738461686593</v>
      </c>
      <c r="AK530" s="193">
        <f ca="1">IF(AK$2=1,1,IF(Prj_Inflation=1, (1+OFFSET(AK528,0,-1))^(Параметры!AK$30/360), 1))</f>
        <v>1.0146738461686593</v>
      </c>
      <c r="AL530" s="193">
        <f ca="1">IF(AL$2=1,1,IF(Prj_Inflation=1, (1+OFFSET(AL528,0,-1))^(Параметры!AL$30/360), 1))</f>
        <v>1.0146738461686593</v>
      </c>
      <c r="AM530" s="193">
        <f ca="1">IF(AM$2=1,1,IF(Prj_Inflation=1, (1+OFFSET(AM528,0,-1))^(Параметры!AM$30/360), 1))</f>
        <v>1.0146738461686593</v>
      </c>
      <c r="AN530" s="193">
        <f ca="1">IF(AN$2=1,1,IF(Prj_Inflation=1, (1+OFFSET(AN528,0,-1))^(Параметры!AN$30/360), 1))</f>
        <v>1.0146738461686593</v>
      </c>
      <c r="AO530" s="193">
        <f ca="1">IF(AO$2=1,1,IF(Prj_Inflation=1, (1+OFFSET(AO528,0,-1))^(Параметры!AO$30/360), 1))</f>
        <v>1.0146738461686593</v>
      </c>
      <c r="AP530" s="193">
        <f ca="1">IF(AP$2=1,1,IF(Prj_Inflation=1, (1+OFFSET(AP528,0,-1))^(Параметры!AP$30/360), 1))</f>
        <v>1.0146738461686593</v>
      </c>
      <c r="AQ530" s="193">
        <f ca="1">IF(AQ$2=1,1,IF(Prj_Inflation=1, (1+OFFSET(AQ528,0,-1))^(Параметры!AQ$30/360), 1))</f>
        <v>1.0146738461686593</v>
      </c>
      <c r="AR530" s="193">
        <f ca="1">IF(AR$2=1,1,IF(Prj_Inflation=1, (1+OFFSET(AR528,0,-1))^(Параметры!AR$30/360), 1))</f>
        <v>1.0146738461686593</v>
      </c>
      <c r="AS530" s="193">
        <f ca="1">IF(AS$2=1,1,IF(Prj_Inflation=1, (1+OFFSET(AS528,0,-1))^(Параметры!AS$30/360), 1))</f>
        <v>1.0146738461686593</v>
      </c>
      <c r="AT530" s="193">
        <f ca="1">IF(AT$2=1,1,IF(Prj_Inflation=1, (1+OFFSET(AT528,0,-1))^(Параметры!AT$30/360), 1))</f>
        <v>1.0146738461686593</v>
      </c>
      <c r="AU530" s="193">
        <f ca="1">IF(AU$2=1,1,IF(Prj_Inflation=1, (1+OFFSET(AU528,0,-1))^(Параметры!AU$30/360), 1))</f>
        <v>1.0146738461686593</v>
      </c>
      <c r="AV530" s="193">
        <f ca="1">IF(AV$2=1,1,IF(Prj_Inflation=1, (1+OFFSET(AV528,0,-1))^(Параметры!AV$30/360), 1))</f>
        <v>1.0146738461686593</v>
      </c>
      <c r="AW530" s="193"/>
      <c r="AX530" s="182"/>
    </row>
    <row r="531" spans="1:50" hidden="1" outlineLevel="1" x14ac:dyDescent="0.2">
      <c r="A531" s="179" t="str">
        <f ca="1">Language!A$737</f>
        <v>расчет затрат с учетом инфляции, без НДС</v>
      </c>
      <c r="B531" s="52"/>
      <c r="C531" s="82" t="str">
        <f ca="1">CHOOSE(D531,CurName1,CurName2,CurName3)</f>
        <v>тыс. руб.</v>
      </c>
      <c r="D531" s="155">
        <f>D525</f>
        <v>1</v>
      </c>
      <c r="F531" s="57" t="s">
        <v>753</v>
      </c>
      <c r="G531" s="180">
        <f t="shared" ref="G531:AV531" ca="1" si="2783">IF(G$2=1,$B527,F531)*G530</f>
        <v>7000</v>
      </c>
      <c r="H531" s="180">
        <f t="shared" ca="1" si="2783"/>
        <v>7102.7169231806147</v>
      </c>
      <c r="I531" s="180">
        <f t="shared" ca="1" si="2783"/>
        <v>7206.9410986908997</v>
      </c>
      <c r="J531" s="180">
        <f t="shared" ca="1" si="2783"/>
        <v>7312.6946437196784</v>
      </c>
      <c r="K531" s="180">
        <f t="shared" ca="1" si="2783"/>
        <v>7420</v>
      </c>
      <c r="L531" s="180">
        <f t="shared" ca="1" si="2783"/>
        <v>7528.8799385714519</v>
      </c>
      <c r="M531" s="180">
        <f t="shared" ca="1" si="2783"/>
        <v>7639.3575646123545</v>
      </c>
      <c r="N531" s="180">
        <f t="shared" ca="1" si="2783"/>
        <v>7751.4563223428595</v>
      </c>
      <c r="O531" s="180">
        <f t="shared" ca="1" si="2783"/>
        <v>7865.2</v>
      </c>
      <c r="P531" s="180">
        <f t="shared" ca="1" si="2783"/>
        <v>7980.612734885739</v>
      </c>
      <c r="Q531" s="180">
        <f t="shared" ca="1" si="2783"/>
        <v>8097.719018489096</v>
      </c>
      <c r="R531" s="180">
        <f t="shared" ca="1" si="2783"/>
        <v>8216.5437016834312</v>
      </c>
      <c r="S531" s="180">
        <f t="shared" ca="1" si="2783"/>
        <v>8337.112000000001</v>
      </c>
      <c r="T531" s="180">
        <f t="shared" ca="1" si="2783"/>
        <v>8459.4494989788836</v>
      </c>
      <c r="U531" s="180">
        <f t="shared" ca="1" si="2783"/>
        <v>8583.5821595984416</v>
      </c>
      <c r="V531" s="180">
        <f t="shared" ca="1" si="2783"/>
        <v>8709.5363237844376</v>
      </c>
      <c r="W531" s="180">
        <f t="shared" ca="1" si="2783"/>
        <v>8837.3387200000016</v>
      </c>
      <c r="X531" s="180">
        <f t="shared" ca="1" si="2783"/>
        <v>8967.0164689176181</v>
      </c>
      <c r="Y531" s="180">
        <f t="shared" ca="1" si="2783"/>
        <v>9098.5970891743491</v>
      </c>
      <c r="Z531" s="180">
        <f t="shared" ca="1" si="2783"/>
        <v>9232.1085032115043</v>
      </c>
      <c r="AA531" s="180">
        <f t="shared" ca="1" si="2783"/>
        <v>9367.5790432000013</v>
      </c>
      <c r="AB531" s="180">
        <f t="shared" ca="1" si="2783"/>
        <v>9505.0374570526747</v>
      </c>
      <c r="AC531" s="180">
        <f t="shared" ca="1" si="2783"/>
        <v>9644.5129145248102</v>
      </c>
      <c r="AD531" s="180">
        <f t="shared" ca="1" si="2783"/>
        <v>9786.0350134041946</v>
      </c>
      <c r="AE531" s="180">
        <f t="shared" ca="1" si="2783"/>
        <v>9929.6337857920007</v>
      </c>
      <c r="AF531" s="180">
        <f t="shared" ca="1" si="2783"/>
        <v>10075.339704475835</v>
      </c>
      <c r="AG531" s="180">
        <f t="shared" ca="1" si="2783"/>
        <v>10223.183689396299</v>
      </c>
      <c r="AH531" s="180">
        <f t="shared" ca="1" si="2783"/>
        <v>10373.197114208448</v>
      </c>
      <c r="AI531" s="180">
        <f t="shared" ca="1" si="2783"/>
        <v>10525.411812939523</v>
      </c>
      <c r="AJ531" s="180">
        <f t="shared" ca="1" si="2783"/>
        <v>10679.860086744387</v>
      </c>
      <c r="AK531" s="180">
        <f t="shared" ca="1" si="2783"/>
        <v>10836.574710760078</v>
      </c>
      <c r="AL531" s="180">
        <f t="shared" ca="1" si="2783"/>
        <v>10995.588941060956</v>
      </c>
      <c r="AM531" s="180">
        <f t="shared" ca="1" si="2783"/>
        <v>11156.936521715896</v>
      </c>
      <c r="AN531" s="180">
        <f t="shared" ca="1" si="2783"/>
        <v>11320.651691949051</v>
      </c>
      <c r="AO531" s="180">
        <f t="shared" ca="1" si="2783"/>
        <v>11486.769193405684</v>
      </c>
      <c r="AP531" s="180">
        <f t="shared" ca="1" si="2783"/>
        <v>11655.324277524613</v>
      </c>
      <c r="AQ531" s="180">
        <f t="shared" ca="1" si="2783"/>
        <v>11826.352713018849</v>
      </c>
      <c r="AR531" s="180">
        <f t="shared" ca="1" si="2783"/>
        <v>11999.890793465993</v>
      </c>
      <c r="AS531" s="180">
        <f t="shared" ca="1" si="2783"/>
        <v>12175.975345010023</v>
      </c>
      <c r="AT531" s="180">
        <f t="shared" ca="1" si="2783"/>
        <v>12354.643734176088</v>
      </c>
      <c r="AU531" s="180">
        <f t="shared" ca="1" si="2783"/>
        <v>12535.933875799979</v>
      </c>
      <c r="AV531" s="180">
        <f t="shared" ca="1" si="2783"/>
        <v>12719.884241073953</v>
      </c>
      <c r="AW531" s="180"/>
      <c r="AX531" s="189">
        <f ca="1">SUM(G531:AW531)</f>
        <v>402521.17937054066</v>
      </c>
    </row>
    <row r="532" spans="1:50" hidden="1" outlineLevel="1" x14ac:dyDescent="0.2">
      <c r="A532" s="167" t="str">
        <f ca="1">Language!A$738</f>
        <v>НДС начисленный</v>
      </c>
      <c r="B532" s="56"/>
      <c r="C532" s="103" t="str">
        <f ca="1">CHOOSE(D532,CurName1,CurName2,CurName3)</f>
        <v>тыс. руб.</v>
      </c>
      <c r="D532" s="155">
        <f>D525</f>
        <v>1</v>
      </c>
      <c r="E532" s="57" t="s">
        <v>789</v>
      </c>
      <c r="F532" s="57" t="s">
        <v>753</v>
      </c>
      <c r="G532" s="194">
        <f ca="1">G527*G529</f>
        <v>1260</v>
      </c>
      <c r="H532" s="194">
        <f t="shared" ref="H532:AV532" ca="1" si="2784">H527*H529</f>
        <v>1278.4890461725106</v>
      </c>
      <c r="I532" s="194">
        <f t="shared" ca="1" si="2784"/>
        <v>1297.2493977643619</v>
      </c>
      <c r="J532" s="194">
        <f t="shared" ca="1" si="2784"/>
        <v>1316.2850358695421</v>
      </c>
      <c r="K532" s="194">
        <f t="shared" ca="1" si="2784"/>
        <v>1335.6</v>
      </c>
      <c r="L532" s="194">
        <f t="shared" ca="1" si="2784"/>
        <v>1355.1983889428614</v>
      </c>
      <c r="M532" s="194">
        <f t="shared" ca="1" si="2784"/>
        <v>1375.0843616302238</v>
      </c>
      <c r="N532" s="194">
        <f t="shared" ca="1" si="2784"/>
        <v>1395.2621380217147</v>
      </c>
      <c r="O532" s="194">
        <f t="shared" ca="1" si="2784"/>
        <v>1415.7359999999999</v>
      </c>
      <c r="P532" s="194">
        <f t="shared" ca="1" si="2784"/>
        <v>1436.5102922794329</v>
      </c>
      <c r="Q532" s="194">
        <f t="shared" ca="1" si="2784"/>
        <v>1457.5894233280371</v>
      </c>
      <c r="R532" s="194">
        <f t="shared" ca="1" si="2784"/>
        <v>1478.9778663030177</v>
      </c>
      <c r="S532" s="194">
        <f t="shared" ca="1" si="2784"/>
        <v>1500.6801600000001</v>
      </c>
      <c r="T532" s="194">
        <f t="shared" ca="1" si="2784"/>
        <v>1522.7009098161991</v>
      </c>
      <c r="U532" s="194">
        <f t="shared" ca="1" si="2784"/>
        <v>1545.0447887277194</v>
      </c>
      <c r="V532" s="194">
        <f t="shared" ca="1" si="2784"/>
        <v>1567.7165382811986</v>
      </c>
      <c r="W532" s="194">
        <f t="shared" ca="1" si="2784"/>
        <v>1590.7209696000002</v>
      </c>
      <c r="X532" s="194">
        <f t="shared" ca="1" si="2784"/>
        <v>1614.0629644051712</v>
      </c>
      <c r="Y532" s="194">
        <f t="shared" ca="1" si="2784"/>
        <v>1637.7474760513828</v>
      </c>
      <c r="Z532" s="194">
        <f t="shared" ca="1" si="2784"/>
        <v>1661.7795305780708</v>
      </c>
      <c r="AA532" s="194">
        <f t="shared" ca="1" si="2784"/>
        <v>1686.1642277760002</v>
      </c>
      <c r="AB532" s="194">
        <f t="shared" ca="1" si="2784"/>
        <v>1710.9067422694814</v>
      </c>
      <c r="AC532" s="194">
        <f t="shared" ca="1" si="2784"/>
        <v>1736.0123246144658</v>
      </c>
      <c r="AD532" s="194">
        <f t="shared" ca="1" si="2784"/>
        <v>1761.4863024127549</v>
      </c>
      <c r="AE532" s="194">
        <f t="shared" ca="1" si="2784"/>
        <v>1787.3340814425601</v>
      </c>
      <c r="AF532" s="194">
        <f t="shared" ca="1" si="2784"/>
        <v>1813.5611468056502</v>
      </c>
      <c r="AG532" s="194">
        <f t="shared" ca="1" si="2784"/>
        <v>1840.1730640913338</v>
      </c>
      <c r="AH532" s="194">
        <f t="shared" ca="1" si="2784"/>
        <v>1867.1754805575206</v>
      </c>
      <c r="AI532" s="194">
        <f t="shared" ca="1" si="2784"/>
        <v>1894.5741263291141</v>
      </c>
      <c r="AJ532" s="194">
        <f t="shared" ca="1" si="2784"/>
        <v>1922.3748156139898</v>
      </c>
      <c r="AK532" s="194">
        <f t="shared" ca="1" si="2784"/>
        <v>1950.5834479368141</v>
      </c>
      <c r="AL532" s="194">
        <f t="shared" ca="1" si="2784"/>
        <v>1979.206009390972</v>
      </c>
      <c r="AM532" s="194">
        <f t="shared" ca="1" si="2784"/>
        <v>2008.2485739088611</v>
      </c>
      <c r="AN532" s="194">
        <f t="shared" ca="1" si="2784"/>
        <v>2037.7173045508291</v>
      </c>
      <c r="AO532" s="194">
        <f t="shared" ca="1" si="2784"/>
        <v>2067.6184548130232</v>
      </c>
      <c r="AP532" s="194">
        <f t="shared" ca="1" si="2784"/>
        <v>2097.9583699544301</v>
      </c>
      <c r="AQ532" s="194">
        <f t="shared" ca="1" si="2784"/>
        <v>2128.7434883433925</v>
      </c>
      <c r="AR532" s="194">
        <f t="shared" ca="1" si="2784"/>
        <v>2159.9803428238788</v>
      </c>
      <c r="AS532" s="194">
        <f t="shared" ca="1" si="2784"/>
        <v>2191.6755621018042</v>
      </c>
      <c r="AT532" s="194">
        <f t="shared" ca="1" si="2784"/>
        <v>2223.8358721516956</v>
      </c>
      <c r="AU532" s="194">
        <f t="shared" ca="1" si="2784"/>
        <v>2256.4680976439963</v>
      </c>
      <c r="AV532" s="194">
        <f t="shared" ca="1" si="2784"/>
        <v>2289.5791633933113</v>
      </c>
      <c r="AW532" s="194"/>
      <c r="AX532" s="189">
        <f ca="1">SUM(G532:AW532)</f>
        <v>72453.812286697343</v>
      </c>
    </row>
    <row r="533" spans="1:50" x14ac:dyDescent="0.2">
      <c r="A533" s="317" t="s">
        <v>2334</v>
      </c>
      <c r="B533" s="198"/>
      <c r="C533" s="146"/>
      <c r="D533" s="66">
        <v>1</v>
      </c>
      <c r="F533" s="57" t="s">
        <v>2330</v>
      </c>
      <c r="G533" s="199"/>
      <c r="H533" s="199"/>
      <c r="I533" s="199"/>
      <c r="J533" s="199"/>
      <c r="K533" s="199"/>
      <c r="L533" s="199"/>
      <c r="M533" s="199"/>
      <c r="N533" s="199"/>
      <c r="O533" s="199"/>
      <c r="P533" s="199"/>
      <c r="Q533" s="199"/>
      <c r="R533" s="199"/>
      <c r="S533" s="199"/>
      <c r="T533" s="199"/>
      <c r="U533" s="199"/>
      <c r="V533" s="199"/>
      <c r="W533" s="199"/>
      <c r="X533" s="199"/>
      <c r="Y533" s="199"/>
      <c r="Z533" s="199"/>
      <c r="AA533" s="199"/>
      <c r="AB533" s="199"/>
      <c r="AC533" s="199"/>
      <c r="AD533" s="199"/>
      <c r="AE533" s="199"/>
      <c r="AF533" s="199"/>
      <c r="AG533" s="199"/>
      <c r="AH533" s="199"/>
      <c r="AI533" s="199"/>
      <c r="AJ533" s="199"/>
      <c r="AK533" s="199"/>
      <c r="AL533" s="199"/>
      <c r="AM533" s="199"/>
      <c r="AN533" s="199"/>
      <c r="AO533" s="199"/>
      <c r="AP533" s="199"/>
      <c r="AQ533" s="199"/>
      <c r="AR533" s="199"/>
      <c r="AS533" s="199"/>
      <c r="AT533" s="199"/>
      <c r="AU533" s="199"/>
      <c r="AV533" s="199"/>
      <c r="AW533" s="199"/>
    </row>
    <row r="534" spans="1:50" x14ac:dyDescent="0.2">
      <c r="A534" s="172" t="str">
        <f ca="1">Language!A$731</f>
        <v>период появления затрат</v>
      </c>
      <c r="B534" s="313">
        <f>Prj_Invest+1</f>
        <v>1</v>
      </c>
      <c r="C534" s="146" t="str">
        <f ca="1">Language!$A$1452</f>
        <v>период</v>
      </c>
      <c r="D534" s="15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87"/>
    </row>
    <row r="535" spans="1:50" collapsed="1" x14ac:dyDescent="0.2">
      <c r="A535" s="172" t="str">
        <f ca="1">Language!A$732&amp;" ("&amp;Параметры!B$19&amp;"), "&amp;Language!A$733</f>
        <v>затраты за период (квартал), без НДС</v>
      </c>
      <c r="B535" s="313">
        <v>6100</v>
      </c>
      <c r="C535" s="146" t="str">
        <f t="shared" ref="C535" ca="1" si="2785">CHOOSE(D535,CurName1,CurName2,CurName3)</f>
        <v>тыс. руб.</v>
      </c>
      <c r="D535" s="158">
        <f>D533</f>
        <v>1</v>
      </c>
      <c r="E535" s="57" t="s">
        <v>758</v>
      </c>
      <c r="F535" s="57" t="s">
        <v>753</v>
      </c>
      <c r="G535" s="327">
        <f ca="1">IF(G$2&gt;=$B534,G539,0)*Параметры!G$33</f>
        <v>6100</v>
      </c>
      <c r="H535" s="327">
        <f ca="1">IF(H$2&gt;=$B534,H539,0)*Параметры!H$33</f>
        <v>6189.5104616288218</v>
      </c>
      <c r="I535" s="327">
        <f ca="1">IF(I$2&gt;=$B534,I539,0)*Параметры!I$33</f>
        <v>6280.3343860020705</v>
      </c>
      <c r="J535" s="327">
        <f ca="1">IF(J$2&gt;=$B534,J539,0)*Параметры!J$33</f>
        <v>6372.4910466700057</v>
      </c>
      <c r="K535" s="327">
        <f ca="1">IF(K$2&gt;=$B534,K539,0)*Параметры!K$33</f>
        <v>6466</v>
      </c>
      <c r="L535" s="327">
        <f ca="1">IF(L$2&gt;=$B534,L539,0)*Параметры!L$33</f>
        <v>6560.8810893265509</v>
      </c>
      <c r="M535" s="327">
        <f ca="1">IF(M$2&gt;=$B534,M539,0)*Параметры!M$33</f>
        <v>6657.1544491621944</v>
      </c>
      <c r="N535" s="327">
        <f ca="1">IF(N$2&gt;=$B534,N539,0)*Параметры!N$33</f>
        <v>6754.8405094702066</v>
      </c>
      <c r="O535" s="327">
        <f ca="1">IF(O$2&gt;=$B534,O539,0)*Параметры!O$33</f>
        <v>6853.9600000000009</v>
      </c>
      <c r="P535" s="327">
        <f ca="1">IF(P$2&gt;=$B534,P539,0)*Параметры!P$33</f>
        <v>6954.5339546861451</v>
      </c>
      <c r="Q535" s="327">
        <f ca="1">IF(Q$2&gt;=$B534,Q539,0)*Параметры!Q$33</f>
        <v>7056.5837161119271</v>
      </c>
      <c r="R535" s="327">
        <f ca="1">IF(R$2&gt;=$B534,R539,0)*Параметры!R$33</f>
        <v>7160.1309400384198</v>
      </c>
      <c r="S535" s="327">
        <f ca="1">IF(S$2&gt;=$B534,S539,0)*Параметры!S$33</f>
        <v>7265.1976000000013</v>
      </c>
      <c r="T535" s="327">
        <f ca="1">IF(T$2&gt;=$B534,T539,0)*Параметры!T$33</f>
        <v>7371.8059919673142</v>
      </c>
      <c r="U535" s="327">
        <f ca="1">IF(U$2&gt;=$B534,U539,0)*Параметры!U$33</f>
        <v>7479.9787390786432</v>
      </c>
      <c r="V535" s="327">
        <f ca="1">IF(V$2&gt;=$B534,V539,0)*Параметры!V$33</f>
        <v>7589.7387964407253</v>
      </c>
      <c r="W535" s="327">
        <f ca="1">IF(W$2&gt;=$B534,W539,0)*Параметры!W$33</f>
        <v>7701.109456000002</v>
      </c>
      <c r="X535" s="327">
        <f ca="1">IF(X$2&gt;=$B534,X539,0)*Параметры!X$33</f>
        <v>7814.1143514853538</v>
      </c>
      <c r="Y535" s="327">
        <f ca="1">IF(Y$2&gt;=$B534,Y539,0)*Параметры!Y$33</f>
        <v>7928.7774634233629</v>
      </c>
      <c r="Z535" s="327">
        <f ca="1">IF(Z$2&gt;=$B534,Z539,0)*Параметры!Z$33</f>
        <v>8045.1231242271697</v>
      </c>
      <c r="AA535" s="327">
        <f ca="1">IF(AA$2&gt;=$B534,AA539,0)*Параметры!AA$33</f>
        <v>8163.1760233600025</v>
      </c>
      <c r="AB535" s="327">
        <f ca="1">IF(AB$2&gt;=$B534,AB539,0)*Параметры!AB$33</f>
        <v>8282.9612125744752</v>
      </c>
      <c r="AC535" s="327">
        <f ca="1">IF(AC$2&gt;=$B534,AC539,0)*Параметры!AC$33</f>
        <v>8404.5041112287654</v>
      </c>
      <c r="AD535" s="327">
        <f ca="1">IF(AD$2&gt;=$B534,AD539,0)*Параметры!AD$33</f>
        <v>8527.8305116808006</v>
      </c>
      <c r="AE535" s="327">
        <f ca="1">IF(AE$2&gt;=$B534,AE539,0)*Параметры!AE$33</f>
        <v>8652.9665847616034</v>
      </c>
      <c r="AF535" s="327">
        <f ca="1">IF(AF$2&gt;=$B534,AF539,0)*Параметры!AF$33</f>
        <v>8779.9388853289438</v>
      </c>
      <c r="AG535" s="327">
        <f ca="1">IF(AG$2&gt;=$B534,AG539,0)*Параметры!AG$33</f>
        <v>8908.77435790249</v>
      </c>
      <c r="AH535" s="327">
        <f ca="1">IF(AH$2&gt;=$B534,AH539,0)*Параметры!AH$33</f>
        <v>9039.500342381647</v>
      </c>
      <c r="AI535" s="327">
        <f ca="1">IF(AI$2&gt;=$B534,AI539,0)*Параметры!AI$33</f>
        <v>9172.1445798472978</v>
      </c>
      <c r="AJ535" s="327">
        <f ca="1">IF(AJ$2&gt;=$B534,AJ539,0)*Параметры!AJ$33</f>
        <v>9306.735218448679</v>
      </c>
      <c r="AK535" s="327">
        <f ca="1">IF(AK$2&gt;=$B534,AK539,0)*Параметры!AK$33</f>
        <v>9443.3008193766382</v>
      </c>
      <c r="AL535" s="327">
        <f ca="1">IF(AL$2&gt;=$B534,AL539,0)*Параметры!AL$33</f>
        <v>9581.8703629245447</v>
      </c>
      <c r="AM535" s="327">
        <f ca="1">IF(AM$2&gt;=$B534,AM539,0)*Параметры!AM$33</f>
        <v>9722.4732546381347</v>
      </c>
      <c r="AN535" s="327">
        <f ca="1">IF(AN$2&gt;=$B534,AN539,0)*Параметры!AN$33</f>
        <v>9865.1393315555997</v>
      </c>
      <c r="AO535" s="327">
        <f ca="1">IF(AO$2&gt;=$B534,AO539,0)*Параметры!AO$33</f>
        <v>10009.898868539238</v>
      </c>
      <c r="AP535" s="327">
        <f ca="1">IF(AP$2&gt;=$B534,AP539,0)*Параметры!AP$33</f>
        <v>10156.782584700019</v>
      </c>
      <c r="AQ535" s="327">
        <f ca="1">IF(AQ$2&gt;=$B534,AQ539,0)*Параметры!AQ$33</f>
        <v>10305.821649916425</v>
      </c>
      <c r="AR535" s="327">
        <f ca="1">IF(AR$2&gt;=$B534,AR539,0)*Параметры!AR$33</f>
        <v>10457.047691448937</v>
      </c>
      <c r="AS535" s="327">
        <f ca="1">IF(AS$2&gt;=$B534,AS539,0)*Параметры!AS$33</f>
        <v>10610.492800651593</v>
      </c>
      <c r="AT535" s="327">
        <f ca="1">IF(AT$2&gt;=$B534,AT539,0)*Параметры!AT$33</f>
        <v>10766.189539782021</v>
      </c>
      <c r="AU535" s="327">
        <f ca="1">IF(AU$2&gt;=$B534,AU539,0)*Параметры!AU$33</f>
        <v>10924.170948911411</v>
      </c>
      <c r="AV535" s="327">
        <f ca="1">IF(AV$2&gt;=$B534,AV539,0)*Параметры!AV$33</f>
        <v>11084.470552935874</v>
      </c>
      <c r="AW535" s="148"/>
      <c r="AX535" s="171">
        <f ca="1">SUM(G535:AW535)</f>
        <v>350768.456308614</v>
      </c>
    </row>
    <row r="536" spans="1:50" hidden="1" outlineLevel="1" x14ac:dyDescent="0.2">
      <c r="A536" s="167" t="str">
        <f ca="1">Language!A$734</f>
        <v>темп изменения цен</v>
      </c>
      <c r="B536" s="202"/>
      <c r="C536" s="103" t="str">
        <f ca="1">Language!$A$471</f>
        <v>% в год</v>
      </c>
      <c r="D536" s="153"/>
      <c r="F536" s="57" t="s">
        <v>756</v>
      </c>
      <c r="G536" s="324">
        <f>CHOOSE($D535,Параметры!G$49,Параметры!G$56,Параметры!G$62)</f>
        <v>0.06</v>
      </c>
      <c r="H536" s="324">
        <f>CHOOSE($D535,Параметры!H$49,Параметры!H$56,Параметры!H$62)</f>
        <v>0.06</v>
      </c>
      <c r="I536" s="324">
        <f>CHOOSE($D535,Параметры!I$49,Параметры!I$56,Параметры!I$62)</f>
        <v>0.06</v>
      </c>
      <c r="J536" s="324">
        <f>CHOOSE($D535,Параметры!J$49,Параметры!J$56,Параметры!J$62)</f>
        <v>0.06</v>
      </c>
      <c r="K536" s="324">
        <f>CHOOSE($D535,Параметры!K$49,Параметры!K$56,Параметры!K$62)</f>
        <v>0.06</v>
      </c>
      <c r="L536" s="324">
        <f>CHOOSE($D535,Параметры!L$49,Параметры!L$56,Параметры!L$62)</f>
        <v>0.06</v>
      </c>
      <c r="M536" s="324">
        <f>CHOOSE($D535,Параметры!M$49,Параметры!M$56,Параметры!M$62)</f>
        <v>0.06</v>
      </c>
      <c r="N536" s="324">
        <f>CHOOSE($D535,Параметры!N$49,Параметры!N$56,Параметры!N$62)</f>
        <v>0.06</v>
      </c>
      <c r="O536" s="324">
        <f>CHOOSE($D535,Параметры!O$49,Параметры!O$56,Параметры!O$62)</f>
        <v>0.06</v>
      </c>
      <c r="P536" s="324">
        <f>CHOOSE($D535,Параметры!P$49,Параметры!P$56,Параметры!P$62)</f>
        <v>0.06</v>
      </c>
      <c r="Q536" s="324">
        <f>CHOOSE($D535,Параметры!Q$49,Параметры!Q$56,Параметры!Q$62)</f>
        <v>0.06</v>
      </c>
      <c r="R536" s="324">
        <f>CHOOSE($D535,Параметры!R$49,Параметры!R$56,Параметры!R$62)</f>
        <v>0.06</v>
      </c>
      <c r="S536" s="324">
        <f>CHOOSE($D535,Параметры!S$49,Параметры!S$56,Параметры!S$62)</f>
        <v>0.06</v>
      </c>
      <c r="T536" s="324">
        <f>CHOOSE($D535,Параметры!T$49,Параметры!T$56,Параметры!T$62)</f>
        <v>0.06</v>
      </c>
      <c r="U536" s="324">
        <f>CHOOSE($D535,Параметры!U$49,Параметры!U$56,Параметры!U$62)</f>
        <v>0.06</v>
      </c>
      <c r="V536" s="324">
        <f>CHOOSE($D535,Параметры!V$49,Параметры!V$56,Параметры!V$62)</f>
        <v>0.06</v>
      </c>
      <c r="W536" s="324">
        <f>CHOOSE($D535,Параметры!W$49,Параметры!W$56,Параметры!W$62)</f>
        <v>0.06</v>
      </c>
      <c r="X536" s="324">
        <f>CHOOSE($D535,Параметры!X$49,Параметры!X$56,Параметры!X$62)</f>
        <v>0.06</v>
      </c>
      <c r="Y536" s="324">
        <f>CHOOSE($D535,Параметры!Y$49,Параметры!Y$56,Параметры!Y$62)</f>
        <v>0.06</v>
      </c>
      <c r="Z536" s="324">
        <f>CHOOSE($D535,Параметры!Z$49,Параметры!Z$56,Параметры!Z$62)</f>
        <v>0.06</v>
      </c>
      <c r="AA536" s="324">
        <f>CHOOSE($D535,Параметры!AA$49,Параметры!AA$56,Параметры!AA$62)</f>
        <v>0.06</v>
      </c>
      <c r="AB536" s="324">
        <f>CHOOSE($D535,Параметры!AB$49,Параметры!AB$56,Параметры!AB$62)</f>
        <v>0.06</v>
      </c>
      <c r="AC536" s="324">
        <f>CHOOSE($D535,Параметры!AC$49,Параметры!AC$56,Параметры!AC$62)</f>
        <v>0.06</v>
      </c>
      <c r="AD536" s="324">
        <f>CHOOSE($D535,Параметры!AD$49,Параметры!AD$56,Параметры!AD$62)</f>
        <v>0.06</v>
      </c>
      <c r="AE536" s="324">
        <f>CHOOSE($D535,Параметры!AE$49,Параметры!AE$56,Параметры!AE$62)</f>
        <v>0.06</v>
      </c>
      <c r="AF536" s="324">
        <f>CHOOSE($D535,Параметры!AF$49,Параметры!AF$56,Параметры!AF$62)</f>
        <v>0.06</v>
      </c>
      <c r="AG536" s="324">
        <f>CHOOSE($D535,Параметры!AG$49,Параметры!AG$56,Параметры!AG$62)</f>
        <v>0.06</v>
      </c>
      <c r="AH536" s="324">
        <f>CHOOSE($D535,Параметры!AH$49,Параметры!AH$56,Параметры!AH$62)</f>
        <v>0.06</v>
      </c>
      <c r="AI536" s="324">
        <f>CHOOSE($D535,Параметры!AI$49,Параметры!AI$56,Параметры!AI$62)</f>
        <v>0.06</v>
      </c>
      <c r="AJ536" s="324">
        <f>CHOOSE($D535,Параметры!AJ$49,Параметры!AJ$56,Параметры!AJ$62)</f>
        <v>0.06</v>
      </c>
      <c r="AK536" s="324">
        <f>CHOOSE($D535,Параметры!AK$49,Параметры!AK$56,Параметры!AK$62)</f>
        <v>0.06</v>
      </c>
      <c r="AL536" s="324">
        <f>CHOOSE($D535,Параметры!AL$49,Параметры!AL$56,Параметры!AL$62)</f>
        <v>0.06</v>
      </c>
      <c r="AM536" s="324">
        <f>CHOOSE($D535,Параметры!AM$49,Параметры!AM$56,Параметры!AM$62)</f>
        <v>0.06</v>
      </c>
      <c r="AN536" s="324">
        <f>CHOOSE($D535,Параметры!AN$49,Параметры!AN$56,Параметры!AN$62)</f>
        <v>0.06</v>
      </c>
      <c r="AO536" s="324">
        <f>CHOOSE($D535,Параметры!AO$49,Параметры!AO$56,Параметры!AO$62)</f>
        <v>0.06</v>
      </c>
      <c r="AP536" s="324">
        <f>CHOOSE($D535,Параметры!AP$49,Параметры!AP$56,Параметры!AP$62)</f>
        <v>0.06</v>
      </c>
      <c r="AQ536" s="324">
        <f>CHOOSE($D535,Параметры!AQ$49,Параметры!AQ$56,Параметры!AQ$62)</f>
        <v>0.06</v>
      </c>
      <c r="AR536" s="324">
        <f>CHOOSE($D535,Параметры!AR$49,Параметры!AR$56,Параметры!AR$62)</f>
        <v>0.06</v>
      </c>
      <c r="AS536" s="324">
        <f>CHOOSE($D535,Параметры!AS$49,Параметры!AS$56,Параметры!AS$62)</f>
        <v>0.06</v>
      </c>
      <c r="AT536" s="324">
        <f>CHOOSE($D535,Параметры!AT$49,Параметры!AT$56,Параметры!AT$62)</f>
        <v>0.06</v>
      </c>
      <c r="AU536" s="324">
        <f>CHOOSE($D535,Параметры!AU$49,Параметры!AU$56,Параметры!AU$62)</f>
        <v>0.06</v>
      </c>
      <c r="AV536" s="324">
        <f>CHOOSE($D535,Параметры!AV$49,Параметры!AV$56,Параметры!AV$62)</f>
        <v>0.06</v>
      </c>
      <c r="AW536" s="192"/>
      <c r="AX536" s="184"/>
    </row>
    <row r="537" spans="1:50" hidden="1" outlineLevel="1" x14ac:dyDescent="0.2">
      <c r="A537" s="167" t="str">
        <f ca="1">Language!A$735</f>
        <v>ставка НДС</v>
      </c>
      <c r="B537" s="202"/>
      <c r="C537" s="103" t="s">
        <v>1</v>
      </c>
      <c r="D537" s="155"/>
      <c r="F537" s="57" t="s">
        <v>756</v>
      </c>
      <c r="G537" s="324">
        <f>Параметры!G$72</f>
        <v>0.18</v>
      </c>
      <c r="H537" s="324">
        <f>Параметры!H$72</f>
        <v>0.18</v>
      </c>
      <c r="I537" s="324">
        <f>Параметры!I$72</f>
        <v>0.18</v>
      </c>
      <c r="J537" s="324">
        <f>Параметры!J$72</f>
        <v>0.18</v>
      </c>
      <c r="K537" s="324">
        <f>Параметры!K$72</f>
        <v>0.18</v>
      </c>
      <c r="L537" s="324">
        <f>Параметры!L$72</f>
        <v>0.18</v>
      </c>
      <c r="M537" s="324">
        <f>Параметры!M$72</f>
        <v>0.18</v>
      </c>
      <c r="N537" s="324">
        <f>Параметры!N$72</f>
        <v>0.18</v>
      </c>
      <c r="O537" s="324">
        <f>Параметры!O$72</f>
        <v>0.18</v>
      </c>
      <c r="P537" s="324">
        <f>Параметры!P$72</f>
        <v>0.18</v>
      </c>
      <c r="Q537" s="324">
        <f>Параметры!Q$72</f>
        <v>0.18</v>
      </c>
      <c r="R537" s="324">
        <f>Параметры!R$72</f>
        <v>0.18</v>
      </c>
      <c r="S537" s="324">
        <f>Параметры!S$72</f>
        <v>0.18</v>
      </c>
      <c r="T537" s="324">
        <f>Параметры!T$72</f>
        <v>0.18</v>
      </c>
      <c r="U537" s="324">
        <f>Параметры!U$72</f>
        <v>0.18</v>
      </c>
      <c r="V537" s="324">
        <f>Параметры!V$72</f>
        <v>0.18</v>
      </c>
      <c r="W537" s="324">
        <f>Параметры!W$72</f>
        <v>0.18</v>
      </c>
      <c r="X537" s="324">
        <f>Параметры!X$72</f>
        <v>0.18</v>
      </c>
      <c r="Y537" s="324">
        <f>Параметры!Y$72</f>
        <v>0.18</v>
      </c>
      <c r="Z537" s="324">
        <f>Параметры!Z$72</f>
        <v>0.18</v>
      </c>
      <c r="AA537" s="324">
        <f>Параметры!AA$72</f>
        <v>0.18</v>
      </c>
      <c r="AB537" s="324">
        <f>Параметры!AB$72</f>
        <v>0.18</v>
      </c>
      <c r="AC537" s="324">
        <f>Параметры!AC$72</f>
        <v>0.18</v>
      </c>
      <c r="AD537" s="324">
        <f>Параметры!AD$72</f>
        <v>0.18</v>
      </c>
      <c r="AE537" s="324">
        <f>Параметры!AE$72</f>
        <v>0.18</v>
      </c>
      <c r="AF537" s="324">
        <f>Параметры!AF$72</f>
        <v>0.18</v>
      </c>
      <c r="AG537" s="324">
        <f>Параметры!AG$72</f>
        <v>0.18</v>
      </c>
      <c r="AH537" s="324">
        <f>Параметры!AH$72</f>
        <v>0.18</v>
      </c>
      <c r="AI537" s="324">
        <f>Параметры!AI$72</f>
        <v>0.18</v>
      </c>
      <c r="AJ537" s="324">
        <f>Параметры!AJ$72</f>
        <v>0.18</v>
      </c>
      <c r="AK537" s="324">
        <f>Параметры!AK$72</f>
        <v>0.18</v>
      </c>
      <c r="AL537" s="324">
        <f>Параметры!AL$72</f>
        <v>0.18</v>
      </c>
      <c r="AM537" s="324">
        <f>Параметры!AM$72</f>
        <v>0.18</v>
      </c>
      <c r="AN537" s="324">
        <f>Параметры!AN$72</f>
        <v>0.18</v>
      </c>
      <c r="AO537" s="324">
        <f>Параметры!AO$72</f>
        <v>0.18</v>
      </c>
      <c r="AP537" s="324">
        <f>Параметры!AP$72</f>
        <v>0.18</v>
      </c>
      <c r="AQ537" s="324">
        <f>Параметры!AQ$72</f>
        <v>0.18</v>
      </c>
      <c r="AR537" s="324">
        <f>Параметры!AR$72</f>
        <v>0.18</v>
      </c>
      <c r="AS537" s="324">
        <f>Параметры!AS$72</f>
        <v>0.18</v>
      </c>
      <c r="AT537" s="324">
        <f>Параметры!AT$72</f>
        <v>0.18</v>
      </c>
      <c r="AU537" s="324">
        <f>Параметры!AU$72</f>
        <v>0.18</v>
      </c>
      <c r="AV537" s="324">
        <f>Параметры!AV$72</f>
        <v>0.18</v>
      </c>
      <c r="AW537" s="192"/>
      <c r="AX537" s="182"/>
    </row>
    <row r="538" spans="1:50" hidden="1" outlineLevel="1" x14ac:dyDescent="0.2">
      <c r="A538" s="167" t="str">
        <f ca="1">Language!A$736</f>
        <v>коэффициент изменения цен</v>
      </c>
      <c r="B538" s="202"/>
      <c r="C538" s="103" t="str">
        <f ca="1">Language!$A$1449</f>
        <v>раз</v>
      </c>
      <c r="D538" s="155"/>
      <c r="F538" s="57" t="s">
        <v>756</v>
      </c>
      <c r="G538" s="193">
        <f ca="1">IF(G$2=1,1,IF(Prj_Inflation=1, (1+OFFSET(G536,0,-1))^(Параметры!G$30/360), 1))</f>
        <v>1</v>
      </c>
      <c r="H538" s="193">
        <f ca="1">IF(H$2=1,1,IF(Prj_Inflation=1, (1+OFFSET(H536,0,-1))^(Параметры!H$30/360), 1))</f>
        <v>1.0146738461686593</v>
      </c>
      <c r="I538" s="193">
        <f ca="1">IF(I$2=1,1,IF(Prj_Inflation=1, (1+OFFSET(I536,0,-1))^(Параметры!I$30/360), 1))</f>
        <v>1.0146738461686593</v>
      </c>
      <c r="J538" s="193">
        <f ca="1">IF(J$2=1,1,IF(Prj_Inflation=1, (1+OFFSET(J536,0,-1))^(Параметры!J$30/360), 1))</f>
        <v>1.0146738461686593</v>
      </c>
      <c r="K538" s="193">
        <f ca="1">IF(K$2=1,1,IF(Prj_Inflation=1, (1+OFFSET(K536,0,-1))^(Параметры!K$30/360), 1))</f>
        <v>1.0146738461686593</v>
      </c>
      <c r="L538" s="193">
        <f ca="1">IF(L$2=1,1,IF(Prj_Inflation=1, (1+OFFSET(L536,0,-1))^(Параметры!L$30/360), 1))</f>
        <v>1.0146738461686593</v>
      </c>
      <c r="M538" s="193">
        <f ca="1">IF(M$2=1,1,IF(Prj_Inflation=1, (1+OFFSET(M536,0,-1))^(Параметры!M$30/360), 1))</f>
        <v>1.0146738461686593</v>
      </c>
      <c r="N538" s="193">
        <f ca="1">IF(N$2=1,1,IF(Prj_Inflation=1, (1+OFFSET(N536,0,-1))^(Параметры!N$30/360), 1))</f>
        <v>1.0146738461686593</v>
      </c>
      <c r="O538" s="193">
        <f ca="1">IF(O$2=1,1,IF(Prj_Inflation=1, (1+OFFSET(O536,0,-1))^(Параметры!O$30/360), 1))</f>
        <v>1.0146738461686593</v>
      </c>
      <c r="P538" s="193">
        <f ca="1">IF(P$2=1,1,IF(Prj_Inflation=1, (1+OFFSET(P536,0,-1))^(Параметры!P$30/360), 1))</f>
        <v>1.0146738461686593</v>
      </c>
      <c r="Q538" s="193">
        <f ca="1">IF(Q$2=1,1,IF(Prj_Inflation=1, (1+OFFSET(Q536,0,-1))^(Параметры!Q$30/360), 1))</f>
        <v>1.0146738461686593</v>
      </c>
      <c r="R538" s="193">
        <f ca="1">IF(R$2=1,1,IF(Prj_Inflation=1, (1+OFFSET(R536,0,-1))^(Параметры!R$30/360), 1))</f>
        <v>1.0146738461686593</v>
      </c>
      <c r="S538" s="193">
        <f ca="1">IF(S$2=1,1,IF(Prj_Inflation=1, (1+OFFSET(S536,0,-1))^(Параметры!S$30/360), 1))</f>
        <v>1.0146738461686593</v>
      </c>
      <c r="T538" s="193">
        <f ca="1">IF(T$2=1,1,IF(Prj_Inflation=1, (1+OFFSET(T536,0,-1))^(Параметры!T$30/360), 1))</f>
        <v>1.0146738461686593</v>
      </c>
      <c r="U538" s="193">
        <f ca="1">IF(U$2=1,1,IF(Prj_Inflation=1, (1+OFFSET(U536,0,-1))^(Параметры!U$30/360), 1))</f>
        <v>1.0146738461686593</v>
      </c>
      <c r="V538" s="193">
        <f ca="1">IF(V$2=1,1,IF(Prj_Inflation=1, (1+OFFSET(V536,0,-1))^(Параметры!V$30/360), 1))</f>
        <v>1.0146738461686593</v>
      </c>
      <c r="W538" s="193">
        <f ca="1">IF(W$2=1,1,IF(Prj_Inflation=1, (1+OFFSET(W536,0,-1))^(Параметры!W$30/360), 1))</f>
        <v>1.0146738461686593</v>
      </c>
      <c r="X538" s="193">
        <f ca="1">IF(X$2=1,1,IF(Prj_Inflation=1, (1+OFFSET(X536,0,-1))^(Параметры!X$30/360), 1))</f>
        <v>1.0146738461686593</v>
      </c>
      <c r="Y538" s="193">
        <f ca="1">IF(Y$2=1,1,IF(Prj_Inflation=1, (1+OFFSET(Y536,0,-1))^(Параметры!Y$30/360), 1))</f>
        <v>1.0146738461686593</v>
      </c>
      <c r="Z538" s="193">
        <f ca="1">IF(Z$2=1,1,IF(Prj_Inflation=1, (1+OFFSET(Z536,0,-1))^(Параметры!Z$30/360), 1))</f>
        <v>1.0146738461686593</v>
      </c>
      <c r="AA538" s="193">
        <f ca="1">IF(AA$2=1,1,IF(Prj_Inflation=1, (1+OFFSET(AA536,0,-1))^(Параметры!AA$30/360), 1))</f>
        <v>1.0146738461686593</v>
      </c>
      <c r="AB538" s="193">
        <f ca="1">IF(AB$2=1,1,IF(Prj_Inflation=1, (1+OFFSET(AB536,0,-1))^(Параметры!AB$30/360), 1))</f>
        <v>1.0146738461686593</v>
      </c>
      <c r="AC538" s="193">
        <f ca="1">IF(AC$2=1,1,IF(Prj_Inflation=1, (1+OFFSET(AC536,0,-1))^(Параметры!AC$30/360), 1))</f>
        <v>1.0146738461686593</v>
      </c>
      <c r="AD538" s="193">
        <f ca="1">IF(AD$2=1,1,IF(Prj_Inflation=1, (1+OFFSET(AD536,0,-1))^(Параметры!AD$30/360), 1))</f>
        <v>1.0146738461686593</v>
      </c>
      <c r="AE538" s="193">
        <f ca="1">IF(AE$2=1,1,IF(Prj_Inflation=1, (1+OFFSET(AE536,0,-1))^(Параметры!AE$30/360), 1))</f>
        <v>1.0146738461686593</v>
      </c>
      <c r="AF538" s="193">
        <f ca="1">IF(AF$2=1,1,IF(Prj_Inflation=1, (1+OFFSET(AF536,0,-1))^(Параметры!AF$30/360), 1))</f>
        <v>1.0146738461686593</v>
      </c>
      <c r="AG538" s="193">
        <f ca="1">IF(AG$2=1,1,IF(Prj_Inflation=1, (1+OFFSET(AG536,0,-1))^(Параметры!AG$30/360), 1))</f>
        <v>1.0146738461686593</v>
      </c>
      <c r="AH538" s="193">
        <f ca="1">IF(AH$2=1,1,IF(Prj_Inflation=1, (1+OFFSET(AH536,0,-1))^(Параметры!AH$30/360), 1))</f>
        <v>1.0146738461686593</v>
      </c>
      <c r="AI538" s="193">
        <f ca="1">IF(AI$2=1,1,IF(Prj_Inflation=1, (1+OFFSET(AI536,0,-1))^(Параметры!AI$30/360), 1))</f>
        <v>1.0146738461686593</v>
      </c>
      <c r="AJ538" s="193">
        <f ca="1">IF(AJ$2=1,1,IF(Prj_Inflation=1, (1+OFFSET(AJ536,0,-1))^(Параметры!AJ$30/360), 1))</f>
        <v>1.0146738461686593</v>
      </c>
      <c r="AK538" s="193">
        <f ca="1">IF(AK$2=1,1,IF(Prj_Inflation=1, (1+OFFSET(AK536,0,-1))^(Параметры!AK$30/360), 1))</f>
        <v>1.0146738461686593</v>
      </c>
      <c r="AL538" s="193">
        <f ca="1">IF(AL$2=1,1,IF(Prj_Inflation=1, (1+OFFSET(AL536,0,-1))^(Параметры!AL$30/360), 1))</f>
        <v>1.0146738461686593</v>
      </c>
      <c r="AM538" s="193">
        <f ca="1">IF(AM$2=1,1,IF(Prj_Inflation=1, (1+OFFSET(AM536,0,-1))^(Параметры!AM$30/360), 1))</f>
        <v>1.0146738461686593</v>
      </c>
      <c r="AN538" s="193">
        <f ca="1">IF(AN$2=1,1,IF(Prj_Inflation=1, (1+OFFSET(AN536,0,-1))^(Параметры!AN$30/360), 1))</f>
        <v>1.0146738461686593</v>
      </c>
      <c r="AO538" s="193">
        <f ca="1">IF(AO$2=1,1,IF(Prj_Inflation=1, (1+OFFSET(AO536,0,-1))^(Параметры!AO$30/360), 1))</f>
        <v>1.0146738461686593</v>
      </c>
      <c r="AP538" s="193">
        <f ca="1">IF(AP$2=1,1,IF(Prj_Inflation=1, (1+OFFSET(AP536,0,-1))^(Параметры!AP$30/360), 1))</f>
        <v>1.0146738461686593</v>
      </c>
      <c r="AQ538" s="193">
        <f ca="1">IF(AQ$2=1,1,IF(Prj_Inflation=1, (1+OFFSET(AQ536,0,-1))^(Параметры!AQ$30/360), 1))</f>
        <v>1.0146738461686593</v>
      </c>
      <c r="AR538" s="193">
        <f ca="1">IF(AR$2=1,1,IF(Prj_Inflation=1, (1+OFFSET(AR536,0,-1))^(Параметры!AR$30/360), 1))</f>
        <v>1.0146738461686593</v>
      </c>
      <c r="AS538" s="193">
        <f ca="1">IF(AS$2=1,1,IF(Prj_Inflation=1, (1+OFFSET(AS536,0,-1))^(Параметры!AS$30/360), 1))</f>
        <v>1.0146738461686593</v>
      </c>
      <c r="AT538" s="193">
        <f ca="1">IF(AT$2=1,1,IF(Prj_Inflation=1, (1+OFFSET(AT536,0,-1))^(Параметры!AT$30/360), 1))</f>
        <v>1.0146738461686593</v>
      </c>
      <c r="AU538" s="193">
        <f ca="1">IF(AU$2=1,1,IF(Prj_Inflation=1, (1+OFFSET(AU536,0,-1))^(Параметры!AU$30/360), 1))</f>
        <v>1.0146738461686593</v>
      </c>
      <c r="AV538" s="193">
        <f ca="1">IF(AV$2=1,1,IF(Prj_Inflation=1, (1+OFFSET(AV536,0,-1))^(Параметры!AV$30/360), 1))</f>
        <v>1.0146738461686593</v>
      </c>
      <c r="AW538" s="193"/>
      <c r="AX538" s="182"/>
    </row>
    <row r="539" spans="1:50" hidden="1" outlineLevel="1" x14ac:dyDescent="0.2">
      <c r="A539" s="179" t="str">
        <f ca="1">Language!A$737</f>
        <v>расчет затрат с учетом инфляции, без НДС</v>
      </c>
      <c r="B539" s="52"/>
      <c r="C539" s="82" t="str">
        <f ca="1">CHOOSE(D539,CurName1,CurName2,CurName3)</f>
        <v>тыс. руб.</v>
      </c>
      <c r="D539" s="155">
        <f>D533</f>
        <v>1</v>
      </c>
      <c r="F539" s="57" t="s">
        <v>753</v>
      </c>
      <c r="G539" s="180">
        <f t="shared" ref="G539:AV539" ca="1" si="2786">IF(G$2=1,$B535,F539)*G538</f>
        <v>6100</v>
      </c>
      <c r="H539" s="180">
        <f t="shared" ca="1" si="2786"/>
        <v>6189.5104616288218</v>
      </c>
      <c r="I539" s="180">
        <f t="shared" ca="1" si="2786"/>
        <v>6280.3343860020705</v>
      </c>
      <c r="J539" s="180">
        <f t="shared" ca="1" si="2786"/>
        <v>6372.4910466700057</v>
      </c>
      <c r="K539" s="180">
        <f t="shared" ca="1" si="2786"/>
        <v>6466</v>
      </c>
      <c r="L539" s="180">
        <f t="shared" ca="1" si="2786"/>
        <v>6560.8810893265509</v>
      </c>
      <c r="M539" s="180">
        <f t="shared" ca="1" si="2786"/>
        <v>6657.1544491621944</v>
      </c>
      <c r="N539" s="180">
        <f t="shared" ca="1" si="2786"/>
        <v>6754.8405094702066</v>
      </c>
      <c r="O539" s="180">
        <f t="shared" ca="1" si="2786"/>
        <v>6853.9600000000009</v>
      </c>
      <c r="P539" s="180">
        <f t="shared" ca="1" si="2786"/>
        <v>6954.5339546861451</v>
      </c>
      <c r="Q539" s="180">
        <f t="shared" ca="1" si="2786"/>
        <v>7056.5837161119271</v>
      </c>
      <c r="R539" s="180">
        <f t="shared" ca="1" si="2786"/>
        <v>7160.1309400384198</v>
      </c>
      <c r="S539" s="180">
        <f t="shared" ca="1" si="2786"/>
        <v>7265.1976000000013</v>
      </c>
      <c r="T539" s="180">
        <f t="shared" ca="1" si="2786"/>
        <v>7371.8059919673142</v>
      </c>
      <c r="U539" s="180">
        <f t="shared" ca="1" si="2786"/>
        <v>7479.9787390786432</v>
      </c>
      <c r="V539" s="180">
        <f t="shared" ca="1" si="2786"/>
        <v>7589.7387964407253</v>
      </c>
      <c r="W539" s="180">
        <f t="shared" ca="1" si="2786"/>
        <v>7701.109456000002</v>
      </c>
      <c r="X539" s="180">
        <f t="shared" ca="1" si="2786"/>
        <v>7814.1143514853538</v>
      </c>
      <c r="Y539" s="180">
        <f t="shared" ca="1" si="2786"/>
        <v>7928.7774634233629</v>
      </c>
      <c r="Z539" s="180">
        <f t="shared" ca="1" si="2786"/>
        <v>8045.1231242271697</v>
      </c>
      <c r="AA539" s="180">
        <f t="shared" ca="1" si="2786"/>
        <v>8163.1760233600025</v>
      </c>
      <c r="AB539" s="180">
        <f t="shared" ca="1" si="2786"/>
        <v>8282.9612125744752</v>
      </c>
      <c r="AC539" s="180">
        <f t="shared" ca="1" si="2786"/>
        <v>8404.5041112287654</v>
      </c>
      <c r="AD539" s="180">
        <f t="shared" ca="1" si="2786"/>
        <v>8527.8305116808006</v>
      </c>
      <c r="AE539" s="180">
        <f t="shared" ca="1" si="2786"/>
        <v>8652.9665847616034</v>
      </c>
      <c r="AF539" s="180">
        <f t="shared" ca="1" si="2786"/>
        <v>8779.9388853289438</v>
      </c>
      <c r="AG539" s="180">
        <f t="shared" ca="1" si="2786"/>
        <v>8908.77435790249</v>
      </c>
      <c r="AH539" s="180">
        <f t="shared" ca="1" si="2786"/>
        <v>9039.500342381647</v>
      </c>
      <c r="AI539" s="180">
        <f t="shared" ca="1" si="2786"/>
        <v>9172.1445798472978</v>
      </c>
      <c r="AJ539" s="180">
        <f t="shared" ca="1" si="2786"/>
        <v>9306.735218448679</v>
      </c>
      <c r="AK539" s="180">
        <f t="shared" ca="1" si="2786"/>
        <v>9443.3008193766382</v>
      </c>
      <c r="AL539" s="180">
        <f t="shared" ca="1" si="2786"/>
        <v>9581.8703629245447</v>
      </c>
      <c r="AM539" s="180">
        <f t="shared" ca="1" si="2786"/>
        <v>9722.4732546381347</v>
      </c>
      <c r="AN539" s="180">
        <f t="shared" ca="1" si="2786"/>
        <v>9865.1393315555997</v>
      </c>
      <c r="AO539" s="180">
        <f t="shared" ca="1" si="2786"/>
        <v>10009.898868539238</v>
      </c>
      <c r="AP539" s="180">
        <f t="shared" ca="1" si="2786"/>
        <v>10156.782584700019</v>
      </c>
      <c r="AQ539" s="180">
        <f t="shared" ca="1" si="2786"/>
        <v>10305.821649916425</v>
      </c>
      <c r="AR539" s="180">
        <f t="shared" ca="1" si="2786"/>
        <v>10457.047691448937</v>
      </c>
      <c r="AS539" s="180">
        <f t="shared" ca="1" si="2786"/>
        <v>10610.492800651593</v>
      </c>
      <c r="AT539" s="180">
        <f t="shared" ca="1" si="2786"/>
        <v>10766.189539782021</v>
      </c>
      <c r="AU539" s="180">
        <f t="shared" ca="1" si="2786"/>
        <v>10924.170948911411</v>
      </c>
      <c r="AV539" s="180">
        <f t="shared" ca="1" si="2786"/>
        <v>11084.470552935874</v>
      </c>
      <c r="AW539" s="180"/>
      <c r="AX539" s="189">
        <f ca="1">SUM(G539:AW539)</f>
        <v>350768.456308614</v>
      </c>
    </row>
    <row r="540" spans="1:50" hidden="1" outlineLevel="1" x14ac:dyDescent="0.2">
      <c r="A540" s="167" t="str">
        <f ca="1">Language!A$738</f>
        <v>НДС начисленный</v>
      </c>
      <c r="B540" s="56"/>
      <c r="C540" s="103" t="str">
        <f ca="1">CHOOSE(D540,CurName1,CurName2,CurName3)</f>
        <v>тыс. руб.</v>
      </c>
      <c r="D540" s="155">
        <f>D533</f>
        <v>1</v>
      </c>
      <c r="E540" s="57" t="s">
        <v>789</v>
      </c>
      <c r="F540" s="57" t="s">
        <v>753</v>
      </c>
      <c r="G540" s="194">
        <f ca="1">G535*G537</f>
        <v>1098</v>
      </c>
      <c r="H540" s="194">
        <f t="shared" ref="H540:AV540" ca="1" si="2787">H535*H537</f>
        <v>1114.1118830931878</v>
      </c>
      <c r="I540" s="194">
        <f t="shared" ca="1" si="2787"/>
        <v>1130.4601894803727</v>
      </c>
      <c r="J540" s="194">
        <f t="shared" ca="1" si="2787"/>
        <v>1147.048388400601</v>
      </c>
      <c r="K540" s="194">
        <f t="shared" ca="1" si="2787"/>
        <v>1163.8799999999999</v>
      </c>
      <c r="L540" s="194">
        <f t="shared" ca="1" si="2787"/>
        <v>1180.958596078779</v>
      </c>
      <c r="M540" s="194">
        <f t="shared" ca="1" si="2787"/>
        <v>1198.287800849195</v>
      </c>
      <c r="N540" s="194">
        <f t="shared" ca="1" si="2787"/>
        <v>1215.8712917046371</v>
      </c>
      <c r="O540" s="194">
        <f t="shared" ca="1" si="2787"/>
        <v>1233.7128</v>
      </c>
      <c r="P540" s="194">
        <f t="shared" ca="1" si="2787"/>
        <v>1251.8161118435062</v>
      </c>
      <c r="Q540" s="194">
        <f t="shared" ca="1" si="2787"/>
        <v>1270.1850689001469</v>
      </c>
      <c r="R540" s="194">
        <f t="shared" ca="1" si="2787"/>
        <v>1288.8235692069154</v>
      </c>
      <c r="S540" s="194">
        <f t="shared" ca="1" si="2787"/>
        <v>1307.7355680000003</v>
      </c>
      <c r="T540" s="194">
        <f t="shared" ca="1" si="2787"/>
        <v>1326.9250785541165</v>
      </c>
      <c r="U540" s="194">
        <f t="shared" ca="1" si="2787"/>
        <v>1346.3961730341557</v>
      </c>
      <c r="V540" s="194">
        <f t="shared" ca="1" si="2787"/>
        <v>1366.1529833593304</v>
      </c>
      <c r="W540" s="194">
        <f t="shared" ca="1" si="2787"/>
        <v>1386.1997020800004</v>
      </c>
      <c r="X540" s="194">
        <f t="shared" ca="1" si="2787"/>
        <v>1406.5405832673637</v>
      </c>
      <c r="Y540" s="194">
        <f t="shared" ca="1" si="2787"/>
        <v>1427.1799434162053</v>
      </c>
      <c r="Z540" s="194">
        <f t="shared" ca="1" si="2787"/>
        <v>1448.1221623608906</v>
      </c>
      <c r="AA540" s="194">
        <f t="shared" ca="1" si="2787"/>
        <v>1469.3716842048004</v>
      </c>
      <c r="AB540" s="194">
        <f t="shared" ca="1" si="2787"/>
        <v>1490.9330182634055</v>
      </c>
      <c r="AC540" s="194">
        <f t="shared" ca="1" si="2787"/>
        <v>1512.8107400211777</v>
      </c>
      <c r="AD540" s="194">
        <f t="shared" ca="1" si="2787"/>
        <v>1535.0094921025441</v>
      </c>
      <c r="AE540" s="194">
        <f t="shared" ca="1" si="2787"/>
        <v>1557.5339852570885</v>
      </c>
      <c r="AF540" s="194">
        <f t="shared" ca="1" si="2787"/>
        <v>1580.3889993592097</v>
      </c>
      <c r="AG540" s="194">
        <f t="shared" ca="1" si="2787"/>
        <v>1603.5793844224481</v>
      </c>
      <c r="AH540" s="194">
        <f t="shared" ca="1" si="2787"/>
        <v>1627.1100616286965</v>
      </c>
      <c r="AI540" s="194">
        <f t="shared" ca="1" si="2787"/>
        <v>1650.9860243725136</v>
      </c>
      <c r="AJ540" s="194">
        <f t="shared" ca="1" si="2787"/>
        <v>1675.2123393207621</v>
      </c>
      <c r="AK540" s="194">
        <f t="shared" ca="1" si="2787"/>
        <v>1699.7941474877948</v>
      </c>
      <c r="AL540" s="194">
        <f t="shared" ca="1" si="2787"/>
        <v>1724.736665326418</v>
      </c>
      <c r="AM540" s="194">
        <f t="shared" ca="1" si="2787"/>
        <v>1750.0451858348642</v>
      </c>
      <c r="AN540" s="194">
        <f t="shared" ca="1" si="2787"/>
        <v>1775.7250796800079</v>
      </c>
      <c r="AO540" s="194">
        <f t="shared" ca="1" si="2787"/>
        <v>1801.7817963370628</v>
      </c>
      <c r="AP540" s="194">
        <f t="shared" ca="1" si="2787"/>
        <v>1828.2208652460033</v>
      </c>
      <c r="AQ540" s="194">
        <f t="shared" ca="1" si="2787"/>
        <v>1855.0478969849564</v>
      </c>
      <c r="AR540" s="194">
        <f t="shared" ca="1" si="2787"/>
        <v>1882.2685844608086</v>
      </c>
      <c r="AS540" s="194">
        <f t="shared" ca="1" si="2787"/>
        <v>1909.8887041172866</v>
      </c>
      <c r="AT540" s="194">
        <f t="shared" ca="1" si="2787"/>
        <v>1937.9141171607637</v>
      </c>
      <c r="AU540" s="194">
        <f t="shared" ca="1" si="2787"/>
        <v>1966.3507708040538</v>
      </c>
      <c r="AV540" s="194">
        <f t="shared" ca="1" si="2787"/>
        <v>1995.2046995284572</v>
      </c>
      <c r="AW540" s="194"/>
      <c r="AX540" s="189">
        <f ca="1">SUM(G540:AW540)</f>
        <v>63138.322135550516</v>
      </c>
    </row>
    <row r="541" spans="1:50" x14ac:dyDescent="0.2">
      <c r="AW541" s="94"/>
    </row>
    <row r="542" spans="1:50" x14ac:dyDescent="0.2">
      <c r="A542" s="203" t="str">
        <f ca="1">Language!A$748</f>
        <v>Управленческие издержки</v>
      </c>
      <c r="B542" s="51"/>
      <c r="C542" s="51"/>
      <c r="D542" s="68"/>
      <c r="E542" s="68" t="s">
        <v>728</v>
      </c>
      <c r="F542" s="68" t="s">
        <v>2303</v>
      </c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51"/>
      <c r="AV542" s="51"/>
      <c r="AW542" s="112"/>
      <c r="AX542" s="149"/>
    </row>
    <row r="543" spans="1:50" x14ac:dyDescent="0.2">
      <c r="AW543" s="94"/>
    </row>
    <row r="544" spans="1:50" x14ac:dyDescent="0.2">
      <c r="A544" s="317" t="s">
        <v>2338</v>
      </c>
      <c r="B544" s="198"/>
      <c r="C544" s="146"/>
      <c r="D544" s="66">
        <v>1</v>
      </c>
      <c r="F544" s="57" t="s">
        <v>2335</v>
      </c>
      <c r="G544" s="199"/>
      <c r="H544" s="199"/>
      <c r="I544" s="199"/>
      <c r="J544" s="199"/>
      <c r="K544" s="199"/>
      <c r="L544" s="199"/>
      <c r="M544" s="199"/>
      <c r="N544" s="199"/>
      <c r="O544" s="199"/>
      <c r="P544" s="199"/>
      <c r="Q544" s="199"/>
      <c r="R544" s="199"/>
      <c r="S544" s="199"/>
      <c r="T544" s="199"/>
      <c r="U544" s="199"/>
      <c r="V544" s="199"/>
      <c r="W544" s="199"/>
      <c r="X544" s="199"/>
      <c r="Y544" s="199"/>
      <c r="Z544" s="199"/>
      <c r="AA544" s="199"/>
      <c r="AB544" s="199"/>
      <c r="AC544" s="199"/>
      <c r="AD544" s="199"/>
      <c r="AE544" s="199"/>
      <c r="AF544" s="199"/>
      <c r="AG544" s="199"/>
      <c r="AH544" s="199"/>
      <c r="AI544" s="199"/>
      <c r="AJ544" s="199"/>
      <c r="AK544" s="199"/>
      <c r="AL544" s="199"/>
      <c r="AM544" s="199"/>
      <c r="AN544" s="199"/>
      <c r="AO544" s="199"/>
      <c r="AP544" s="199"/>
      <c r="AQ544" s="199"/>
      <c r="AR544" s="199"/>
      <c r="AS544" s="199"/>
      <c r="AT544" s="199"/>
      <c r="AU544" s="199"/>
      <c r="AV544" s="199"/>
      <c r="AW544" s="199"/>
    </row>
    <row r="545" spans="1:50" x14ac:dyDescent="0.2">
      <c r="A545" s="172" t="str">
        <f ca="1">Language!A$731</f>
        <v>период появления затрат</v>
      </c>
      <c r="B545" s="313">
        <f>Prj_Invest+1</f>
        <v>1</v>
      </c>
      <c r="C545" s="146" t="str">
        <f ca="1">Language!$A$1452</f>
        <v>период</v>
      </c>
      <c r="D545" s="15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87"/>
    </row>
    <row r="546" spans="1:50" collapsed="1" x14ac:dyDescent="0.2">
      <c r="A546" s="172" t="str">
        <f ca="1">Language!A$732&amp;" ("&amp;Параметры!B$19&amp;"), "&amp;Language!A$733</f>
        <v>затраты за период (квартал), без НДС</v>
      </c>
      <c r="B546" s="313">
        <v>200</v>
      </c>
      <c r="C546" s="146" t="str">
        <f t="shared" ref="C546" ca="1" si="2788">CHOOSE(D546,CurName1,CurName2,CurName3)</f>
        <v>тыс. руб.</v>
      </c>
      <c r="D546" s="158">
        <f>D544</f>
        <v>1</v>
      </c>
      <c r="E546" s="57" t="s">
        <v>758</v>
      </c>
      <c r="F546" s="57" t="s">
        <v>753</v>
      </c>
      <c r="G546" s="327">
        <f ca="1">IF(G$2&gt;=$B545,G550,0)*Параметры!G$33</f>
        <v>200</v>
      </c>
      <c r="H546" s="327">
        <f ca="1">IF(H$2&gt;=$B545,H550,0)*Параметры!H$33</f>
        <v>202.93476923373186</v>
      </c>
      <c r="I546" s="327">
        <f ca="1">IF(I$2&gt;=$B545,I550,0)*Параметры!I$33</f>
        <v>205.91260281974002</v>
      </c>
      <c r="J546" s="327">
        <f ca="1">IF(J$2&gt;=$B545,J550,0)*Параметры!J$33</f>
        <v>208.93413267770512</v>
      </c>
      <c r="K546" s="327">
        <f ca="1">IF(K$2&gt;=$B545,K550,0)*Параметры!K$33</f>
        <v>212.00000000000003</v>
      </c>
      <c r="L546" s="327">
        <f ca="1">IF(L$2&gt;=$B545,L550,0)*Параметры!L$33</f>
        <v>215.11085538775581</v>
      </c>
      <c r="M546" s="327">
        <f ca="1">IF(M$2&gt;=$B545,M550,0)*Параметры!M$33</f>
        <v>218.26735898892446</v>
      </c>
      <c r="N546" s="327">
        <f ca="1">IF(N$2&gt;=$B545,N550,0)*Параметры!N$33</f>
        <v>221.47018063836748</v>
      </c>
      <c r="O546" s="327">
        <f ca="1">IF(O$2&gt;=$B545,O550,0)*Параметры!O$33</f>
        <v>224.72000000000008</v>
      </c>
      <c r="P546" s="327">
        <f ca="1">IF(P$2&gt;=$B545,P550,0)*Параметры!P$33</f>
        <v>228.01750671102121</v>
      </c>
      <c r="Q546" s="327">
        <f ca="1">IF(Q$2&gt;=$B545,Q550,0)*Параметры!Q$33</f>
        <v>231.36340052825997</v>
      </c>
      <c r="R546" s="327">
        <f ca="1">IF(R$2&gt;=$B545,R550,0)*Параметры!R$33</f>
        <v>234.75839147666957</v>
      </c>
      <c r="S546" s="327">
        <f ca="1">IF(S$2&gt;=$B545,S550,0)*Параметры!S$33</f>
        <v>238.20320000000012</v>
      </c>
      <c r="T546" s="327">
        <f ca="1">IF(T$2&gt;=$B545,T550,0)*Параметры!T$33</f>
        <v>241.69855711368251</v>
      </c>
      <c r="U546" s="327">
        <f ca="1">IF(U$2&gt;=$B545,U550,0)*Параметры!U$33</f>
        <v>245.2452045599556</v>
      </c>
      <c r="V546" s="327">
        <f ca="1">IF(V$2&gt;=$B545,V550,0)*Параметры!V$33</f>
        <v>248.84389496526975</v>
      </c>
      <c r="W546" s="327">
        <f ca="1">IF(W$2&gt;=$B545,W550,0)*Параметры!W$33</f>
        <v>252.49539200000012</v>
      </c>
      <c r="X546" s="327">
        <f ca="1">IF(X$2&gt;=$B545,X550,0)*Параметры!X$33</f>
        <v>256.20047054050343</v>
      </c>
      <c r="Y546" s="327">
        <f ca="1">IF(Y$2&gt;=$B545,Y550,0)*Параметры!Y$33</f>
        <v>259.95991683355288</v>
      </c>
      <c r="Z546" s="327">
        <f ca="1">IF(Z$2&gt;=$B545,Z550,0)*Параметры!Z$33</f>
        <v>263.77452866318589</v>
      </c>
      <c r="AA546" s="327">
        <f ca="1">IF(AA$2&gt;=$B545,AA550,0)*Параметры!AA$33</f>
        <v>267.6451155200001</v>
      </c>
      <c r="AB546" s="327">
        <f ca="1">IF(AB$2&gt;=$B545,AB550,0)*Параметры!AB$33</f>
        <v>271.57249877293361</v>
      </c>
      <c r="AC546" s="327">
        <f ca="1">IF(AC$2&gt;=$B545,AC550,0)*Параметры!AC$33</f>
        <v>275.55751184356603</v>
      </c>
      <c r="AD546" s="327">
        <f ca="1">IF(AD$2&gt;=$B545,AD550,0)*Параметры!AD$33</f>
        <v>279.60100038297702</v>
      </c>
      <c r="AE546" s="327">
        <f ca="1">IF(AE$2&gt;=$B545,AE550,0)*Параметры!AE$33</f>
        <v>283.7038224512001</v>
      </c>
      <c r="AF546" s="327">
        <f ca="1">IF(AF$2&gt;=$B545,AF550,0)*Параметры!AF$33</f>
        <v>287.86684869930963</v>
      </c>
      <c r="AG546" s="327">
        <f ca="1">IF(AG$2&gt;=$B545,AG550,0)*Параметры!AG$33</f>
        <v>292.09096255418001</v>
      </c>
      <c r="AH546" s="327">
        <f ca="1">IF(AH$2&gt;=$B545,AH550,0)*Параметры!AH$33</f>
        <v>296.37706040595566</v>
      </c>
      <c r="AI546" s="327">
        <f ca="1">IF(AI$2&gt;=$B545,AI550,0)*Параметры!AI$33</f>
        <v>300.72605179827212</v>
      </c>
      <c r="AJ546" s="327">
        <f ca="1">IF(AJ$2&gt;=$B545,AJ550,0)*Параметры!AJ$33</f>
        <v>305.13885962126824</v>
      </c>
      <c r="AK546" s="327">
        <f ca="1">IF(AK$2&gt;=$B545,AK550,0)*Параметры!AK$33</f>
        <v>309.61642030743087</v>
      </c>
      <c r="AL546" s="327">
        <f ca="1">IF(AL$2&gt;=$B545,AL550,0)*Параметры!AL$33</f>
        <v>314.15968403031309</v>
      </c>
      <c r="AM546" s="327">
        <f ca="1">IF(AM$2&gt;=$B545,AM550,0)*Параметры!AM$33</f>
        <v>318.7696149061685</v>
      </c>
      <c r="AN546" s="327">
        <f ca="1">IF(AN$2&gt;=$B545,AN550,0)*Параметры!AN$33</f>
        <v>323.44719119854437</v>
      </c>
      <c r="AO546" s="327">
        <f ca="1">IF(AO$2&gt;=$B545,AO550,0)*Параметры!AO$33</f>
        <v>328.19340552587676</v>
      </c>
      <c r="AP546" s="327">
        <f ca="1">IF(AP$2&gt;=$B545,AP550,0)*Параметры!AP$33</f>
        <v>333.00926507213188</v>
      </c>
      <c r="AQ546" s="327">
        <f ca="1">IF(AQ$2&gt;=$B545,AQ550,0)*Параметры!AQ$33</f>
        <v>337.89579180053863</v>
      </c>
      <c r="AR546" s="327">
        <f ca="1">IF(AR$2&gt;=$B545,AR550,0)*Параметры!AR$33</f>
        <v>342.85402267045708</v>
      </c>
      <c r="AS546" s="327">
        <f ca="1">IF(AS$2&gt;=$B545,AS550,0)*Параметры!AS$33</f>
        <v>347.8850098574294</v>
      </c>
      <c r="AT546" s="327">
        <f ca="1">IF(AT$2&gt;=$B545,AT550,0)*Параметры!AT$33</f>
        <v>352.98982097645984</v>
      </c>
      <c r="AU546" s="327">
        <f ca="1">IF(AU$2&gt;=$B545,AU550,0)*Параметры!AU$33</f>
        <v>358.16953930857102</v>
      </c>
      <c r="AV546" s="327">
        <f ca="1">IF(AV$2&gt;=$B545,AV550,0)*Параметры!AV$33</f>
        <v>363.42526403068456</v>
      </c>
      <c r="AW546" s="148"/>
      <c r="AX546" s="171">
        <f ca="1">SUM(G546:AW546)</f>
        <v>11500.605124872593</v>
      </c>
    </row>
    <row r="547" spans="1:50" hidden="1" outlineLevel="1" x14ac:dyDescent="0.2">
      <c r="A547" s="167" t="str">
        <f ca="1">Language!A$734</f>
        <v>темп изменения цен</v>
      </c>
      <c r="B547" s="202"/>
      <c r="C547" s="103" t="str">
        <f ca="1">Language!$A$471</f>
        <v>% в год</v>
      </c>
      <c r="D547" s="153"/>
      <c r="F547" s="57" t="s">
        <v>756</v>
      </c>
      <c r="G547" s="324">
        <f>CHOOSE($D546,Параметры!G$49,Параметры!G$56,Параметры!G$62)</f>
        <v>0.06</v>
      </c>
      <c r="H547" s="324">
        <f>CHOOSE($D546,Параметры!H$49,Параметры!H$56,Параметры!H$62)</f>
        <v>0.06</v>
      </c>
      <c r="I547" s="324">
        <f>CHOOSE($D546,Параметры!I$49,Параметры!I$56,Параметры!I$62)</f>
        <v>0.06</v>
      </c>
      <c r="J547" s="324">
        <f>CHOOSE($D546,Параметры!J$49,Параметры!J$56,Параметры!J$62)</f>
        <v>0.06</v>
      </c>
      <c r="K547" s="324">
        <f>CHOOSE($D546,Параметры!K$49,Параметры!K$56,Параметры!K$62)</f>
        <v>0.06</v>
      </c>
      <c r="L547" s="324">
        <f>CHOOSE($D546,Параметры!L$49,Параметры!L$56,Параметры!L$62)</f>
        <v>0.06</v>
      </c>
      <c r="M547" s="324">
        <f>CHOOSE($D546,Параметры!M$49,Параметры!M$56,Параметры!M$62)</f>
        <v>0.06</v>
      </c>
      <c r="N547" s="324">
        <f>CHOOSE($D546,Параметры!N$49,Параметры!N$56,Параметры!N$62)</f>
        <v>0.06</v>
      </c>
      <c r="O547" s="324">
        <f>CHOOSE($D546,Параметры!O$49,Параметры!O$56,Параметры!O$62)</f>
        <v>0.06</v>
      </c>
      <c r="P547" s="324">
        <f>CHOOSE($D546,Параметры!P$49,Параметры!P$56,Параметры!P$62)</f>
        <v>0.06</v>
      </c>
      <c r="Q547" s="324">
        <f>CHOOSE($D546,Параметры!Q$49,Параметры!Q$56,Параметры!Q$62)</f>
        <v>0.06</v>
      </c>
      <c r="R547" s="324">
        <f>CHOOSE($D546,Параметры!R$49,Параметры!R$56,Параметры!R$62)</f>
        <v>0.06</v>
      </c>
      <c r="S547" s="324">
        <f>CHOOSE($D546,Параметры!S$49,Параметры!S$56,Параметры!S$62)</f>
        <v>0.06</v>
      </c>
      <c r="T547" s="324">
        <f>CHOOSE($D546,Параметры!T$49,Параметры!T$56,Параметры!T$62)</f>
        <v>0.06</v>
      </c>
      <c r="U547" s="324">
        <f>CHOOSE($D546,Параметры!U$49,Параметры!U$56,Параметры!U$62)</f>
        <v>0.06</v>
      </c>
      <c r="V547" s="324">
        <f>CHOOSE($D546,Параметры!V$49,Параметры!V$56,Параметры!V$62)</f>
        <v>0.06</v>
      </c>
      <c r="W547" s="324">
        <f>CHOOSE($D546,Параметры!W$49,Параметры!W$56,Параметры!W$62)</f>
        <v>0.06</v>
      </c>
      <c r="X547" s="324">
        <f>CHOOSE($D546,Параметры!X$49,Параметры!X$56,Параметры!X$62)</f>
        <v>0.06</v>
      </c>
      <c r="Y547" s="324">
        <f>CHOOSE($D546,Параметры!Y$49,Параметры!Y$56,Параметры!Y$62)</f>
        <v>0.06</v>
      </c>
      <c r="Z547" s="324">
        <f>CHOOSE($D546,Параметры!Z$49,Параметры!Z$56,Параметры!Z$62)</f>
        <v>0.06</v>
      </c>
      <c r="AA547" s="324">
        <f>CHOOSE($D546,Параметры!AA$49,Параметры!AA$56,Параметры!AA$62)</f>
        <v>0.06</v>
      </c>
      <c r="AB547" s="324">
        <f>CHOOSE($D546,Параметры!AB$49,Параметры!AB$56,Параметры!AB$62)</f>
        <v>0.06</v>
      </c>
      <c r="AC547" s="324">
        <f>CHOOSE($D546,Параметры!AC$49,Параметры!AC$56,Параметры!AC$62)</f>
        <v>0.06</v>
      </c>
      <c r="AD547" s="324">
        <f>CHOOSE($D546,Параметры!AD$49,Параметры!AD$56,Параметры!AD$62)</f>
        <v>0.06</v>
      </c>
      <c r="AE547" s="324">
        <f>CHOOSE($D546,Параметры!AE$49,Параметры!AE$56,Параметры!AE$62)</f>
        <v>0.06</v>
      </c>
      <c r="AF547" s="324">
        <f>CHOOSE($D546,Параметры!AF$49,Параметры!AF$56,Параметры!AF$62)</f>
        <v>0.06</v>
      </c>
      <c r="AG547" s="324">
        <f>CHOOSE($D546,Параметры!AG$49,Параметры!AG$56,Параметры!AG$62)</f>
        <v>0.06</v>
      </c>
      <c r="AH547" s="324">
        <f>CHOOSE($D546,Параметры!AH$49,Параметры!AH$56,Параметры!AH$62)</f>
        <v>0.06</v>
      </c>
      <c r="AI547" s="324">
        <f>CHOOSE($D546,Параметры!AI$49,Параметры!AI$56,Параметры!AI$62)</f>
        <v>0.06</v>
      </c>
      <c r="AJ547" s="324">
        <f>CHOOSE($D546,Параметры!AJ$49,Параметры!AJ$56,Параметры!AJ$62)</f>
        <v>0.06</v>
      </c>
      <c r="AK547" s="324">
        <f>CHOOSE($D546,Параметры!AK$49,Параметры!AK$56,Параметры!AK$62)</f>
        <v>0.06</v>
      </c>
      <c r="AL547" s="324">
        <f>CHOOSE($D546,Параметры!AL$49,Параметры!AL$56,Параметры!AL$62)</f>
        <v>0.06</v>
      </c>
      <c r="AM547" s="324">
        <f>CHOOSE($D546,Параметры!AM$49,Параметры!AM$56,Параметры!AM$62)</f>
        <v>0.06</v>
      </c>
      <c r="AN547" s="324">
        <f>CHOOSE($D546,Параметры!AN$49,Параметры!AN$56,Параметры!AN$62)</f>
        <v>0.06</v>
      </c>
      <c r="AO547" s="324">
        <f>CHOOSE($D546,Параметры!AO$49,Параметры!AO$56,Параметры!AO$62)</f>
        <v>0.06</v>
      </c>
      <c r="AP547" s="324">
        <f>CHOOSE($D546,Параметры!AP$49,Параметры!AP$56,Параметры!AP$62)</f>
        <v>0.06</v>
      </c>
      <c r="AQ547" s="324">
        <f>CHOOSE($D546,Параметры!AQ$49,Параметры!AQ$56,Параметры!AQ$62)</f>
        <v>0.06</v>
      </c>
      <c r="AR547" s="324">
        <f>CHOOSE($D546,Параметры!AR$49,Параметры!AR$56,Параметры!AR$62)</f>
        <v>0.06</v>
      </c>
      <c r="AS547" s="324">
        <f>CHOOSE($D546,Параметры!AS$49,Параметры!AS$56,Параметры!AS$62)</f>
        <v>0.06</v>
      </c>
      <c r="AT547" s="324">
        <f>CHOOSE($D546,Параметры!AT$49,Параметры!AT$56,Параметры!AT$62)</f>
        <v>0.06</v>
      </c>
      <c r="AU547" s="324">
        <f>CHOOSE($D546,Параметры!AU$49,Параметры!AU$56,Параметры!AU$62)</f>
        <v>0.06</v>
      </c>
      <c r="AV547" s="324">
        <f>CHOOSE($D546,Параметры!AV$49,Параметры!AV$56,Параметры!AV$62)</f>
        <v>0.06</v>
      </c>
      <c r="AW547" s="192"/>
      <c r="AX547" s="184"/>
    </row>
    <row r="548" spans="1:50" hidden="1" outlineLevel="1" x14ac:dyDescent="0.2">
      <c r="A548" s="167" t="str">
        <f ca="1">Language!A$735</f>
        <v>ставка НДС</v>
      </c>
      <c r="B548" s="202"/>
      <c r="C548" s="103" t="s">
        <v>1</v>
      </c>
      <c r="D548" s="155"/>
      <c r="F548" s="57" t="s">
        <v>756</v>
      </c>
      <c r="G548" s="324">
        <f>Параметры!G$72</f>
        <v>0.18</v>
      </c>
      <c r="H548" s="324">
        <f>Параметры!H$72</f>
        <v>0.18</v>
      </c>
      <c r="I548" s="324">
        <f>Параметры!I$72</f>
        <v>0.18</v>
      </c>
      <c r="J548" s="324">
        <f>Параметры!J$72</f>
        <v>0.18</v>
      </c>
      <c r="K548" s="324">
        <f>Параметры!K$72</f>
        <v>0.18</v>
      </c>
      <c r="L548" s="324">
        <f>Параметры!L$72</f>
        <v>0.18</v>
      </c>
      <c r="M548" s="324">
        <f>Параметры!M$72</f>
        <v>0.18</v>
      </c>
      <c r="N548" s="324">
        <f>Параметры!N$72</f>
        <v>0.18</v>
      </c>
      <c r="O548" s="324">
        <f>Параметры!O$72</f>
        <v>0.18</v>
      </c>
      <c r="P548" s="324">
        <f>Параметры!P$72</f>
        <v>0.18</v>
      </c>
      <c r="Q548" s="324">
        <f>Параметры!Q$72</f>
        <v>0.18</v>
      </c>
      <c r="R548" s="324">
        <f>Параметры!R$72</f>
        <v>0.18</v>
      </c>
      <c r="S548" s="324">
        <f>Параметры!S$72</f>
        <v>0.18</v>
      </c>
      <c r="T548" s="324">
        <f>Параметры!T$72</f>
        <v>0.18</v>
      </c>
      <c r="U548" s="324">
        <f>Параметры!U$72</f>
        <v>0.18</v>
      </c>
      <c r="V548" s="324">
        <f>Параметры!V$72</f>
        <v>0.18</v>
      </c>
      <c r="W548" s="324">
        <f>Параметры!W$72</f>
        <v>0.18</v>
      </c>
      <c r="X548" s="324">
        <f>Параметры!X$72</f>
        <v>0.18</v>
      </c>
      <c r="Y548" s="324">
        <f>Параметры!Y$72</f>
        <v>0.18</v>
      </c>
      <c r="Z548" s="324">
        <f>Параметры!Z$72</f>
        <v>0.18</v>
      </c>
      <c r="AA548" s="324">
        <f>Параметры!AA$72</f>
        <v>0.18</v>
      </c>
      <c r="AB548" s="324">
        <f>Параметры!AB$72</f>
        <v>0.18</v>
      </c>
      <c r="AC548" s="324">
        <f>Параметры!AC$72</f>
        <v>0.18</v>
      </c>
      <c r="AD548" s="324">
        <f>Параметры!AD$72</f>
        <v>0.18</v>
      </c>
      <c r="AE548" s="324">
        <f>Параметры!AE$72</f>
        <v>0.18</v>
      </c>
      <c r="AF548" s="324">
        <f>Параметры!AF$72</f>
        <v>0.18</v>
      </c>
      <c r="AG548" s="324">
        <f>Параметры!AG$72</f>
        <v>0.18</v>
      </c>
      <c r="AH548" s="324">
        <f>Параметры!AH$72</f>
        <v>0.18</v>
      </c>
      <c r="AI548" s="324">
        <f>Параметры!AI$72</f>
        <v>0.18</v>
      </c>
      <c r="AJ548" s="324">
        <f>Параметры!AJ$72</f>
        <v>0.18</v>
      </c>
      <c r="AK548" s="324">
        <f>Параметры!AK$72</f>
        <v>0.18</v>
      </c>
      <c r="AL548" s="324">
        <f>Параметры!AL$72</f>
        <v>0.18</v>
      </c>
      <c r="AM548" s="324">
        <f>Параметры!AM$72</f>
        <v>0.18</v>
      </c>
      <c r="AN548" s="324">
        <f>Параметры!AN$72</f>
        <v>0.18</v>
      </c>
      <c r="AO548" s="324">
        <f>Параметры!AO$72</f>
        <v>0.18</v>
      </c>
      <c r="AP548" s="324">
        <f>Параметры!AP$72</f>
        <v>0.18</v>
      </c>
      <c r="AQ548" s="324">
        <f>Параметры!AQ$72</f>
        <v>0.18</v>
      </c>
      <c r="AR548" s="324">
        <f>Параметры!AR$72</f>
        <v>0.18</v>
      </c>
      <c r="AS548" s="324">
        <f>Параметры!AS$72</f>
        <v>0.18</v>
      </c>
      <c r="AT548" s="324">
        <f>Параметры!AT$72</f>
        <v>0.18</v>
      </c>
      <c r="AU548" s="324">
        <f>Параметры!AU$72</f>
        <v>0.18</v>
      </c>
      <c r="AV548" s="324">
        <f>Параметры!AV$72</f>
        <v>0.18</v>
      </c>
      <c r="AW548" s="192"/>
      <c r="AX548" s="182"/>
    </row>
    <row r="549" spans="1:50" hidden="1" outlineLevel="1" x14ac:dyDescent="0.2">
      <c r="A549" s="167" t="str">
        <f ca="1">Language!A$736</f>
        <v>коэффициент изменения цен</v>
      </c>
      <c r="B549" s="202"/>
      <c r="C549" s="103" t="str">
        <f ca="1">Language!$A$1449</f>
        <v>раз</v>
      </c>
      <c r="D549" s="155"/>
      <c r="F549" s="57" t="s">
        <v>756</v>
      </c>
      <c r="G549" s="193">
        <f ca="1">IF(G$2=1,1,IF(Prj_Inflation=1, (1+OFFSET(G547,0,-1))^(Параметры!G$30/360), 1))</f>
        <v>1</v>
      </c>
      <c r="H549" s="193">
        <f ca="1">IF(H$2=1,1,IF(Prj_Inflation=1, (1+OFFSET(H547,0,-1))^(Параметры!H$30/360), 1))</f>
        <v>1.0146738461686593</v>
      </c>
      <c r="I549" s="193">
        <f ca="1">IF(I$2=1,1,IF(Prj_Inflation=1, (1+OFFSET(I547,0,-1))^(Параметры!I$30/360), 1))</f>
        <v>1.0146738461686593</v>
      </c>
      <c r="J549" s="193">
        <f ca="1">IF(J$2=1,1,IF(Prj_Inflation=1, (1+OFFSET(J547,0,-1))^(Параметры!J$30/360), 1))</f>
        <v>1.0146738461686593</v>
      </c>
      <c r="K549" s="193">
        <f ca="1">IF(K$2=1,1,IF(Prj_Inflation=1, (1+OFFSET(K547,0,-1))^(Параметры!K$30/360), 1))</f>
        <v>1.0146738461686593</v>
      </c>
      <c r="L549" s="193">
        <f ca="1">IF(L$2=1,1,IF(Prj_Inflation=1, (1+OFFSET(L547,0,-1))^(Параметры!L$30/360), 1))</f>
        <v>1.0146738461686593</v>
      </c>
      <c r="M549" s="193">
        <f ca="1">IF(M$2=1,1,IF(Prj_Inflation=1, (1+OFFSET(M547,0,-1))^(Параметры!M$30/360), 1))</f>
        <v>1.0146738461686593</v>
      </c>
      <c r="N549" s="193">
        <f ca="1">IF(N$2=1,1,IF(Prj_Inflation=1, (1+OFFSET(N547,0,-1))^(Параметры!N$30/360), 1))</f>
        <v>1.0146738461686593</v>
      </c>
      <c r="O549" s="193">
        <f ca="1">IF(O$2=1,1,IF(Prj_Inflation=1, (1+OFFSET(O547,0,-1))^(Параметры!O$30/360), 1))</f>
        <v>1.0146738461686593</v>
      </c>
      <c r="P549" s="193">
        <f ca="1">IF(P$2=1,1,IF(Prj_Inflation=1, (1+OFFSET(P547,0,-1))^(Параметры!P$30/360), 1))</f>
        <v>1.0146738461686593</v>
      </c>
      <c r="Q549" s="193">
        <f ca="1">IF(Q$2=1,1,IF(Prj_Inflation=1, (1+OFFSET(Q547,0,-1))^(Параметры!Q$30/360), 1))</f>
        <v>1.0146738461686593</v>
      </c>
      <c r="R549" s="193">
        <f ca="1">IF(R$2=1,1,IF(Prj_Inflation=1, (1+OFFSET(R547,0,-1))^(Параметры!R$30/360), 1))</f>
        <v>1.0146738461686593</v>
      </c>
      <c r="S549" s="193">
        <f ca="1">IF(S$2=1,1,IF(Prj_Inflation=1, (1+OFFSET(S547,0,-1))^(Параметры!S$30/360), 1))</f>
        <v>1.0146738461686593</v>
      </c>
      <c r="T549" s="193">
        <f ca="1">IF(T$2=1,1,IF(Prj_Inflation=1, (1+OFFSET(T547,0,-1))^(Параметры!T$30/360), 1))</f>
        <v>1.0146738461686593</v>
      </c>
      <c r="U549" s="193">
        <f ca="1">IF(U$2=1,1,IF(Prj_Inflation=1, (1+OFFSET(U547,0,-1))^(Параметры!U$30/360), 1))</f>
        <v>1.0146738461686593</v>
      </c>
      <c r="V549" s="193">
        <f ca="1">IF(V$2=1,1,IF(Prj_Inflation=1, (1+OFFSET(V547,0,-1))^(Параметры!V$30/360), 1))</f>
        <v>1.0146738461686593</v>
      </c>
      <c r="W549" s="193">
        <f ca="1">IF(W$2=1,1,IF(Prj_Inflation=1, (1+OFFSET(W547,0,-1))^(Параметры!W$30/360), 1))</f>
        <v>1.0146738461686593</v>
      </c>
      <c r="X549" s="193">
        <f ca="1">IF(X$2=1,1,IF(Prj_Inflation=1, (1+OFFSET(X547,0,-1))^(Параметры!X$30/360), 1))</f>
        <v>1.0146738461686593</v>
      </c>
      <c r="Y549" s="193">
        <f ca="1">IF(Y$2=1,1,IF(Prj_Inflation=1, (1+OFFSET(Y547,0,-1))^(Параметры!Y$30/360), 1))</f>
        <v>1.0146738461686593</v>
      </c>
      <c r="Z549" s="193">
        <f ca="1">IF(Z$2=1,1,IF(Prj_Inflation=1, (1+OFFSET(Z547,0,-1))^(Параметры!Z$30/360), 1))</f>
        <v>1.0146738461686593</v>
      </c>
      <c r="AA549" s="193">
        <f ca="1">IF(AA$2=1,1,IF(Prj_Inflation=1, (1+OFFSET(AA547,0,-1))^(Параметры!AA$30/360), 1))</f>
        <v>1.0146738461686593</v>
      </c>
      <c r="AB549" s="193">
        <f ca="1">IF(AB$2=1,1,IF(Prj_Inflation=1, (1+OFFSET(AB547,0,-1))^(Параметры!AB$30/360), 1))</f>
        <v>1.0146738461686593</v>
      </c>
      <c r="AC549" s="193">
        <f ca="1">IF(AC$2=1,1,IF(Prj_Inflation=1, (1+OFFSET(AC547,0,-1))^(Параметры!AC$30/360), 1))</f>
        <v>1.0146738461686593</v>
      </c>
      <c r="AD549" s="193">
        <f ca="1">IF(AD$2=1,1,IF(Prj_Inflation=1, (1+OFFSET(AD547,0,-1))^(Параметры!AD$30/360), 1))</f>
        <v>1.0146738461686593</v>
      </c>
      <c r="AE549" s="193">
        <f ca="1">IF(AE$2=1,1,IF(Prj_Inflation=1, (1+OFFSET(AE547,0,-1))^(Параметры!AE$30/360), 1))</f>
        <v>1.0146738461686593</v>
      </c>
      <c r="AF549" s="193">
        <f ca="1">IF(AF$2=1,1,IF(Prj_Inflation=1, (1+OFFSET(AF547,0,-1))^(Параметры!AF$30/360), 1))</f>
        <v>1.0146738461686593</v>
      </c>
      <c r="AG549" s="193">
        <f ca="1">IF(AG$2=1,1,IF(Prj_Inflation=1, (1+OFFSET(AG547,0,-1))^(Параметры!AG$30/360), 1))</f>
        <v>1.0146738461686593</v>
      </c>
      <c r="AH549" s="193">
        <f ca="1">IF(AH$2=1,1,IF(Prj_Inflation=1, (1+OFFSET(AH547,0,-1))^(Параметры!AH$30/360), 1))</f>
        <v>1.0146738461686593</v>
      </c>
      <c r="AI549" s="193">
        <f ca="1">IF(AI$2=1,1,IF(Prj_Inflation=1, (1+OFFSET(AI547,0,-1))^(Параметры!AI$30/360), 1))</f>
        <v>1.0146738461686593</v>
      </c>
      <c r="AJ549" s="193">
        <f ca="1">IF(AJ$2=1,1,IF(Prj_Inflation=1, (1+OFFSET(AJ547,0,-1))^(Параметры!AJ$30/360), 1))</f>
        <v>1.0146738461686593</v>
      </c>
      <c r="AK549" s="193">
        <f ca="1">IF(AK$2=1,1,IF(Prj_Inflation=1, (1+OFFSET(AK547,0,-1))^(Параметры!AK$30/360), 1))</f>
        <v>1.0146738461686593</v>
      </c>
      <c r="AL549" s="193">
        <f ca="1">IF(AL$2=1,1,IF(Prj_Inflation=1, (1+OFFSET(AL547,0,-1))^(Параметры!AL$30/360), 1))</f>
        <v>1.0146738461686593</v>
      </c>
      <c r="AM549" s="193">
        <f ca="1">IF(AM$2=1,1,IF(Prj_Inflation=1, (1+OFFSET(AM547,0,-1))^(Параметры!AM$30/360), 1))</f>
        <v>1.0146738461686593</v>
      </c>
      <c r="AN549" s="193">
        <f ca="1">IF(AN$2=1,1,IF(Prj_Inflation=1, (1+OFFSET(AN547,0,-1))^(Параметры!AN$30/360), 1))</f>
        <v>1.0146738461686593</v>
      </c>
      <c r="AO549" s="193">
        <f ca="1">IF(AO$2=1,1,IF(Prj_Inflation=1, (1+OFFSET(AO547,0,-1))^(Параметры!AO$30/360), 1))</f>
        <v>1.0146738461686593</v>
      </c>
      <c r="AP549" s="193">
        <f ca="1">IF(AP$2=1,1,IF(Prj_Inflation=1, (1+OFFSET(AP547,0,-1))^(Параметры!AP$30/360), 1))</f>
        <v>1.0146738461686593</v>
      </c>
      <c r="AQ549" s="193">
        <f ca="1">IF(AQ$2=1,1,IF(Prj_Inflation=1, (1+OFFSET(AQ547,0,-1))^(Параметры!AQ$30/360), 1))</f>
        <v>1.0146738461686593</v>
      </c>
      <c r="AR549" s="193">
        <f ca="1">IF(AR$2=1,1,IF(Prj_Inflation=1, (1+OFFSET(AR547,0,-1))^(Параметры!AR$30/360), 1))</f>
        <v>1.0146738461686593</v>
      </c>
      <c r="AS549" s="193">
        <f ca="1">IF(AS$2=1,1,IF(Prj_Inflation=1, (1+OFFSET(AS547,0,-1))^(Параметры!AS$30/360), 1))</f>
        <v>1.0146738461686593</v>
      </c>
      <c r="AT549" s="193">
        <f ca="1">IF(AT$2=1,1,IF(Prj_Inflation=1, (1+OFFSET(AT547,0,-1))^(Параметры!AT$30/360), 1))</f>
        <v>1.0146738461686593</v>
      </c>
      <c r="AU549" s="193">
        <f ca="1">IF(AU$2=1,1,IF(Prj_Inflation=1, (1+OFFSET(AU547,0,-1))^(Параметры!AU$30/360), 1))</f>
        <v>1.0146738461686593</v>
      </c>
      <c r="AV549" s="193">
        <f ca="1">IF(AV$2=1,1,IF(Prj_Inflation=1, (1+OFFSET(AV547,0,-1))^(Параметры!AV$30/360), 1))</f>
        <v>1.0146738461686593</v>
      </c>
      <c r="AW549" s="193"/>
      <c r="AX549" s="182"/>
    </row>
    <row r="550" spans="1:50" hidden="1" outlineLevel="1" x14ac:dyDescent="0.2">
      <c r="A550" s="179" t="str">
        <f ca="1">Language!A$737</f>
        <v>расчет затрат с учетом инфляции, без НДС</v>
      </c>
      <c r="B550" s="52"/>
      <c r="C550" s="82" t="str">
        <f ca="1">CHOOSE(D550,CurName1,CurName2,CurName3)</f>
        <v>тыс. руб.</v>
      </c>
      <c r="D550" s="155">
        <f>D544</f>
        <v>1</v>
      </c>
      <c r="F550" s="57" t="s">
        <v>753</v>
      </c>
      <c r="G550" s="180">
        <f t="shared" ref="G550:AV550" ca="1" si="2789">IF(G$2=1,$B546,F550)*G549</f>
        <v>200</v>
      </c>
      <c r="H550" s="180">
        <f t="shared" ca="1" si="2789"/>
        <v>202.93476923373186</v>
      </c>
      <c r="I550" s="180">
        <f t="shared" ca="1" si="2789"/>
        <v>205.91260281974002</v>
      </c>
      <c r="J550" s="180">
        <f t="shared" ca="1" si="2789"/>
        <v>208.93413267770512</v>
      </c>
      <c r="K550" s="180">
        <f t="shared" ca="1" si="2789"/>
        <v>212.00000000000003</v>
      </c>
      <c r="L550" s="180">
        <f t="shared" ca="1" si="2789"/>
        <v>215.11085538775581</v>
      </c>
      <c r="M550" s="180">
        <f t="shared" ca="1" si="2789"/>
        <v>218.26735898892446</v>
      </c>
      <c r="N550" s="180">
        <f t="shared" ca="1" si="2789"/>
        <v>221.47018063836748</v>
      </c>
      <c r="O550" s="180">
        <f t="shared" ca="1" si="2789"/>
        <v>224.72000000000008</v>
      </c>
      <c r="P550" s="180">
        <f t="shared" ca="1" si="2789"/>
        <v>228.01750671102121</v>
      </c>
      <c r="Q550" s="180">
        <f t="shared" ca="1" si="2789"/>
        <v>231.36340052825997</v>
      </c>
      <c r="R550" s="180">
        <f t="shared" ca="1" si="2789"/>
        <v>234.75839147666957</v>
      </c>
      <c r="S550" s="180">
        <f t="shared" ca="1" si="2789"/>
        <v>238.20320000000012</v>
      </c>
      <c r="T550" s="180">
        <f t="shared" ca="1" si="2789"/>
        <v>241.69855711368251</v>
      </c>
      <c r="U550" s="180">
        <f t="shared" ca="1" si="2789"/>
        <v>245.2452045599556</v>
      </c>
      <c r="V550" s="180">
        <f t="shared" ca="1" si="2789"/>
        <v>248.84389496526975</v>
      </c>
      <c r="W550" s="180">
        <f t="shared" ca="1" si="2789"/>
        <v>252.49539200000012</v>
      </c>
      <c r="X550" s="180">
        <f t="shared" ca="1" si="2789"/>
        <v>256.20047054050343</v>
      </c>
      <c r="Y550" s="180">
        <f t="shared" ca="1" si="2789"/>
        <v>259.95991683355288</v>
      </c>
      <c r="Z550" s="180">
        <f t="shared" ca="1" si="2789"/>
        <v>263.77452866318589</v>
      </c>
      <c r="AA550" s="180">
        <f t="shared" ca="1" si="2789"/>
        <v>267.6451155200001</v>
      </c>
      <c r="AB550" s="180">
        <f t="shared" ca="1" si="2789"/>
        <v>271.57249877293361</v>
      </c>
      <c r="AC550" s="180">
        <f t="shared" ca="1" si="2789"/>
        <v>275.55751184356603</v>
      </c>
      <c r="AD550" s="180">
        <f t="shared" ca="1" si="2789"/>
        <v>279.60100038297702</v>
      </c>
      <c r="AE550" s="180">
        <f t="shared" ca="1" si="2789"/>
        <v>283.7038224512001</v>
      </c>
      <c r="AF550" s="180">
        <f t="shared" ca="1" si="2789"/>
        <v>287.86684869930963</v>
      </c>
      <c r="AG550" s="180">
        <f t="shared" ca="1" si="2789"/>
        <v>292.09096255418001</v>
      </c>
      <c r="AH550" s="180">
        <f t="shared" ca="1" si="2789"/>
        <v>296.37706040595566</v>
      </c>
      <c r="AI550" s="180">
        <f t="shared" ca="1" si="2789"/>
        <v>300.72605179827212</v>
      </c>
      <c r="AJ550" s="180">
        <f t="shared" ca="1" si="2789"/>
        <v>305.13885962126824</v>
      </c>
      <c r="AK550" s="180">
        <f t="shared" ca="1" si="2789"/>
        <v>309.61642030743087</v>
      </c>
      <c r="AL550" s="180">
        <f t="shared" ca="1" si="2789"/>
        <v>314.15968403031309</v>
      </c>
      <c r="AM550" s="180">
        <f t="shared" ca="1" si="2789"/>
        <v>318.7696149061685</v>
      </c>
      <c r="AN550" s="180">
        <f t="shared" ca="1" si="2789"/>
        <v>323.44719119854437</v>
      </c>
      <c r="AO550" s="180">
        <f t="shared" ca="1" si="2789"/>
        <v>328.19340552587676</v>
      </c>
      <c r="AP550" s="180">
        <f t="shared" ca="1" si="2789"/>
        <v>333.00926507213188</v>
      </c>
      <c r="AQ550" s="180">
        <f t="shared" ca="1" si="2789"/>
        <v>337.89579180053863</v>
      </c>
      <c r="AR550" s="180">
        <f t="shared" ca="1" si="2789"/>
        <v>342.85402267045708</v>
      </c>
      <c r="AS550" s="180">
        <f t="shared" ca="1" si="2789"/>
        <v>347.8850098574294</v>
      </c>
      <c r="AT550" s="180">
        <f t="shared" ca="1" si="2789"/>
        <v>352.98982097645984</v>
      </c>
      <c r="AU550" s="180">
        <f t="shared" ca="1" si="2789"/>
        <v>358.16953930857102</v>
      </c>
      <c r="AV550" s="180">
        <f t="shared" ca="1" si="2789"/>
        <v>363.42526403068456</v>
      </c>
      <c r="AW550" s="180"/>
      <c r="AX550" s="189">
        <f ca="1">SUM(G550:AW550)</f>
        <v>11500.605124872593</v>
      </c>
    </row>
    <row r="551" spans="1:50" hidden="1" outlineLevel="1" x14ac:dyDescent="0.2">
      <c r="A551" s="167" t="str">
        <f ca="1">Language!A$738</f>
        <v>НДС начисленный</v>
      </c>
      <c r="B551" s="56"/>
      <c r="C551" s="103" t="str">
        <f ca="1">CHOOSE(D551,CurName1,CurName2,CurName3)</f>
        <v>тыс. руб.</v>
      </c>
      <c r="D551" s="155">
        <f>D544</f>
        <v>1</v>
      </c>
      <c r="E551" s="57" t="s">
        <v>789</v>
      </c>
      <c r="F551" s="57" t="s">
        <v>753</v>
      </c>
      <c r="G551" s="194">
        <f ca="1">G546*G548</f>
        <v>36</v>
      </c>
      <c r="H551" s="194">
        <f t="shared" ref="H551:AV551" ca="1" si="2790">H546*H548</f>
        <v>36.528258462071733</v>
      </c>
      <c r="I551" s="194">
        <f t="shared" ca="1" si="2790"/>
        <v>37.064268507553201</v>
      </c>
      <c r="J551" s="194">
        <f t="shared" ca="1" si="2790"/>
        <v>37.608143881986919</v>
      </c>
      <c r="K551" s="194">
        <f t="shared" ca="1" si="2790"/>
        <v>38.160000000000004</v>
      </c>
      <c r="L551" s="194">
        <f t="shared" ca="1" si="2790"/>
        <v>38.719953969796045</v>
      </c>
      <c r="M551" s="194">
        <f t="shared" ca="1" si="2790"/>
        <v>39.2881246180064</v>
      </c>
      <c r="N551" s="194">
        <f t="shared" ca="1" si="2790"/>
        <v>39.864632514906148</v>
      </c>
      <c r="O551" s="194">
        <f t="shared" ca="1" si="2790"/>
        <v>40.449600000000011</v>
      </c>
      <c r="P551" s="194">
        <f t="shared" ca="1" si="2790"/>
        <v>41.043151207983819</v>
      </c>
      <c r="Q551" s="194">
        <f t="shared" ca="1" si="2790"/>
        <v>41.64541209508679</v>
      </c>
      <c r="R551" s="194">
        <f t="shared" ca="1" si="2790"/>
        <v>42.256510465800524</v>
      </c>
      <c r="S551" s="194">
        <f t="shared" ca="1" si="2790"/>
        <v>42.876576000000021</v>
      </c>
      <c r="T551" s="194">
        <f t="shared" ca="1" si="2790"/>
        <v>43.505740280462852</v>
      </c>
      <c r="U551" s="194">
        <f t="shared" ca="1" si="2790"/>
        <v>44.144136820792006</v>
      </c>
      <c r="V551" s="194">
        <f t="shared" ca="1" si="2790"/>
        <v>44.791901093748557</v>
      </c>
      <c r="W551" s="194">
        <f t="shared" ca="1" si="2790"/>
        <v>45.44917056000002</v>
      </c>
      <c r="X551" s="194">
        <f t="shared" ca="1" si="2790"/>
        <v>46.116084697290617</v>
      </c>
      <c r="Y551" s="194">
        <f t="shared" ca="1" si="2790"/>
        <v>46.792785030039518</v>
      </c>
      <c r="Z551" s="194">
        <f t="shared" ca="1" si="2790"/>
        <v>47.47941515937346</v>
      </c>
      <c r="AA551" s="194">
        <f t="shared" ca="1" si="2790"/>
        <v>48.17612079360002</v>
      </c>
      <c r="AB551" s="194">
        <f t="shared" ca="1" si="2790"/>
        <v>48.883049779128051</v>
      </c>
      <c r="AC551" s="194">
        <f t="shared" ca="1" si="2790"/>
        <v>49.600352131841888</v>
      </c>
      <c r="AD551" s="194">
        <f t="shared" ca="1" si="2790"/>
        <v>50.328180068935865</v>
      </c>
      <c r="AE551" s="194">
        <f t="shared" ca="1" si="2790"/>
        <v>51.066688041216018</v>
      </c>
      <c r="AF551" s="194">
        <f t="shared" ca="1" si="2790"/>
        <v>51.816032765875732</v>
      </c>
      <c r="AG551" s="194">
        <f t="shared" ca="1" si="2790"/>
        <v>52.576373259752401</v>
      </c>
      <c r="AH551" s="194">
        <f t="shared" ca="1" si="2790"/>
        <v>53.347870873072019</v>
      </c>
      <c r="AI551" s="194">
        <f t="shared" ca="1" si="2790"/>
        <v>54.130689323688983</v>
      </c>
      <c r="AJ551" s="194">
        <f t="shared" ca="1" si="2790"/>
        <v>54.924994731828278</v>
      </c>
      <c r="AK551" s="194">
        <f t="shared" ca="1" si="2790"/>
        <v>55.730955655337553</v>
      </c>
      <c r="AL551" s="194">
        <f t="shared" ca="1" si="2790"/>
        <v>56.548743125456355</v>
      </c>
      <c r="AM551" s="194">
        <f t="shared" ca="1" si="2790"/>
        <v>57.378530683110327</v>
      </c>
      <c r="AN551" s="194">
        <f t="shared" ca="1" si="2790"/>
        <v>58.220494415737988</v>
      </c>
      <c r="AO551" s="194">
        <f t="shared" ca="1" si="2790"/>
        <v>59.074812994657812</v>
      </c>
      <c r="AP551" s="194">
        <f t="shared" ca="1" si="2790"/>
        <v>59.941667712983737</v>
      </c>
      <c r="AQ551" s="194">
        <f t="shared" ca="1" si="2790"/>
        <v>60.821242524096952</v>
      </c>
      <c r="AR551" s="194">
        <f t="shared" ca="1" si="2790"/>
        <v>61.713724080682276</v>
      </c>
      <c r="AS551" s="194">
        <f t="shared" ca="1" si="2790"/>
        <v>62.619301774337288</v>
      </c>
      <c r="AT551" s="194">
        <f t="shared" ca="1" si="2790"/>
        <v>63.538167775762766</v>
      </c>
      <c r="AU551" s="194">
        <f t="shared" ca="1" si="2790"/>
        <v>64.470517075542787</v>
      </c>
      <c r="AV551" s="194">
        <f t="shared" ca="1" si="2790"/>
        <v>65.416547525523214</v>
      </c>
      <c r="AW551" s="194"/>
      <c r="AX551" s="189">
        <f ca="1">SUM(G551:AW551)</f>
        <v>2070.1089224770672</v>
      </c>
    </row>
    <row r="552" spans="1:50" x14ac:dyDescent="0.2">
      <c r="A552" s="317" t="s">
        <v>740</v>
      </c>
      <c r="B552" s="198"/>
      <c r="C552" s="146"/>
      <c r="D552" s="66">
        <v>1</v>
      </c>
      <c r="F552" s="57" t="s">
        <v>2336</v>
      </c>
      <c r="G552" s="199"/>
      <c r="H552" s="199"/>
      <c r="I552" s="199"/>
      <c r="J552" s="199"/>
      <c r="K552" s="199"/>
      <c r="L552" s="199"/>
      <c r="M552" s="199"/>
      <c r="N552" s="199"/>
      <c r="O552" s="199"/>
      <c r="P552" s="199"/>
      <c r="Q552" s="199"/>
      <c r="R552" s="199"/>
      <c r="S552" s="199"/>
      <c r="T552" s="199"/>
      <c r="U552" s="199"/>
      <c r="V552" s="199"/>
      <c r="W552" s="199"/>
      <c r="X552" s="199"/>
      <c r="Y552" s="199"/>
      <c r="Z552" s="199"/>
      <c r="AA552" s="199"/>
      <c r="AB552" s="199"/>
      <c r="AC552" s="199"/>
      <c r="AD552" s="199"/>
      <c r="AE552" s="199"/>
      <c r="AF552" s="199"/>
      <c r="AG552" s="199"/>
      <c r="AH552" s="199"/>
      <c r="AI552" s="199"/>
      <c r="AJ552" s="199"/>
      <c r="AK552" s="199"/>
      <c r="AL552" s="199"/>
      <c r="AM552" s="199"/>
      <c r="AN552" s="199"/>
      <c r="AO552" s="199"/>
      <c r="AP552" s="199"/>
      <c r="AQ552" s="199"/>
      <c r="AR552" s="199"/>
      <c r="AS552" s="199"/>
      <c r="AT552" s="199"/>
      <c r="AU552" s="199"/>
      <c r="AV552" s="199"/>
      <c r="AW552" s="199"/>
    </row>
    <row r="553" spans="1:50" x14ac:dyDescent="0.2">
      <c r="A553" s="172" t="str">
        <f ca="1">Language!A$731</f>
        <v>период появления затрат</v>
      </c>
      <c r="B553" s="313">
        <f>Prj_Invest+1</f>
        <v>1</v>
      </c>
      <c r="C553" s="146" t="str">
        <f ca="1">Language!$A$1452</f>
        <v>период</v>
      </c>
      <c r="D553" s="15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87"/>
    </row>
    <row r="554" spans="1:50" collapsed="1" x14ac:dyDescent="0.2">
      <c r="A554" s="172" t="str">
        <f ca="1">Language!A$732&amp;" ("&amp;Параметры!B$19&amp;"), "&amp;Language!A$733</f>
        <v>затраты за период (квартал), без НДС</v>
      </c>
      <c r="B554" s="313">
        <v>7000</v>
      </c>
      <c r="C554" s="146" t="str">
        <f t="shared" ref="C554" ca="1" si="2791">CHOOSE(D554,CurName1,CurName2,CurName3)</f>
        <v>тыс. руб.</v>
      </c>
      <c r="D554" s="158">
        <f>D552</f>
        <v>1</v>
      </c>
      <c r="E554" s="57" t="s">
        <v>758</v>
      </c>
      <c r="F554" s="57" t="s">
        <v>753</v>
      </c>
      <c r="G554" s="327">
        <f ca="1">IF(G$2&gt;=$B553,G558,0)*Параметры!G$33</f>
        <v>7000</v>
      </c>
      <c r="H554" s="327">
        <f ca="1">IF(H$2&gt;=$B553,H558,0)*Параметры!H$33</f>
        <v>7102.7169231806147</v>
      </c>
      <c r="I554" s="327">
        <f ca="1">IF(I$2&gt;=$B553,I558,0)*Параметры!I$33</f>
        <v>7206.9410986908997</v>
      </c>
      <c r="J554" s="327">
        <f ca="1">IF(J$2&gt;=$B553,J558,0)*Параметры!J$33</f>
        <v>7312.6946437196784</v>
      </c>
      <c r="K554" s="327">
        <f ca="1">IF(K$2&gt;=$B553,K558,0)*Параметры!K$33</f>
        <v>7420</v>
      </c>
      <c r="L554" s="327">
        <f ca="1">IF(L$2&gt;=$B553,L558,0)*Параметры!L$33</f>
        <v>7528.8799385714519</v>
      </c>
      <c r="M554" s="327">
        <f ca="1">IF(M$2&gt;=$B553,M558,0)*Параметры!M$33</f>
        <v>7639.3575646123545</v>
      </c>
      <c r="N554" s="327">
        <f ca="1">IF(N$2&gt;=$B553,N558,0)*Параметры!N$33</f>
        <v>7751.4563223428595</v>
      </c>
      <c r="O554" s="327">
        <f ca="1">IF(O$2&gt;=$B553,O558,0)*Параметры!O$33</f>
        <v>7865.2</v>
      </c>
      <c r="P554" s="327">
        <f ca="1">IF(P$2&gt;=$B553,P558,0)*Параметры!P$33</f>
        <v>7980.612734885739</v>
      </c>
      <c r="Q554" s="327">
        <f ca="1">IF(Q$2&gt;=$B553,Q558,0)*Параметры!Q$33</f>
        <v>8097.719018489096</v>
      </c>
      <c r="R554" s="327">
        <f ca="1">IF(R$2&gt;=$B553,R558,0)*Параметры!R$33</f>
        <v>8216.5437016834312</v>
      </c>
      <c r="S554" s="327">
        <f ca="1">IF(S$2&gt;=$B553,S558,0)*Параметры!S$33</f>
        <v>8337.112000000001</v>
      </c>
      <c r="T554" s="327">
        <f ca="1">IF(T$2&gt;=$B553,T558,0)*Параметры!T$33</f>
        <v>8459.4494989788836</v>
      </c>
      <c r="U554" s="327">
        <f ca="1">IF(U$2&gt;=$B553,U558,0)*Параметры!U$33</f>
        <v>8583.5821595984416</v>
      </c>
      <c r="V554" s="327">
        <f ca="1">IF(V$2&gt;=$B553,V558,0)*Параметры!V$33</f>
        <v>8709.5363237844376</v>
      </c>
      <c r="W554" s="327">
        <f ca="1">IF(W$2&gt;=$B553,W558,0)*Параметры!W$33</f>
        <v>8837.3387200000016</v>
      </c>
      <c r="X554" s="327">
        <f ca="1">IF(X$2&gt;=$B553,X558,0)*Параметры!X$33</f>
        <v>8967.0164689176181</v>
      </c>
      <c r="Y554" s="327">
        <f ca="1">IF(Y$2&gt;=$B553,Y558,0)*Параметры!Y$33</f>
        <v>9098.5970891743491</v>
      </c>
      <c r="Z554" s="327">
        <f ca="1">IF(Z$2&gt;=$B553,Z558,0)*Параметры!Z$33</f>
        <v>9232.1085032115043</v>
      </c>
      <c r="AA554" s="327">
        <f ca="1">IF(AA$2&gt;=$B553,AA558,0)*Параметры!AA$33</f>
        <v>9367.5790432000013</v>
      </c>
      <c r="AB554" s="327">
        <f ca="1">IF(AB$2&gt;=$B553,AB558,0)*Параметры!AB$33</f>
        <v>9505.0374570526747</v>
      </c>
      <c r="AC554" s="327">
        <f ca="1">IF(AC$2&gt;=$B553,AC558,0)*Параметры!AC$33</f>
        <v>9644.5129145248102</v>
      </c>
      <c r="AD554" s="327">
        <f ca="1">IF(AD$2&gt;=$B553,AD558,0)*Параметры!AD$33</f>
        <v>9786.0350134041946</v>
      </c>
      <c r="AE554" s="327">
        <f ca="1">IF(AE$2&gt;=$B553,AE558,0)*Параметры!AE$33</f>
        <v>9929.6337857920007</v>
      </c>
      <c r="AF554" s="327">
        <f ca="1">IF(AF$2&gt;=$B553,AF558,0)*Параметры!AF$33</f>
        <v>10075.339704475835</v>
      </c>
      <c r="AG554" s="327">
        <f ca="1">IF(AG$2&gt;=$B553,AG558,0)*Параметры!AG$33</f>
        <v>10223.183689396299</v>
      </c>
      <c r="AH554" s="327">
        <f ca="1">IF(AH$2&gt;=$B553,AH558,0)*Параметры!AH$33</f>
        <v>10373.197114208448</v>
      </c>
      <c r="AI554" s="327">
        <f ca="1">IF(AI$2&gt;=$B553,AI558,0)*Параметры!AI$33</f>
        <v>10525.411812939523</v>
      </c>
      <c r="AJ554" s="327">
        <f ca="1">IF(AJ$2&gt;=$B553,AJ558,0)*Параметры!AJ$33</f>
        <v>10679.860086744387</v>
      </c>
      <c r="AK554" s="327">
        <f ca="1">IF(AK$2&gt;=$B553,AK558,0)*Параметры!AK$33</f>
        <v>10836.574710760078</v>
      </c>
      <c r="AL554" s="327">
        <f ca="1">IF(AL$2&gt;=$B553,AL558,0)*Параметры!AL$33</f>
        <v>10995.588941060956</v>
      </c>
      <c r="AM554" s="327">
        <f ca="1">IF(AM$2&gt;=$B553,AM558,0)*Параметры!AM$33</f>
        <v>11156.936521715896</v>
      </c>
      <c r="AN554" s="327">
        <f ca="1">IF(AN$2&gt;=$B553,AN558,0)*Параметры!AN$33</f>
        <v>11320.651691949051</v>
      </c>
      <c r="AO554" s="327">
        <f ca="1">IF(AO$2&gt;=$B553,AO558,0)*Параметры!AO$33</f>
        <v>11486.769193405684</v>
      </c>
      <c r="AP554" s="327">
        <f ca="1">IF(AP$2&gt;=$B553,AP558,0)*Параметры!AP$33</f>
        <v>11655.324277524613</v>
      </c>
      <c r="AQ554" s="327">
        <f ca="1">IF(AQ$2&gt;=$B553,AQ558,0)*Параметры!AQ$33</f>
        <v>11826.352713018849</v>
      </c>
      <c r="AR554" s="327">
        <f ca="1">IF(AR$2&gt;=$B553,AR558,0)*Параметры!AR$33</f>
        <v>11999.890793465993</v>
      </c>
      <c r="AS554" s="327">
        <f ca="1">IF(AS$2&gt;=$B553,AS558,0)*Параметры!AS$33</f>
        <v>12175.975345010023</v>
      </c>
      <c r="AT554" s="327">
        <f ca="1">IF(AT$2&gt;=$B553,AT558,0)*Параметры!AT$33</f>
        <v>12354.643734176088</v>
      </c>
      <c r="AU554" s="327">
        <f ca="1">IF(AU$2&gt;=$B553,AU558,0)*Параметры!AU$33</f>
        <v>12535.933875799979</v>
      </c>
      <c r="AV554" s="327">
        <f ca="1">IF(AV$2&gt;=$B553,AV558,0)*Параметры!AV$33</f>
        <v>12719.884241073953</v>
      </c>
      <c r="AW554" s="148"/>
      <c r="AX554" s="171">
        <f ca="1">SUM(G554:AW554)</f>
        <v>402521.17937054066</v>
      </c>
    </row>
    <row r="555" spans="1:50" hidden="1" outlineLevel="1" x14ac:dyDescent="0.2">
      <c r="A555" s="167" t="str">
        <f ca="1">Language!A$734</f>
        <v>темп изменения цен</v>
      </c>
      <c r="B555" s="202"/>
      <c r="C555" s="103" t="str">
        <f ca="1">Language!$A$471</f>
        <v>% в год</v>
      </c>
      <c r="D555" s="153"/>
      <c r="F555" s="57" t="s">
        <v>756</v>
      </c>
      <c r="G555" s="324">
        <f>CHOOSE($D554,Параметры!G$49,Параметры!G$56,Параметры!G$62)</f>
        <v>0.06</v>
      </c>
      <c r="H555" s="324">
        <f>CHOOSE($D554,Параметры!H$49,Параметры!H$56,Параметры!H$62)</f>
        <v>0.06</v>
      </c>
      <c r="I555" s="324">
        <f>CHOOSE($D554,Параметры!I$49,Параметры!I$56,Параметры!I$62)</f>
        <v>0.06</v>
      </c>
      <c r="J555" s="324">
        <f>CHOOSE($D554,Параметры!J$49,Параметры!J$56,Параметры!J$62)</f>
        <v>0.06</v>
      </c>
      <c r="K555" s="324">
        <f>CHOOSE($D554,Параметры!K$49,Параметры!K$56,Параметры!K$62)</f>
        <v>0.06</v>
      </c>
      <c r="L555" s="324">
        <f>CHOOSE($D554,Параметры!L$49,Параметры!L$56,Параметры!L$62)</f>
        <v>0.06</v>
      </c>
      <c r="M555" s="324">
        <f>CHOOSE($D554,Параметры!M$49,Параметры!M$56,Параметры!M$62)</f>
        <v>0.06</v>
      </c>
      <c r="N555" s="324">
        <f>CHOOSE($D554,Параметры!N$49,Параметры!N$56,Параметры!N$62)</f>
        <v>0.06</v>
      </c>
      <c r="O555" s="324">
        <f>CHOOSE($D554,Параметры!O$49,Параметры!O$56,Параметры!O$62)</f>
        <v>0.06</v>
      </c>
      <c r="P555" s="324">
        <f>CHOOSE($D554,Параметры!P$49,Параметры!P$56,Параметры!P$62)</f>
        <v>0.06</v>
      </c>
      <c r="Q555" s="324">
        <f>CHOOSE($D554,Параметры!Q$49,Параметры!Q$56,Параметры!Q$62)</f>
        <v>0.06</v>
      </c>
      <c r="R555" s="324">
        <f>CHOOSE($D554,Параметры!R$49,Параметры!R$56,Параметры!R$62)</f>
        <v>0.06</v>
      </c>
      <c r="S555" s="324">
        <f>CHOOSE($D554,Параметры!S$49,Параметры!S$56,Параметры!S$62)</f>
        <v>0.06</v>
      </c>
      <c r="T555" s="324">
        <f>CHOOSE($D554,Параметры!T$49,Параметры!T$56,Параметры!T$62)</f>
        <v>0.06</v>
      </c>
      <c r="U555" s="324">
        <f>CHOOSE($D554,Параметры!U$49,Параметры!U$56,Параметры!U$62)</f>
        <v>0.06</v>
      </c>
      <c r="V555" s="324">
        <f>CHOOSE($D554,Параметры!V$49,Параметры!V$56,Параметры!V$62)</f>
        <v>0.06</v>
      </c>
      <c r="W555" s="324">
        <f>CHOOSE($D554,Параметры!W$49,Параметры!W$56,Параметры!W$62)</f>
        <v>0.06</v>
      </c>
      <c r="X555" s="324">
        <f>CHOOSE($D554,Параметры!X$49,Параметры!X$56,Параметры!X$62)</f>
        <v>0.06</v>
      </c>
      <c r="Y555" s="324">
        <f>CHOOSE($D554,Параметры!Y$49,Параметры!Y$56,Параметры!Y$62)</f>
        <v>0.06</v>
      </c>
      <c r="Z555" s="324">
        <f>CHOOSE($D554,Параметры!Z$49,Параметры!Z$56,Параметры!Z$62)</f>
        <v>0.06</v>
      </c>
      <c r="AA555" s="324">
        <f>CHOOSE($D554,Параметры!AA$49,Параметры!AA$56,Параметры!AA$62)</f>
        <v>0.06</v>
      </c>
      <c r="AB555" s="324">
        <f>CHOOSE($D554,Параметры!AB$49,Параметры!AB$56,Параметры!AB$62)</f>
        <v>0.06</v>
      </c>
      <c r="AC555" s="324">
        <f>CHOOSE($D554,Параметры!AC$49,Параметры!AC$56,Параметры!AC$62)</f>
        <v>0.06</v>
      </c>
      <c r="AD555" s="324">
        <f>CHOOSE($D554,Параметры!AD$49,Параметры!AD$56,Параметры!AD$62)</f>
        <v>0.06</v>
      </c>
      <c r="AE555" s="324">
        <f>CHOOSE($D554,Параметры!AE$49,Параметры!AE$56,Параметры!AE$62)</f>
        <v>0.06</v>
      </c>
      <c r="AF555" s="324">
        <f>CHOOSE($D554,Параметры!AF$49,Параметры!AF$56,Параметры!AF$62)</f>
        <v>0.06</v>
      </c>
      <c r="AG555" s="324">
        <f>CHOOSE($D554,Параметры!AG$49,Параметры!AG$56,Параметры!AG$62)</f>
        <v>0.06</v>
      </c>
      <c r="AH555" s="324">
        <f>CHOOSE($D554,Параметры!AH$49,Параметры!AH$56,Параметры!AH$62)</f>
        <v>0.06</v>
      </c>
      <c r="AI555" s="324">
        <f>CHOOSE($D554,Параметры!AI$49,Параметры!AI$56,Параметры!AI$62)</f>
        <v>0.06</v>
      </c>
      <c r="AJ555" s="324">
        <f>CHOOSE($D554,Параметры!AJ$49,Параметры!AJ$56,Параметры!AJ$62)</f>
        <v>0.06</v>
      </c>
      <c r="AK555" s="324">
        <f>CHOOSE($D554,Параметры!AK$49,Параметры!AK$56,Параметры!AK$62)</f>
        <v>0.06</v>
      </c>
      <c r="AL555" s="324">
        <f>CHOOSE($D554,Параметры!AL$49,Параметры!AL$56,Параметры!AL$62)</f>
        <v>0.06</v>
      </c>
      <c r="AM555" s="324">
        <f>CHOOSE($D554,Параметры!AM$49,Параметры!AM$56,Параметры!AM$62)</f>
        <v>0.06</v>
      </c>
      <c r="AN555" s="324">
        <f>CHOOSE($D554,Параметры!AN$49,Параметры!AN$56,Параметры!AN$62)</f>
        <v>0.06</v>
      </c>
      <c r="AO555" s="324">
        <f>CHOOSE($D554,Параметры!AO$49,Параметры!AO$56,Параметры!AO$62)</f>
        <v>0.06</v>
      </c>
      <c r="AP555" s="324">
        <f>CHOOSE($D554,Параметры!AP$49,Параметры!AP$56,Параметры!AP$62)</f>
        <v>0.06</v>
      </c>
      <c r="AQ555" s="324">
        <f>CHOOSE($D554,Параметры!AQ$49,Параметры!AQ$56,Параметры!AQ$62)</f>
        <v>0.06</v>
      </c>
      <c r="AR555" s="324">
        <f>CHOOSE($D554,Параметры!AR$49,Параметры!AR$56,Параметры!AR$62)</f>
        <v>0.06</v>
      </c>
      <c r="AS555" s="324">
        <f>CHOOSE($D554,Параметры!AS$49,Параметры!AS$56,Параметры!AS$62)</f>
        <v>0.06</v>
      </c>
      <c r="AT555" s="324">
        <f>CHOOSE($D554,Параметры!AT$49,Параметры!AT$56,Параметры!AT$62)</f>
        <v>0.06</v>
      </c>
      <c r="AU555" s="324">
        <f>CHOOSE($D554,Параметры!AU$49,Параметры!AU$56,Параметры!AU$62)</f>
        <v>0.06</v>
      </c>
      <c r="AV555" s="324">
        <f>CHOOSE($D554,Параметры!AV$49,Параметры!AV$56,Параметры!AV$62)</f>
        <v>0.06</v>
      </c>
      <c r="AW555" s="192"/>
      <c r="AX555" s="184"/>
    </row>
    <row r="556" spans="1:50" hidden="1" outlineLevel="1" x14ac:dyDescent="0.2">
      <c r="A556" s="167" t="str">
        <f ca="1">Language!A$735</f>
        <v>ставка НДС</v>
      </c>
      <c r="B556" s="202"/>
      <c r="C556" s="103" t="s">
        <v>1</v>
      </c>
      <c r="D556" s="155"/>
      <c r="F556" s="57" t="s">
        <v>756</v>
      </c>
      <c r="G556" s="324">
        <f>Параметры!G$72</f>
        <v>0.18</v>
      </c>
      <c r="H556" s="324">
        <f>Параметры!H$72</f>
        <v>0.18</v>
      </c>
      <c r="I556" s="324">
        <f>Параметры!I$72</f>
        <v>0.18</v>
      </c>
      <c r="J556" s="324">
        <f>Параметры!J$72</f>
        <v>0.18</v>
      </c>
      <c r="K556" s="324">
        <f>Параметры!K$72</f>
        <v>0.18</v>
      </c>
      <c r="L556" s="324">
        <f>Параметры!L$72</f>
        <v>0.18</v>
      </c>
      <c r="M556" s="324">
        <f>Параметры!M$72</f>
        <v>0.18</v>
      </c>
      <c r="N556" s="324">
        <f>Параметры!N$72</f>
        <v>0.18</v>
      </c>
      <c r="O556" s="324">
        <f>Параметры!O$72</f>
        <v>0.18</v>
      </c>
      <c r="P556" s="324">
        <f>Параметры!P$72</f>
        <v>0.18</v>
      </c>
      <c r="Q556" s="324">
        <f>Параметры!Q$72</f>
        <v>0.18</v>
      </c>
      <c r="R556" s="324">
        <f>Параметры!R$72</f>
        <v>0.18</v>
      </c>
      <c r="S556" s="324">
        <f>Параметры!S$72</f>
        <v>0.18</v>
      </c>
      <c r="T556" s="324">
        <f>Параметры!T$72</f>
        <v>0.18</v>
      </c>
      <c r="U556" s="324">
        <f>Параметры!U$72</f>
        <v>0.18</v>
      </c>
      <c r="V556" s="324">
        <f>Параметры!V$72</f>
        <v>0.18</v>
      </c>
      <c r="W556" s="324">
        <f>Параметры!W$72</f>
        <v>0.18</v>
      </c>
      <c r="X556" s="324">
        <f>Параметры!X$72</f>
        <v>0.18</v>
      </c>
      <c r="Y556" s="324">
        <f>Параметры!Y$72</f>
        <v>0.18</v>
      </c>
      <c r="Z556" s="324">
        <f>Параметры!Z$72</f>
        <v>0.18</v>
      </c>
      <c r="AA556" s="324">
        <f>Параметры!AA$72</f>
        <v>0.18</v>
      </c>
      <c r="AB556" s="324">
        <f>Параметры!AB$72</f>
        <v>0.18</v>
      </c>
      <c r="AC556" s="324">
        <f>Параметры!AC$72</f>
        <v>0.18</v>
      </c>
      <c r="AD556" s="324">
        <f>Параметры!AD$72</f>
        <v>0.18</v>
      </c>
      <c r="AE556" s="324">
        <f>Параметры!AE$72</f>
        <v>0.18</v>
      </c>
      <c r="AF556" s="324">
        <f>Параметры!AF$72</f>
        <v>0.18</v>
      </c>
      <c r="AG556" s="324">
        <f>Параметры!AG$72</f>
        <v>0.18</v>
      </c>
      <c r="AH556" s="324">
        <f>Параметры!AH$72</f>
        <v>0.18</v>
      </c>
      <c r="AI556" s="324">
        <f>Параметры!AI$72</f>
        <v>0.18</v>
      </c>
      <c r="AJ556" s="324">
        <f>Параметры!AJ$72</f>
        <v>0.18</v>
      </c>
      <c r="AK556" s="324">
        <f>Параметры!AK$72</f>
        <v>0.18</v>
      </c>
      <c r="AL556" s="324">
        <f>Параметры!AL$72</f>
        <v>0.18</v>
      </c>
      <c r="AM556" s="324">
        <f>Параметры!AM$72</f>
        <v>0.18</v>
      </c>
      <c r="AN556" s="324">
        <f>Параметры!AN$72</f>
        <v>0.18</v>
      </c>
      <c r="AO556" s="324">
        <f>Параметры!AO$72</f>
        <v>0.18</v>
      </c>
      <c r="AP556" s="324">
        <f>Параметры!AP$72</f>
        <v>0.18</v>
      </c>
      <c r="AQ556" s="324">
        <f>Параметры!AQ$72</f>
        <v>0.18</v>
      </c>
      <c r="AR556" s="324">
        <f>Параметры!AR$72</f>
        <v>0.18</v>
      </c>
      <c r="AS556" s="324">
        <f>Параметры!AS$72</f>
        <v>0.18</v>
      </c>
      <c r="AT556" s="324">
        <f>Параметры!AT$72</f>
        <v>0.18</v>
      </c>
      <c r="AU556" s="324">
        <f>Параметры!AU$72</f>
        <v>0.18</v>
      </c>
      <c r="AV556" s="324">
        <f>Параметры!AV$72</f>
        <v>0.18</v>
      </c>
      <c r="AW556" s="192"/>
      <c r="AX556" s="182"/>
    </row>
    <row r="557" spans="1:50" hidden="1" outlineLevel="1" x14ac:dyDescent="0.2">
      <c r="A557" s="167" t="str">
        <f ca="1">Language!A$736</f>
        <v>коэффициент изменения цен</v>
      </c>
      <c r="B557" s="202"/>
      <c r="C557" s="103" t="str">
        <f ca="1">Language!$A$1449</f>
        <v>раз</v>
      </c>
      <c r="D557" s="155"/>
      <c r="F557" s="57" t="s">
        <v>756</v>
      </c>
      <c r="G557" s="193">
        <f ca="1">IF(G$2=1,1,IF(Prj_Inflation=1, (1+OFFSET(G555,0,-1))^(Параметры!G$30/360), 1))</f>
        <v>1</v>
      </c>
      <c r="H557" s="193">
        <f ca="1">IF(H$2=1,1,IF(Prj_Inflation=1, (1+OFFSET(H555,0,-1))^(Параметры!H$30/360), 1))</f>
        <v>1.0146738461686593</v>
      </c>
      <c r="I557" s="193">
        <f ca="1">IF(I$2=1,1,IF(Prj_Inflation=1, (1+OFFSET(I555,0,-1))^(Параметры!I$30/360), 1))</f>
        <v>1.0146738461686593</v>
      </c>
      <c r="J557" s="193">
        <f ca="1">IF(J$2=1,1,IF(Prj_Inflation=1, (1+OFFSET(J555,0,-1))^(Параметры!J$30/360), 1))</f>
        <v>1.0146738461686593</v>
      </c>
      <c r="K557" s="193">
        <f ca="1">IF(K$2=1,1,IF(Prj_Inflation=1, (1+OFFSET(K555,0,-1))^(Параметры!K$30/360), 1))</f>
        <v>1.0146738461686593</v>
      </c>
      <c r="L557" s="193">
        <f ca="1">IF(L$2=1,1,IF(Prj_Inflation=1, (1+OFFSET(L555,0,-1))^(Параметры!L$30/360), 1))</f>
        <v>1.0146738461686593</v>
      </c>
      <c r="M557" s="193">
        <f ca="1">IF(M$2=1,1,IF(Prj_Inflation=1, (1+OFFSET(M555,0,-1))^(Параметры!M$30/360), 1))</f>
        <v>1.0146738461686593</v>
      </c>
      <c r="N557" s="193">
        <f ca="1">IF(N$2=1,1,IF(Prj_Inflation=1, (1+OFFSET(N555,0,-1))^(Параметры!N$30/360), 1))</f>
        <v>1.0146738461686593</v>
      </c>
      <c r="O557" s="193">
        <f ca="1">IF(O$2=1,1,IF(Prj_Inflation=1, (1+OFFSET(O555,0,-1))^(Параметры!O$30/360), 1))</f>
        <v>1.0146738461686593</v>
      </c>
      <c r="P557" s="193">
        <f ca="1">IF(P$2=1,1,IF(Prj_Inflation=1, (1+OFFSET(P555,0,-1))^(Параметры!P$30/360), 1))</f>
        <v>1.0146738461686593</v>
      </c>
      <c r="Q557" s="193">
        <f ca="1">IF(Q$2=1,1,IF(Prj_Inflation=1, (1+OFFSET(Q555,0,-1))^(Параметры!Q$30/360), 1))</f>
        <v>1.0146738461686593</v>
      </c>
      <c r="R557" s="193">
        <f ca="1">IF(R$2=1,1,IF(Prj_Inflation=1, (1+OFFSET(R555,0,-1))^(Параметры!R$30/360), 1))</f>
        <v>1.0146738461686593</v>
      </c>
      <c r="S557" s="193">
        <f ca="1">IF(S$2=1,1,IF(Prj_Inflation=1, (1+OFFSET(S555,0,-1))^(Параметры!S$30/360), 1))</f>
        <v>1.0146738461686593</v>
      </c>
      <c r="T557" s="193">
        <f ca="1">IF(T$2=1,1,IF(Prj_Inflation=1, (1+OFFSET(T555,0,-1))^(Параметры!T$30/360), 1))</f>
        <v>1.0146738461686593</v>
      </c>
      <c r="U557" s="193">
        <f ca="1">IF(U$2=1,1,IF(Prj_Inflation=1, (1+OFFSET(U555,0,-1))^(Параметры!U$30/360), 1))</f>
        <v>1.0146738461686593</v>
      </c>
      <c r="V557" s="193">
        <f ca="1">IF(V$2=1,1,IF(Prj_Inflation=1, (1+OFFSET(V555,0,-1))^(Параметры!V$30/360), 1))</f>
        <v>1.0146738461686593</v>
      </c>
      <c r="W557" s="193">
        <f ca="1">IF(W$2=1,1,IF(Prj_Inflation=1, (1+OFFSET(W555,0,-1))^(Параметры!W$30/360), 1))</f>
        <v>1.0146738461686593</v>
      </c>
      <c r="X557" s="193">
        <f ca="1">IF(X$2=1,1,IF(Prj_Inflation=1, (1+OFFSET(X555,0,-1))^(Параметры!X$30/360), 1))</f>
        <v>1.0146738461686593</v>
      </c>
      <c r="Y557" s="193">
        <f ca="1">IF(Y$2=1,1,IF(Prj_Inflation=1, (1+OFFSET(Y555,0,-1))^(Параметры!Y$30/360), 1))</f>
        <v>1.0146738461686593</v>
      </c>
      <c r="Z557" s="193">
        <f ca="1">IF(Z$2=1,1,IF(Prj_Inflation=1, (1+OFFSET(Z555,0,-1))^(Параметры!Z$30/360), 1))</f>
        <v>1.0146738461686593</v>
      </c>
      <c r="AA557" s="193">
        <f ca="1">IF(AA$2=1,1,IF(Prj_Inflation=1, (1+OFFSET(AA555,0,-1))^(Параметры!AA$30/360), 1))</f>
        <v>1.0146738461686593</v>
      </c>
      <c r="AB557" s="193">
        <f ca="1">IF(AB$2=1,1,IF(Prj_Inflation=1, (1+OFFSET(AB555,0,-1))^(Параметры!AB$30/360), 1))</f>
        <v>1.0146738461686593</v>
      </c>
      <c r="AC557" s="193">
        <f ca="1">IF(AC$2=1,1,IF(Prj_Inflation=1, (1+OFFSET(AC555,0,-1))^(Параметры!AC$30/360), 1))</f>
        <v>1.0146738461686593</v>
      </c>
      <c r="AD557" s="193">
        <f ca="1">IF(AD$2=1,1,IF(Prj_Inflation=1, (1+OFFSET(AD555,0,-1))^(Параметры!AD$30/360), 1))</f>
        <v>1.0146738461686593</v>
      </c>
      <c r="AE557" s="193">
        <f ca="1">IF(AE$2=1,1,IF(Prj_Inflation=1, (1+OFFSET(AE555,0,-1))^(Параметры!AE$30/360), 1))</f>
        <v>1.0146738461686593</v>
      </c>
      <c r="AF557" s="193">
        <f ca="1">IF(AF$2=1,1,IF(Prj_Inflation=1, (1+OFFSET(AF555,0,-1))^(Параметры!AF$30/360), 1))</f>
        <v>1.0146738461686593</v>
      </c>
      <c r="AG557" s="193">
        <f ca="1">IF(AG$2=1,1,IF(Prj_Inflation=1, (1+OFFSET(AG555,0,-1))^(Параметры!AG$30/360), 1))</f>
        <v>1.0146738461686593</v>
      </c>
      <c r="AH557" s="193">
        <f ca="1">IF(AH$2=1,1,IF(Prj_Inflation=1, (1+OFFSET(AH555,0,-1))^(Параметры!AH$30/360), 1))</f>
        <v>1.0146738461686593</v>
      </c>
      <c r="AI557" s="193">
        <f ca="1">IF(AI$2=1,1,IF(Prj_Inflation=1, (1+OFFSET(AI555,0,-1))^(Параметры!AI$30/360), 1))</f>
        <v>1.0146738461686593</v>
      </c>
      <c r="AJ557" s="193">
        <f ca="1">IF(AJ$2=1,1,IF(Prj_Inflation=1, (1+OFFSET(AJ555,0,-1))^(Параметры!AJ$30/360), 1))</f>
        <v>1.0146738461686593</v>
      </c>
      <c r="AK557" s="193">
        <f ca="1">IF(AK$2=1,1,IF(Prj_Inflation=1, (1+OFFSET(AK555,0,-1))^(Параметры!AK$30/360), 1))</f>
        <v>1.0146738461686593</v>
      </c>
      <c r="AL557" s="193">
        <f ca="1">IF(AL$2=1,1,IF(Prj_Inflation=1, (1+OFFSET(AL555,0,-1))^(Параметры!AL$30/360), 1))</f>
        <v>1.0146738461686593</v>
      </c>
      <c r="AM557" s="193">
        <f ca="1">IF(AM$2=1,1,IF(Prj_Inflation=1, (1+OFFSET(AM555,0,-1))^(Параметры!AM$30/360), 1))</f>
        <v>1.0146738461686593</v>
      </c>
      <c r="AN557" s="193">
        <f ca="1">IF(AN$2=1,1,IF(Prj_Inflation=1, (1+OFFSET(AN555,0,-1))^(Параметры!AN$30/360), 1))</f>
        <v>1.0146738461686593</v>
      </c>
      <c r="AO557" s="193">
        <f ca="1">IF(AO$2=1,1,IF(Prj_Inflation=1, (1+OFFSET(AO555,0,-1))^(Параметры!AO$30/360), 1))</f>
        <v>1.0146738461686593</v>
      </c>
      <c r="AP557" s="193">
        <f ca="1">IF(AP$2=1,1,IF(Prj_Inflation=1, (1+OFFSET(AP555,0,-1))^(Параметры!AP$30/360), 1))</f>
        <v>1.0146738461686593</v>
      </c>
      <c r="AQ557" s="193">
        <f ca="1">IF(AQ$2=1,1,IF(Prj_Inflation=1, (1+OFFSET(AQ555,0,-1))^(Параметры!AQ$30/360), 1))</f>
        <v>1.0146738461686593</v>
      </c>
      <c r="AR557" s="193">
        <f ca="1">IF(AR$2=1,1,IF(Prj_Inflation=1, (1+OFFSET(AR555,0,-1))^(Параметры!AR$30/360), 1))</f>
        <v>1.0146738461686593</v>
      </c>
      <c r="AS557" s="193">
        <f ca="1">IF(AS$2=1,1,IF(Prj_Inflation=1, (1+OFFSET(AS555,0,-1))^(Параметры!AS$30/360), 1))</f>
        <v>1.0146738461686593</v>
      </c>
      <c r="AT557" s="193">
        <f ca="1">IF(AT$2=1,1,IF(Prj_Inflation=1, (1+OFFSET(AT555,0,-1))^(Параметры!AT$30/360), 1))</f>
        <v>1.0146738461686593</v>
      </c>
      <c r="AU557" s="193">
        <f ca="1">IF(AU$2=1,1,IF(Prj_Inflation=1, (1+OFFSET(AU555,0,-1))^(Параметры!AU$30/360), 1))</f>
        <v>1.0146738461686593</v>
      </c>
      <c r="AV557" s="193">
        <f ca="1">IF(AV$2=1,1,IF(Prj_Inflation=1, (1+OFFSET(AV555,0,-1))^(Параметры!AV$30/360), 1))</f>
        <v>1.0146738461686593</v>
      </c>
      <c r="AW557" s="193"/>
      <c r="AX557" s="182"/>
    </row>
    <row r="558" spans="1:50" hidden="1" outlineLevel="1" x14ac:dyDescent="0.2">
      <c r="A558" s="179" t="str">
        <f ca="1">Language!A$737</f>
        <v>расчет затрат с учетом инфляции, без НДС</v>
      </c>
      <c r="B558" s="52"/>
      <c r="C558" s="82" t="str">
        <f ca="1">CHOOSE(D558,CurName1,CurName2,CurName3)</f>
        <v>тыс. руб.</v>
      </c>
      <c r="D558" s="155">
        <f>D552</f>
        <v>1</v>
      </c>
      <c r="F558" s="57" t="s">
        <v>753</v>
      </c>
      <c r="G558" s="180">
        <f t="shared" ref="G558:AV558" ca="1" si="2792">IF(G$2=1,$B554,F558)*G557</f>
        <v>7000</v>
      </c>
      <c r="H558" s="180">
        <f t="shared" ca="1" si="2792"/>
        <v>7102.7169231806147</v>
      </c>
      <c r="I558" s="180">
        <f t="shared" ca="1" si="2792"/>
        <v>7206.9410986908997</v>
      </c>
      <c r="J558" s="180">
        <f t="shared" ca="1" si="2792"/>
        <v>7312.6946437196784</v>
      </c>
      <c r="K558" s="180">
        <f t="shared" ca="1" si="2792"/>
        <v>7420</v>
      </c>
      <c r="L558" s="180">
        <f t="shared" ca="1" si="2792"/>
        <v>7528.8799385714519</v>
      </c>
      <c r="M558" s="180">
        <f t="shared" ca="1" si="2792"/>
        <v>7639.3575646123545</v>
      </c>
      <c r="N558" s="180">
        <f t="shared" ca="1" si="2792"/>
        <v>7751.4563223428595</v>
      </c>
      <c r="O558" s="180">
        <f t="shared" ca="1" si="2792"/>
        <v>7865.2</v>
      </c>
      <c r="P558" s="180">
        <f t="shared" ca="1" si="2792"/>
        <v>7980.612734885739</v>
      </c>
      <c r="Q558" s="180">
        <f t="shared" ca="1" si="2792"/>
        <v>8097.719018489096</v>
      </c>
      <c r="R558" s="180">
        <f t="shared" ca="1" si="2792"/>
        <v>8216.5437016834312</v>
      </c>
      <c r="S558" s="180">
        <f t="shared" ca="1" si="2792"/>
        <v>8337.112000000001</v>
      </c>
      <c r="T558" s="180">
        <f t="shared" ca="1" si="2792"/>
        <v>8459.4494989788836</v>
      </c>
      <c r="U558" s="180">
        <f t="shared" ca="1" si="2792"/>
        <v>8583.5821595984416</v>
      </c>
      <c r="V558" s="180">
        <f t="shared" ca="1" si="2792"/>
        <v>8709.5363237844376</v>
      </c>
      <c r="W558" s="180">
        <f t="shared" ca="1" si="2792"/>
        <v>8837.3387200000016</v>
      </c>
      <c r="X558" s="180">
        <f t="shared" ca="1" si="2792"/>
        <v>8967.0164689176181</v>
      </c>
      <c r="Y558" s="180">
        <f t="shared" ca="1" si="2792"/>
        <v>9098.5970891743491</v>
      </c>
      <c r="Z558" s="180">
        <f t="shared" ca="1" si="2792"/>
        <v>9232.1085032115043</v>
      </c>
      <c r="AA558" s="180">
        <f t="shared" ca="1" si="2792"/>
        <v>9367.5790432000013</v>
      </c>
      <c r="AB558" s="180">
        <f t="shared" ca="1" si="2792"/>
        <v>9505.0374570526747</v>
      </c>
      <c r="AC558" s="180">
        <f t="shared" ca="1" si="2792"/>
        <v>9644.5129145248102</v>
      </c>
      <c r="AD558" s="180">
        <f t="shared" ca="1" si="2792"/>
        <v>9786.0350134041946</v>
      </c>
      <c r="AE558" s="180">
        <f t="shared" ca="1" si="2792"/>
        <v>9929.6337857920007</v>
      </c>
      <c r="AF558" s="180">
        <f t="shared" ca="1" si="2792"/>
        <v>10075.339704475835</v>
      </c>
      <c r="AG558" s="180">
        <f t="shared" ca="1" si="2792"/>
        <v>10223.183689396299</v>
      </c>
      <c r="AH558" s="180">
        <f t="shared" ca="1" si="2792"/>
        <v>10373.197114208448</v>
      </c>
      <c r="AI558" s="180">
        <f t="shared" ca="1" si="2792"/>
        <v>10525.411812939523</v>
      </c>
      <c r="AJ558" s="180">
        <f t="shared" ca="1" si="2792"/>
        <v>10679.860086744387</v>
      </c>
      <c r="AK558" s="180">
        <f t="shared" ca="1" si="2792"/>
        <v>10836.574710760078</v>
      </c>
      <c r="AL558" s="180">
        <f t="shared" ca="1" si="2792"/>
        <v>10995.588941060956</v>
      </c>
      <c r="AM558" s="180">
        <f t="shared" ca="1" si="2792"/>
        <v>11156.936521715896</v>
      </c>
      <c r="AN558" s="180">
        <f t="shared" ca="1" si="2792"/>
        <v>11320.651691949051</v>
      </c>
      <c r="AO558" s="180">
        <f t="shared" ca="1" si="2792"/>
        <v>11486.769193405684</v>
      </c>
      <c r="AP558" s="180">
        <f t="shared" ca="1" si="2792"/>
        <v>11655.324277524613</v>
      </c>
      <c r="AQ558" s="180">
        <f t="shared" ca="1" si="2792"/>
        <v>11826.352713018849</v>
      </c>
      <c r="AR558" s="180">
        <f t="shared" ca="1" si="2792"/>
        <v>11999.890793465993</v>
      </c>
      <c r="AS558" s="180">
        <f t="shared" ca="1" si="2792"/>
        <v>12175.975345010023</v>
      </c>
      <c r="AT558" s="180">
        <f t="shared" ca="1" si="2792"/>
        <v>12354.643734176088</v>
      </c>
      <c r="AU558" s="180">
        <f t="shared" ca="1" si="2792"/>
        <v>12535.933875799979</v>
      </c>
      <c r="AV558" s="180">
        <f t="shared" ca="1" si="2792"/>
        <v>12719.884241073953</v>
      </c>
      <c r="AW558" s="180"/>
      <c r="AX558" s="189">
        <f ca="1">SUM(G558:AW558)</f>
        <v>402521.17937054066</v>
      </c>
    </row>
    <row r="559" spans="1:50" hidden="1" outlineLevel="1" x14ac:dyDescent="0.2">
      <c r="A559" s="167" t="str">
        <f ca="1">Language!A$738</f>
        <v>НДС начисленный</v>
      </c>
      <c r="B559" s="56"/>
      <c r="C559" s="103" t="str">
        <f ca="1">CHOOSE(D559,CurName1,CurName2,CurName3)</f>
        <v>тыс. руб.</v>
      </c>
      <c r="D559" s="155">
        <f>D552</f>
        <v>1</v>
      </c>
      <c r="E559" s="57" t="s">
        <v>789</v>
      </c>
      <c r="F559" s="57" t="s">
        <v>753</v>
      </c>
      <c r="G559" s="194">
        <f ca="1">G554*G556</f>
        <v>1260</v>
      </c>
      <c r="H559" s="194">
        <f t="shared" ref="H559:AV559" ca="1" si="2793">H554*H556</f>
        <v>1278.4890461725106</v>
      </c>
      <c r="I559" s="194">
        <f t="shared" ca="1" si="2793"/>
        <v>1297.2493977643619</v>
      </c>
      <c r="J559" s="194">
        <f t="shared" ca="1" si="2793"/>
        <v>1316.2850358695421</v>
      </c>
      <c r="K559" s="194">
        <f t="shared" ca="1" si="2793"/>
        <v>1335.6</v>
      </c>
      <c r="L559" s="194">
        <f t="shared" ca="1" si="2793"/>
        <v>1355.1983889428614</v>
      </c>
      <c r="M559" s="194">
        <f t="shared" ca="1" si="2793"/>
        <v>1375.0843616302238</v>
      </c>
      <c r="N559" s="194">
        <f t="shared" ca="1" si="2793"/>
        <v>1395.2621380217147</v>
      </c>
      <c r="O559" s="194">
        <f t="shared" ca="1" si="2793"/>
        <v>1415.7359999999999</v>
      </c>
      <c r="P559" s="194">
        <f t="shared" ca="1" si="2793"/>
        <v>1436.5102922794329</v>
      </c>
      <c r="Q559" s="194">
        <f t="shared" ca="1" si="2793"/>
        <v>1457.5894233280371</v>
      </c>
      <c r="R559" s="194">
        <f t="shared" ca="1" si="2793"/>
        <v>1478.9778663030177</v>
      </c>
      <c r="S559" s="194">
        <f t="shared" ca="1" si="2793"/>
        <v>1500.6801600000001</v>
      </c>
      <c r="T559" s="194">
        <f t="shared" ca="1" si="2793"/>
        <v>1522.7009098161991</v>
      </c>
      <c r="U559" s="194">
        <f t="shared" ca="1" si="2793"/>
        <v>1545.0447887277194</v>
      </c>
      <c r="V559" s="194">
        <f t="shared" ca="1" si="2793"/>
        <v>1567.7165382811986</v>
      </c>
      <c r="W559" s="194">
        <f t="shared" ca="1" si="2793"/>
        <v>1590.7209696000002</v>
      </c>
      <c r="X559" s="194">
        <f t="shared" ca="1" si="2793"/>
        <v>1614.0629644051712</v>
      </c>
      <c r="Y559" s="194">
        <f t="shared" ca="1" si="2793"/>
        <v>1637.7474760513828</v>
      </c>
      <c r="Z559" s="194">
        <f t="shared" ca="1" si="2793"/>
        <v>1661.7795305780708</v>
      </c>
      <c r="AA559" s="194">
        <f t="shared" ca="1" si="2793"/>
        <v>1686.1642277760002</v>
      </c>
      <c r="AB559" s="194">
        <f t="shared" ca="1" si="2793"/>
        <v>1710.9067422694814</v>
      </c>
      <c r="AC559" s="194">
        <f t="shared" ca="1" si="2793"/>
        <v>1736.0123246144658</v>
      </c>
      <c r="AD559" s="194">
        <f t="shared" ca="1" si="2793"/>
        <v>1761.4863024127549</v>
      </c>
      <c r="AE559" s="194">
        <f t="shared" ca="1" si="2793"/>
        <v>1787.3340814425601</v>
      </c>
      <c r="AF559" s="194">
        <f t="shared" ca="1" si="2793"/>
        <v>1813.5611468056502</v>
      </c>
      <c r="AG559" s="194">
        <f t="shared" ca="1" si="2793"/>
        <v>1840.1730640913338</v>
      </c>
      <c r="AH559" s="194">
        <f t="shared" ca="1" si="2793"/>
        <v>1867.1754805575206</v>
      </c>
      <c r="AI559" s="194">
        <f t="shared" ca="1" si="2793"/>
        <v>1894.5741263291141</v>
      </c>
      <c r="AJ559" s="194">
        <f t="shared" ca="1" si="2793"/>
        <v>1922.3748156139898</v>
      </c>
      <c r="AK559" s="194">
        <f t="shared" ca="1" si="2793"/>
        <v>1950.5834479368141</v>
      </c>
      <c r="AL559" s="194">
        <f t="shared" ca="1" si="2793"/>
        <v>1979.206009390972</v>
      </c>
      <c r="AM559" s="194">
        <f t="shared" ca="1" si="2793"/>
        <v>2008.2485739088611</v>
      </c>
      <c r="AN559" s="194">
        <f t="shared" ca="1" si="2793"/>
        <v>2037.7173045508291</v>
      </c>
      <c r="AO559" s="194">
        <f t="shared" ca="1" si="2793"/>
        <v>2067.6184548130232</v>
      </c>
      <c r="AP559" s="194">
        <f t="shared" ca="1" si="2793"/>
        <v>2097.9583699544301</v>
      </c>
      <c r="AQ559" s="194">
        <f t="shared" ca="1" si="2793"/>
        <v>2128.7434883433925</v>
      </c>
      <c r="AR559" s="194">
        <f t="shared" ca="1" si="2793"/>
        <v>2159.9803428238788</v>
      </c>
      <c r="AS559" s="194">
        <f t="shared" ca="1" si="2793"/>
        <v>2191.6755621018042</v>
      </c>
      <c r="AT559" s="194">
        <f t="shared" ca="1" si="2793"/>
        <v>2223.8358721516956</v>
      </c>
      <c r="AU559" s="194">
        <f t="shared" ca="1" si="2793"/>
        <v>2256.4680976439963</v>
      </c>
      <c r="AV559" s="194">
        <f t="shared" ca="1" si="2793"/>
        <v>2289.5791633933113</v>
      </c>
      <c r="AW559" s="194"/>
      <c r="AX559" s="189">
        <f ca="1">SUM(G559:AW559)</f>
        <v>72453.812286697343</v>
      </c>
    </row>
    <row r="560" spans="1:50" x14ac:dyDescent="0.2">
      <c r="AW560" s="94"/>
    </row>
    <row r="561" spans="1:50" x14ac:dyDescent="0.2">
      <c r="A561" s="203" t="str">
        <f ca="1">Language!A$749</f>
        <v>Коммерческие издержки</v>
      </c>
      <c r="B561" s="51"/>
      <c r="C561" s="51"/>
      <c r="D561" s="68"/>
      <c r="E561" s="68" t="s">
        <v>743</v>
      </c>
      <c r="F561" s="68" t="s">
        <v>2228</v>
      </c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112"/>
      <c r="AX561" s="149"/>
    </row>
    <row r="562" spans="1:50" x14ac:dyDescent="0.2">
      <c r="AW562" s="94"/>
    </row>
    <row r="563" spans="1:50" x14ac:dyDescent="0.2">
      <c r="A563" s="317" t="s">
        <v>2339</v>
      </c>
      <c r="B563" s="198"/>
      <c r="C563" s="146"/>
      <c r="D563" s="66">
        <v>1</v>
      </c>
      <c r="F563" s="57" t="s">
        <v>2337</v>
      </c>
      <c r="G563" s="199"/>
      <c r="H563" s="199"/>
      <c r="I563" s="199"/>
      <c r="J563" s="199"/>
      <c r="K563" s="199"/>
      <c r="L563" s="199"/>
      <c r="M563" s="199"/>
      <c r="N563" s="199"/>
      <c r="O563" s="199"/>
      <c r="P563" s="199"/>
      <c r="Q563" s="199"/>
      <c r="R563" s="199"/>
      <c r="S563" s="199"/>
      <c r="T563" s="199"/>
      <c r="U563" s="199"/>
      <c r="V563" s="199"/>
      <c r="W563" s="199"/>
      <c r="X563" s="199"/>
      <c r="Y563" s="199"/>
      <c r="Z563" s="199"/>
      <c r="AA563" s="199"/>
      <c r="AB563" s="199"/>
      <c r="AC563" s="199"/>
      <c r="AD563" s="199"/>
      <c r="AE563" s="199"/>
      <c r="AF563" s="199"/>
      <c r="AG563" s="199"/>
      <c r="AH563" s="199"/>
      <c r="AI563" s="199"/>
      <c r="AJ563" s="199"/>
      <c r="AK563" s="199"/>
      <c r="AL563" s="199"/>
      <c r="AM563" s="199"/>
      <c r="AN563" s="199"/>
      <c r="AO563" s="199"/>
      <c r="AP563" s="199"/>
      <c r="AQ563" s="199"/>
      <c r="AR563" s="199"/>
      <c r="AS563" s="199"/>
      <c r="AT563" s="199"/>
      <c r="AU563" s="199"/>
      <c r="AV563" s="199"/>
      <c r="AW563" s="199"/>
    </row>
    <row r="564" spans="1:50" x14ac:dyDescent="0.2">
      <c r="A564" s="172" t="str">
        <f ca="1">Language!A$731</f>
        <v>период появления затрат</v>
      </c>
      <c r="B564" s="313">
        <f>Prj_Invest+1</f>
        <v>1</v>
      </c>
      <c r="C564" s="146" t="str">
        <f ca="1">Language!$A$1452</f>
        <v>период</v>
      </c>
      <c r="D564" s="15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87"/>
    </row>
    <row r="565" spans="1:50" collapsed="1" x14ac:dyDescent="0.2">
      <c r="A565" s="172" t="str">
        <f ca="1">Language!A$732&amp;" ("&amp;Параметры!B$19&amp;"), "&amp;Language!A$733</f>
        <v>затраты за период (квартал), без НДС</v>
      </c>
      <c r="B565" s="313">
        <v>5000</v>
      </c>
      <c r="C565" s="146" t="str">
        <f t="shared" ref="C565" ca="1" si="2794">CHOOSE(D565,CurName1,CurName2,CurName3)</f>
        <v>тыс. руб.</v>
      </c>
      <c r="D565" s="158">
        <f>D563</f>
        <v>1</v>
      </c>
      <c r="E565" s="57" t="s">
        <v>758</v>
      </c>
      <c r="F565" s="57" t="s">
        <v>753</v>
      </c>
      <c r="G565" s="327">
        <f ca="1">IF(G$2&gt;=$B564,G569,0)*Параметры!G$33</f>
        <v>5000</v>
      </c>
      <c r="H565" s="327">
        <f ca="1">IF(H$2&gt;=$B564,H569,0)*Параметры!H$33</f>
        <v>5073.3692308432965</v>
      </c>
      <c r="I565" s="327">
        <f ca="1">IF(I$2&gt;=$B564,I569,0)*Параметры!I$33</f>
        <v>5147.8150704935006</v>
      </c>
      <c r="J565" s="327">
        <f ca="1">IF(J$2&gt;=$B564,J569,0)*Параметры!J$33</f>
        <v>5223.3533169426282</v>
      </c>
      <c r="K565" s="327">
        <f ca="1">IF(K$2&gt;=$B564,K569,0)*Параметры!K$33</f>
        <v>5300.0000000000009</v>
      </c>
      <c r="L565" s="327">
        <f ca="1">IF(L$2&gt;=$B564,L569,0)*Параметры!L$33</f>
        <v>5377.771384693895</v>
      </c>
      <c r="M565" s="327">
        <f ca="1">IF(M$2&gt;=$B564,M569,0)*Параметры!M$33</f>
        <v>5456.6839747231115</v>
      </c>
      <c r="N565" s="327">
        <f ca="1">IF(N$2&gt;=$B564,N569,0)*Параметры!N$33</f>
        <v>5536.7545159591873</v>
      </c>
      <c r="O565" s="327">
        <f ca="1">IF(O$2&gt;=$B564,O569,0)*Параметры!O$33</f>
        <v>5618.0000000000018</v>
      </c>
      <c r="P565" s="327">
        <f ca="1">IF(P$2&gt;=$B564,P569,0)*Параметры!P$33</f>
        <v>5700.4376677755299</v>
      </c>
      <c r="Q565" s="327">
        <f ca="1">IF(Q$2&gt;=$B564,Q569,0)*Параметры!Q$33</f>
        <v>5784.0850132064988</v>
      </c>
      <c r="R565" s="327">
        <f ca="1">IF(R$2&gt;=$B564,R569,0)*Параметры!R$33</f>
        <v>5868.9597869167383</v>
      </c>
      <c r="S565" s="327">
        <f ca="1">IF(S$2&gt;=$B564,S569,0)*Параметры!S$33</f>
        <v>5955.0800000000017</v>
      </c>
      <c r="T565" s="327">
        <f ca="1">IF(T$2&gt;=$B564,T569,0)*Параметры!T$33</f>
        <v>6042.4639278420618</v>
      </c>
      <c r="U565" s="327">
        <f ca="1">IF(U$2&gt;=$B564,U569,0)*Параметры!U$33</f>
        <v>6131.1301139988891</v>
      </c>
      <c r="V565" s="327">
        <f ca="1">IF(V$2&gt;=$B564,V569,0)*Параметры!V$33</f>
        <v>6221.097374131743</v>
      </c>
      <c r="W565" s="327">
        <f ca="1">IF(W$2&gt;=$B564,W569,0)*Параметры!W$33</f>
        <v>6312.3848000000025</v>
      </c>
      <c r="X565" s="327">
        <f ca="1">IF(X$2&gt;=$B564,X569,0)*Параметры!X$33</f>
        <v>6405.0117635125862</v>
      </c>
      <c r="Y565" s="327">
        <f ca="1">IF(Y$2&gt;=$B564,Y569,0)*Параметры!Y$33</f>
        <v>6498.9979208388231</v>
      </c>
      <c r="Z565" s="327">
        <f ca="1">IF(Z$2&gt;=$B564,Z569,0)*Параметры!Z$33</f>
        <v>6594.3632165796489</v>
      </c>
      <c r="AA565" s="327">
        <f ca="1">IF(AA$2&gt;=$B564,AA569,0)*Параметры!AA$33</f>
        <v>6691.1278880000036</v>
      </c>
      <c r="AB565" s="327">
        <f ca="1">IF(AB$2&gt;=$B564,AB569,0)*Параметры!AB$33</f>
        <v>6789.3124693233422</v>
      </c>
      <c r="AC565" s="327">
        <f ca="1">IF(AC$2&gt;=$B564,AC569,0)*Параметры!AC$33</f>
        <v>6888.9377960891534</v>
      </c>
      <c r="AD565" s="327">
        <f ca="1">IF(AD$2&gt;=$B564,AD569,0)*Параметры!AD$33</f>
        <v>6990.0250095744286</v>
      </c>
      <c r="AE565" s="327">
        <f ca="1">IF(AE$2&gt;=$B564,AE569,0)*Параметры!AE$33</f>
        <v>7092.5955612800053</v>
      </c>
      <c r="AF565" s="327">
        <f ca="1">IF(AF$2&gt;=$B564,AF569,0)*Параметры!AF$33</f>
        <v>7196.6712174827435</v>
      </c>
      <c r="AG565" s="327">
        <f ca="1">IF(AG$2&gt;=$B564,AG569,0)*Параметры!AG$33</f>
        <v>7302.2740638545029</v>
      </c>
      <c r="AH565" s="327">
        <f ca="1">IF(AH$2&gt;=$B564,AH569,0)*Параметры!AH$33</f>
        <v>7409.4265101488945</v>
      </c>
      <c r="AI565" s="327">
        <f ca="1">IF(AI$2&gt;=$B564,AI569,0)*Параметры!AI$33</f>
        <v>7518.1512949568059</v>
      </c>
      <c r="AJ565" s="327">
        <f ca="1">IF(AJ$2&gt;=$B564,AJ569,0)*Параметры!AJ$33</f>
        <v>7628.4714905317087</v>
      </c>
      <c r="AK565" s="327">
        <f ca="1">IF(AK$2&gt;=$B564,AK569,0)*Параметры!AK$33</f>
        <v>7740.4105076857741</v>
      </c>
      <c r="AL565" s="327">
        <f ca="1">IF(AL$2&gt;=$B564,AL569,0)*Параметры!AL$33</f>
        <v>7853.9921007578296</v>
      </c>
      <c r="AM565" s="327">
        <f ca="1">IF(AM$2&gt;=$B564,AM569,0)*Параметры!AM$33</f>
        <v>7969.2403726542152</v>
      </c>
      <c r="AN565" s="327">
        <f ca="1">IF(AN$2&gt;=$B564,AN569,0)*Параметры!AN$33</f>
        <v>8086.1797799636124</v>
      </c>
      <c r="AO565" s="327">
        <f ca="1">IF(AO$2&gt;=$B564,AO569,0)*Параметры!AO$33</f>
        <v>8204.835138146922</v>
      </c>
      <c r="AP565" s="327">
        <f ca="1">IF(AP$2&gt;=$B564,AP569,0)*Параметры!AP$33</f>
        <v>8325.231626803301</v>
      </c>
      <c r="AQ565" s="327">
        <f ca="1">IF(AQ$2&gt;=$B564,AQ569,0)*Параметры!AQ$33</f>
        <v>8447.3947950134698</v>
      </c>
      <c r="AR565" s="327">
        <f ca="1">IF(AR$2&gt;=$B564,AR569,0)*Параметры!AR$33</f>
        <v>8571.3505667614299</v>
      </c>
      <c r="AS565" s="327">
        <f ca="1">IF(AS$2&gt;=$B564,AS569,0)*Параметры!AS$33</f>
        <v>8697.1252464357385</v>
      </c>
      <c r="AT565" s="327">
        <f ca="1">IF(AT$2&gt;=$B564,AT569,0)*Параметры!AT$33</f>
        <v>8824.745524411499</v>
      </c>
      <c r="AU565" s="327">
        <f ca="1">IF(AU$2&gt;=$B564,AU569,0)*Параметры!AU$33</f>
        <v>8954.2384827142778</v>
      </c>
      <c r="AV565" s="327">
        <f ca="1">IF(AV$2&gt;=$B564,AV569,0)*Параметры!AV$33</f>
        <v>9085.6316007671157</v>
      </c>
      <c r="AW565" s="148"/>
      <c r="AX565" s="171">
        <f ca="1">SUM(G565:AW565)</f>
        <v>287515.12812181492</v>
      </c>
    </row>
    <row r="566" spans="1:50" hidden="1" outlineLevel="1" x14ac:dyDescent="0.2">
      <c r="A566" s="167" t="str">
        <f ca="1">Language!A$734</f>
        <v>темп изменения цен</v>
      </c>
      <c r="B566" s="202"/>
      <c r="C566" s="103" t="str">
        <f ca="1">Language!$A$471</f>
        <v>% в год</v>
      </c>
      <c r="D566" s="153"/>
      <c r="F566" s="57" t="s">
        <v>756</v>
      </c>
      <c r="G566" s="324">
        <f>CHOOSE($D565,Параметры!G$49,Параметры!G$56,Параметры!G$62)</f>
        <v>0.06</v>
      </c>
      <c r="H566" s="324">
        <f>CHOOSE($D565,Параметры!H$49,Параметры!H$56,Параметры!H$62)</f>
        <v>0.06</v>
      </c>
      <c r="I566" s="324">
        <f>CHOOSE($D565,Параметры!I$49,Параметры!I$56,Параметры!I$62)</f>
        <v>0.06</v>
      </c>
      <c r="J566" s="324">
        <f>CHOOSE($D565,Параметры!J$49,Параметры!J$56,Параметры!J$62)</f>
        <v>0.06</v>
      </c>
      <c r="K566" s="324">
        <f>CHOOSE($D565,Параметры!K$49,Параметры!K$56,Параметры!K$62)</f>
        <v>0.06</v>
      </c>
      <c r="L566" s="324">
        <f>CHOOSE($D565,Параметры!L$49,Параметры!L$56,Параметры!L$62)</f>
        <v>0.06</v>
      </c>
      <c r="M566" s="324">
        <f>CHOOSE($D565,Параметры!M$49,Параметры!M$56,Параметры!M$62)</f>
        <v>0.06</v>
      </c>
      <c r="N566" s="324">
        <f>CHOOSE($D565,Параметры!N$49,Параметры!N$56,Параметры!N$62)</f>
        <v>0.06</v>
      </c>
      <c r="O566" s="324">
        <f>CHOOSE($D565,Параметры!O$49,Параметры!O$56,Параметры!O$62)</f>
        <v>0.06</v>
      </c>
      <c r="P566" s="324">
        <f>CHOOSE($D565,Параметры!P$49,Параметры!P$56,Параметры!P$62)</f>
        <v>0.06</v>
      </c>
      <c r="Q566" s="324">
        <f>CHOOSE($D565,Параметры!Q$49,Параметры!Q$56,Параметры!Q$62)</f>
        <v>0.06</v>
      </c>
      <c r="R566" s="324">
        <f>CHOOSE($D565,Параметры!R$49,Параметры!R$56,Параметры!R$62)</f>
        <v>0.06</v>
      </c>
      <c r="S566" s="324">
        <f>CHOOSE($D565,Параметры!S$49,Параметры!S$56,Параметры!S$62)</f>
        <v>0.06</v>
      </c>
      <c r="T566" s="324">
        <f>CHOOSE($D565,Параметры!T$49,Параметры!T$56,Параметры!T$62)</f>
        <v>0.06</v>
      </c>
      <c r="U566" s="324">
        <f>CHOOSE($D565,Параметры!U$49,Параметры!U$56,Параметры!U$62)</f>
        <v>0.06</v>
      </c>
      <c r="V566" s="324">
        <f>CHOOSE($D565,Параметры!V$49,Параметры!V$56,Параметры!V$62)</f>
        <v>0.06</v>
      </c>
      <c r="W566" s="324">
        <f>CHOOSE($D565,Параметры!W$49,Параметры!W$56,Параметры!W$62)</f>
        <v>0.06</v>
      </c>
      <c r="X566" s="324">
        <f>CHOOSE($D565,Параметры!X$49,Параметры!X$56,Параметры!X$62)</f>
        <v>0.06</v>
      </c>
      <c r="Y566" s="324">
        <f>CHOOSE($D565,Параметры!Y$49,Параметры!Y$56,Параметры!Y$62)</f>
        <v>0.06</v>
      </c>
      <c r="Z566" s="324">
        <f>CHOOSE($D565,Параметры!Z$49,Параметры!Z$56,Параметры!Z$62)</f>
        <v>0.06</v>
      </c>
      <c r="AA566" s="324">
        <f>CHOOSE($D565,Параметры!AA$49,Параметры!AA$56,Параметры!AA$62)</f>
        <v>0.06</v>
      </c>
      <c r="AB566" s="324">
        <f>CHOOSE($D565,Параметры!AB$49,Параметры!AB$56,Параметры!AB$62)</f>
        <v>0.06</v>
      </c>
      <c r="AC566" s="324">
        <f>CHOOSE($D565,Параметры!AC$49,Параметры!AC$56,Параметры!AC$62)</f>
        <v>0.06</v>
      </c>
      <c r="AD566" s="324">
        <f>CHOOSE($D565,Параметры!AD$49,Параметры!AD$56,Параметры!AD$62)</f>
        <v>0.06</v>
      </c>
      <c r="AE566" s="324">
        <f>CHOOSE($D565,Параметры!AE$49,Параметры!AE$56,Параметры!AE$62)</f>
        <v>0.06</v>
      </c>
      <c r="AF566" s="324">
        <f>CHOOSE($D565,Параметры!AF$49,Параметры!AF$56,Параметры!AF$62)</f>
        <v>0.06</v>
      </c>
      <c r="AG566" s="324">
        <f>CHOOSE($D565,Параметры!AG$49,Параметры!AG$56,Параметры!AG$62)</f>
        <v>0.06</v>
      </c>
      <c r="AH566" s="324">
        <f>CHOOSE($D565,Параметры!AH$49,Параметры!AH$56,Параметры!AH$62)</f>
        <v>0.06</v>
      </c>
      <c r="AI566" s="324">
        <f>CHOOSE($D565,Параметры!AI$49,Параметры!AI$56,Параметры!AI$62)</f>
        <v>0.06</v>
      </c>
      <c r="AJ566" s="324">
        <f>CHOOSE($D565,Параметры!AJ$49,Параметры!AJ$56,Параметры!AJ$62)</f>
        <v>0.06</v>
      </c>
      <c r="AK566" s="324">
        <f>CHOOSE($D565,Параметры!AK$49,Параметры!AK$56,Параметры!AK$62)</f>
        <v>0.06</v>
      </c>
      <c r="AL566" s="324">
        <f>CHOOSE($D565,Параметры!AL$49,Параметры!AL$56,Параметры!AL$62)</f>
        <v>0.06</v>
      </c>
      <c r="AM566" s="324">
        <f>CHOOSE($D565,Параметры!AM$49,Параметры!AM$56,Параметры!AM$62)</f>
        <v>0.06</v>
      </c>
      <c r="AN566" s="324">
        <f>CHOOSE($D565,Параметры!AN$49,Параметры!AN$56,Параметры!AN$62)</f>
        <v>0.06</v>
      </c>
      <c r="AO566" s="324">
        <f>CHOOSE($D565,Параметры!AO$49,Параметры!AO$56,Параметры!AO$62)</f>
        <v>0.06</v>
      </c>
      <c r="AP566" s="324">
        <f>CHOOSE($D565,Параметры!AP$49,Параметры!AP$56,Параметры!AP$62)</f>
        <v>0.06</v>
      </c>
      <c r="AQ566" s="324">
        <f>CHOOSE($D565,Параметры!AQ$49,Параметры!AQ$56,Параметры!AQ$62)</f>
        <v>0.06</v>
      </c>
      <c r="AR566" s="324">
        <f>CHOOSE($D565,Параметры!AR$49,Параметры!AR$56,Параметры!AR$62)</f>
        <v>0.06</v>
      </c>
      <c r="AS566" s="324">
        <f>CHOOSE($D565,Параметры!AS$49,Параметры!AS$56,Параметры!AS$62)</f>
        <v>0.06</v>
      </c>
      <c r="AT566" s="324">
        <f>CHOOSE($D565,Параметры!AT$49,Параметры!AT$56,Параметры!AT$62)</f>
        <v>0.06</v>
      </c>
      <c r="AU566" s="324">
        <f>CHOOSE($D565,Параметры!AU$49,Параметры!AU$56,Параметры!AU$62)</f>
        <v>0.06</v>
      </c>
      <c r="AV566" s="324">
        <f>CHOOSE($D565,Параметры!AV$49,Параметры!AV$56,Параметры!AV$62)</f>
        <v>0.06</v>
      </c>
      <c r="AW566" s="192"/>
      <c r="AX566" s="184"/>
    </row>
    <row r="567" spans="1:50" hidden="1" outlineLevel="1" x14ac:dyDescent="0.2">
      <c r="A567" s="167" t="str">
        <f ca="1">Language!A$735</f>
        <v>ставка НДС</v>
      </c>
      <c r="B567" s="202"/>
      <c r="C567" s="103" t="s">
        <v>1</v>
      </c>
      <c r="D567" s="155"/>
      <c r="F567" s="57" t="s">
        <v>756</v>
      </c>
      <c r="G567" s="324">
        <f>Параметры!G$72</f>
        <v>0.18</v>
      </c>
      <c r="H567" s="324">
        <f>Параметры!H$72</f>
        <v>0.18</v>
      </c>
      <c r="I567" s="324">
        <f>Параметры!I$72</f>
        <v>0.18</v>
      </c>
      <c r="J567" s="324">
        <f>Параметры!J$72</f>
        <v>0.18</v>
      </c>
      <c r="K567" s="324">
        <f>Параметры!K$72</f>
        <v>0.18</v>
      </c>
      <c r="L567" s="324">
        <f>Параметры!L$72</f>
        <v>0.18</v>
      </c>
      <c r="M567" s="324">
        <f>Параметры!M$72</f>
        <v>0.18</v>
      </c>
      <c r="N567" s="324">
        <f>Параметры!N$72</f>
        <v>0.18</v>
      </c>
      <c r="O567" s="324">
        <f>Параметры!O$72</f>
        <v>0.18</v>
      </c>
      <c r="P567" s="324">
        <f>Параметры!P$72</f>
        <v>0.18</v>
      </c>
      <c r="Q567" s="324">
        <f>Параметры!Q$72</f>
        <v>0.18</v>
      </c>
      <c r="R567" s="324">
        <f>Параметры!R$72</f>
        <v>0.18</v>
      </c>
      <c r="S567" s="324">
        <f>Параметры!S$72</f>
        <v>0.18</v>
      </c>
      <c r="T567" s="324">
        <f>Параметры!T$72</f>
        <v>0.18</v>
      </c>
      <c r="U567" s="324">
        <f>Параметры!U$72</f>
        <v>0.18</v>
      </c>
      <c r="V567" s="324">
        <f>Параметры!V$72</f>
        <v>0.18</v>
      </c>
      <c r="W567" s="324">
        <f>Параметры!W$72</f>
        <v>0.18</v>
      </c>
      <c r="X567" s="324">
        <f>Параметры!X$72</f>
        <v>0.18</v>
      </c>
      <c r="Y567" s="324">
        <f>Параметры!Y$72</f>
        <v>0.18</v>
      </c>
      <c r="Z567" s="324">
        <f>Параметры!Z$72</f>
        <v>0.18</v>
      </c>
      <c r="AA567" s="324">
        <f>Параметры!AA$72</f>
        <v>0.18</v>
      </c>
      <c r="AB567" s="324">
        <f>Параметры!AB$72</f>
        <v>0.18</v>
      </c>
      <c r="AC567" s="324">
        <f>Параметры!AC$72</f>
        <v>0.18</v>
      </c>
      <c r="AD567" s="324">
        <f>Параметры!AD$72</f>
        <v>0.18</v>
      </c>
      <c r="AE567" s="324">
        <f>Параметры!AE$72</f>
        <v>0.18</v>
      </c>
      <c r="AF567" s="324">
        <f>Параметры!AF$72</f>
        <v>0.18</v>
      </c>
      <c r="AG567" s="324">
        <f>Параметры!AG$72</f>
        <v>0.18</v>
      </c>
      <c r="AH567" s="324">
        <f>Параметры!AH$72</f>
        <v>0.18</v>
      </c>
      <c r="AI567" s="324">
        <f>Параметры!AI$72</f>
        <v>0.18</v>
      </c>
      <c r="AJ567" s="324">
        <f>Параметры!AJ$72</f>
        <v>0.18</v>
      </c>
      <c r="AK567" s="324">
        <f>Параметры!AK$72</f>
        <v>0.18</v>
      </c>
      <c r="AL567" s="324">
        <f>Параметры!AL$72</f>
        <v>0.18</v>
      </c>
      <c r="AM567" s="324">
        <f>Параметры!AM$72</f>
        <v>0.18</v>
      </c>
      <c r="AN567" s="324">
        <f>Параметры!AN$72</f>
        <v>0.18</v>
      </c>
      <c r="AO567" s="324">
        <f>Параметры!AO$72</f>
        <v>0.18</v>
      </c>
      <c r="AP567" s="324">
        <f>Параметры!AP$72</f>
        <v>0.18</v>
      </c>
      <c r="AQ567" s="324">
        <f>Параметры!AQ$72</f>
        <v>0.18</v>
      </c>
      <c r="AR567" s="324">
        <f>Параметры!AR$72</f>
        <v>0.18</v>
      </c>
      <c r="AS567" s="324">
        <f>Параметры!AS$72</f>
        <v>0.18</v>
      </c>
      <c r="AT567" s="324">
        <f>Параметры!AT$72</f>
        <v>0.18</v>
      </c>
      <c r="AU567" s="324">
        <f>Параметры!AU$72</f>
        <v>0.18</v>
      </c>
      <c r="AV567" s="324">
        <f>Параметры!AV$72</f>
        <v>0.18</v>
      </c>
      <c r="AW567" s="192"/>
      <c r="AX567" s="182"/>
    </row>
    <row r="568" spans="1:50" hidden="1" outlineLevel="1" x14ac:dyDescent="0.2">
      <c r="A568" s="167" t="str">
        <f ca="1">Language!A$736</f>
        <v>коэффициент изменения цен</v>
      </c>
      <c r="B568" s="202"/>
      <c r="C568" s="103" t="str">
        <f ca="1">Language!$A$1449</f>
        <v>раз</v>
      </c>
      <c r="D568" s="155"/>
      <c r="F568" s="57" t="s">
        <v>756</v>
      </c>
      <c r="G568" s="193">
        <f ca="1">IF(G$2=1,1,IF(Prj_Inflation=1, (1+OFFSET(G566,0,-1))^(Параметры!G$30/360), 1))</f>
        <v>1</v>
      </c>
      <c r="H568" s="193">
        <f ca="1">IF(H$2=1,1,IF(Prj_Inflation=1, (1+OFFSET(H566,0,-1))^(Параметры!H$30/360), 1))</f>
        <v>1.0146738461686593</v>
      </c>
      <c r="I568" s="193">
        <f ca="1">IF(I$2=1,1,IF(Prj_Inflation=1, (1+OFFSET(I566,0,-1))^(Параметры!I$30/360), 1))</f>
        <v>1.0146738461686593</v>
      </c>
      <c r="J568" s="193">
        <f ca="1">IF(J$2=1,1,IF(Prj_Inflation=1, (1+OFFSET(J566,0,-1))^(Параметры!J$30/360), 1))</f>
        <v>1.0146738461686593</v>
      </c>
      <c r="K568" s="193">
        <f ca="1">IF(K$2=1,1,IF(Prj_Inflation=1, (1+OFFSET(K566,0,-1))^(Параметры!K$30/360), 1))</f>
        <v>1.0146738461686593</v>
      </c>
      <c r="L568" s="193">
        <f ca="1">IF(L$2=1,1,IF(Prj_Inflation=1, (1+OFFSET(L566,0,-1))^(Параметры!L$30/360), 1))</f>
        <v>1.0146738461686593</v>
      </c>
      <c r="M568" s="193">
        <f ca="1">IF(M$2=1,1,IF(Prj_Inflation=1, (1+OFFSET(M566,0,-1))^(Параметры!M$30/360), 1))</f>
        <v>1.0146738461686593</v>
      </c>
      <c r="N568" s="193">
        <f ca="1">IF(N$2=1,1,IF(Prj_Inflation=1, (1+OFFSET(N566,0,-1))^(Параметры!N$30/360), 1))</f>
        <v>1.0146738461686593</v>
      </c>
      <c r="O568" s="193">
        <f ca="1">IF(O$2=1,1,IF(Prj_Inflation=1, (1+OFFSET(O566,0,-1))^(Параметры!O$30/360), 1))</f>
        <v>1.0146738461686593</v>
      </c>
      <c r="P568" s="193">
        <f ca="1">IF(P$2=1,1,IF(Prj_Inflation=1, (1+OFFSET(P566,0,-1))^(Параметры!P$30/360), 1))</f>
        <v>1.0146738461686593</v>
      </c>
      <c r="Q568" s="193">
        <f ca="1">IF(Q$2=1,1,IF(Prj_Inflation=1, (1+OFFSET(Q566,0,-1))^(Параметры!Q$30/360), 1))</f>
        <v>1.0146738461686593</v>
      </c>
      <c r="R568" s="193">
        <f ca="1">IF(R$2=1,1,IF(Prj_Inflation=1, (1+OFFSET(R566,0,-1))^(Параметры!R$30/360), 1))</f>
        <v>1.0146738461686593</v>
      </c>
      <c r="S568" s="193">
        <f ca="1">IF(S$2=1,1,IF(Prj_Inflation=1, (1+OFFSET(S566,0,-1))^(Параметры!S$30/360), 1))</f>
        <v>1.0146738461686593</v>
      </c>
      <c r="T568" s="193">
        <f ca="1">IF(T$2=1,1,IF(Prj_Inflation=1, (1+OFFSET(T566,0,-1))^(Параметры!T$30/360), 1))</f>
        <v>1.0146738461686593</v>
      </c>
      <c r="U568" s="193">
        <f ca="1">IF(U$2=1,1,IF(Prj_Inflation=1, (1+OFFSET(U566,0,-1))^(Параметры!U$30/360), 1))</f>
        <v>1.0146738461686593</v>
      </c>
      <c r="V568" s="193">
        <f ca="1">IF(V$2=1,1,IF(Prj_Inflation=1, (1+OFFSET(V566,0,-1))^(Параметры!V$30/360), 1))</f>
        <v>1.0146738461686593</v>
      </c>
      <c r="W568" s="193">
        <f ca="1">IF(W$2=1,1,IF(Prj_Inflation=1, (1+OFFSET(W566,0,-1))^(Параметры!W$30/360), 1))</f>
        <v>1.0146738461686593</v>
      </c>
      <c r="X568" s="193">
        <f ca="1">IF(X$2=1,1,IF(Prj_Inflation=1, (1+OFFSET(X566,0,-1))^(Параметры!X$30/360), 1))</f>
        <v>1.0146738461686593</v>
      </c>
      <c r="Y568" s="193">
        <f ca="1">IF(Y$2=1,1,IF(Prj_Inflation=1, (1+OFFSET(Y566,0,-1))^(Параметры!Y$30/360), 1))</f>
        <v>1.0146738461686593</v>
      </c>
      <c r="Z568" s="193">
        <f ca="1">IF(Z$2=1,1,IF(Prj_Inflation=1, (1+OFFSET(Z566,0,-1))^(Параметры!Z$30/360), 1))</f>
        <v>1.0146738461686593</v>
      </c>
      <c r="AA568" s="193">
        <f ca="1">IF(AA$2=1,1,IF(Prj_Inflation=1, (1+OFFSET(AA566,0,-1))^(Параметры!AA$30/360), 1))</f>
        <v>1.0146738461686593</v>
      </c>
      <c r="AB568" s="193">
        <f ca="1">IF(AB$2=1,1,IF(Prj_Inflation=1, (1+OFFSET(AB566,0,-1))^(Параметры!AB$30/360), 1))</f>
        <v>1.0146738461686593</v>
      </c>
      <c r="AC568" s="193">
        <f ca="1">IF(AC$2=1,1,IF(Prj_Inflation=1, (1+OFFSET(AC566,0,-1))^(Параметры!AC$30/360), 1))</f>
        <v>1.0146738461686593</v>
      </c>
      <c r="AD568" s="193">
        <f ca="1">IF(AD$2=1,1,IF(Prj_Inflation=1, (1+OFFSET(AD566,0,-1))^(Параметры!AD$30/360), 1))</f>
        <v>1.0146738461686593</v>
      </c>
      <c r="AE568" s="193">
        <f ca="1">IF(AE$2=1,1,IF(Prj_Inflation=1, (1+OFFSET(AE566,0,-1))^(Параметры!AE$30/360), 1))</f>
        <v>1.0146738461686593</v>
      </c>
      <c r="AF568" s="193">
        <f ca="1">IF(AF$2=1,1,IF(Prj_Inflation=1, (1+OFFSET(AF566,0,-1))^(Параметры!AF$30/360), 1))</f>
        <v>1.0146738461686593</v>
      </c>
      <c r="AG568" s="193">
        <f ca="1">IF(AG$2=1,1,IF(Prj_Inflation=1, (1+OFFSET(AG566,0,-1))^(Параметры!AG$30/360), 1))</f>
        <v>1.0146738461686593</v>
      </c>
      <c r="AH568" s="193">
        <f ca="1">IF(AH$2=1,1,IF(Prj_Inflation=1, (1+OFFSET(AH566,0,-1))^(Параметры!AH$30/360), 1))</f>
        <v>1.0146738461686593</v>
      </c>
      <c r="AI568" s="193">
        <f ca="1">IF(AI$2=1,1,IF(Prj_Inflation=1, (1+OFFSET(AI566,0,-1))^(Параметры!AI$30/360), 1))</f>
        <v>1.0146738461686593</v>
      </c>
      <c r="AJ568" s="193">
        <f ca="1">IF(AJ$2=1,1,IF(Prj_Inflation=1, (1+OFFSET(AJ566,0,-1))^(Параметры!AJ$30/360), 1))</f>
        <v>1.0146738461686593</v>
      </c>
      <c r="AK568" s="193">
        <f ca="1">IF(AK$2=1,1,IF(Prj_Inflation=1, (1+OFFSET(AK566,0,-1))^(Параметры!AK$30/360), 1))</f>
        <v>1.0146738461686593</v>
      </c>
      <c r="AL568" s="193">
        <f ca="1">IF(AL$2=1,1,IF(Prj_Inflation=1, (1+OFFSET(AL566,0,-1))^(Параметры!AL$30/360), 1))</f>
        <v>1.0146738461686593</v>
      </c>
      <c r="AM568" s="193">
        <f ca="1">IF(AM$2=1,1,IF(Prj_Inflation=1, (1+OFFSET(AM566,0,-1))^(Параметры!AM$30/360), 1))</f>
        <v>1.0146738461686593</v>
      </c>
      <c r="AN568" s="193">
        <f ca="1">IF(AN$2=1,1,IF(Prj_Inflation=1, (1+OFFSET(AN566,0,-1))^(Параметры!AN$30/360), 1))</f>
        <v>1.0146738461686593</v>
      </c>
      <c r="AO568" s="193">
        <f ca="1">IF(AO$2=1,1,IF(Prj_Inflation=1, (1+OFFSET(AO566,0,-1))^(Параметры!AO$30/360), 1))</f>
        <v>1.0146738461686593</v>
      </c>
      <c r="AP568" s="193">
        <f ca="1">IF(AP$2=1,1,IF(Prj_Inflation=1, (1+OFFSET(AP566,0,-1))^(Параметры!AP$30/360), 1))</f>
        <v>1.0146738461686593</v>
      </c>
      <c r="AQ568" s="193">
        <f ca="1">IF(AQ$2=1,1,IF(Prj_Inflation=1, (1+OFFSET(AQ566,0,-1))^(Параметры!AQ$30/360), 1))</f>
        <v>1.0146738461686593</v>
      </c>
      <c r="AR568" s="193">
        <f ca="1">IF(AR$2=1,1,IF(Prj_Inflation=1, (1+OFFSET(AR566,0,-1))^(Параметры!AR$30/360), 1))</f>
        <v>1.0146738461686593</v>
      </c>
      <c r="AS568" s="193">
        <f ca="1">IF(AS$2=1,1,IF(Prj_Inflation=1, (1+OFFSET(AS566,0,-1))^(Параметры!AS$30/360), 1))</f>
        <v>1.0146738461686593</v>
      </c>
      <c r="AT568" s="193">
        <f ca="1">IF(AT$2=1,1,IF(Prj_Inflation=1, (1+OFFSET(AT566,0,-1))^(Параметры!AT$30/360), 1))</f>
        <v>1.0146738461686593</v>
      </c>
      <c r="AU568" s="193">
        <f ca="1">IF(AU$2=1,1,IF(Prj_Inflation=1, (1+OFFSET(AU566,0,-1))^(Параметры!AU$30/360), 1))</f>
        <v>1.0146738461686593</v>
      </c>
      <c r="AV568" s="193">
        <f ca="1">IF(AV$2=1,1,IF(Prj_Inflation=1, (1+OFFSET(AV566,0,-1))^(Параметры!AV$30/360), 1))</f>
        <v>1.0146738461686593</v>
      </c>
      <c r="AW568" s="193"/>
      <c r="AX568" s="182"/>
    </row>
    <row r="569" spans="1:50" hidden="1" outlineLevel="1" x14ac:dyDescent="0.2">
      <c r="A569" s="179" t="str">
        <f ca="1">Language!A$737</f>
        <v>расчет затрат с учетом инфляции, без НДС</v>
      </c>
      <c r="B569" s="52"/>
      <c r="C569" s="82" t="str">
        <f ca="1">CHOOSE(D569,CurName1,CurName2,CurName3)</f>
        <v>тыс. руб.</v>
      </c>
      <c r="D569" s="155">
        <f>D563</f>
        <v>1</v>
      </c>
      <c r="F569" s="57" t="s">
        <v>753</v>
      </c>
      <c r="G569" s="180">
        <f t="shared" ref="G569:AV569" ca="1" si="2795">IF(G$2=1,$B565,F569)*G568</f>
        <v>5000</v>
      </c>
      <c r="H569" s="180">
        <f t="shared" ca="1" si="2795"/>
        <v>5073.3692308432965</v>
      </c>
      <c r="I569" s="180">
        <f t="shared" ca="1" si="2795"/>
        <v>5147.8150704935006</v>
      </c>
      <c r="J569" s="180">
        <f t="shared" ca="1" si="2795"/>
        <v>5223.3533169426282</v>
      </c>
      <c r="K569" s="180">
        <f t="shared" ca="1" si="2795"/>
        <v>5300.0000000000009</v>
      </c>
      <c r="L569" s="180">
        <f t="shared" ca="1" si="2795"/>
        <v>5377.771384693895</v>
      </c>
      <c r="M569" s="180">
        <f t="shared" ca="1" si="2795"/>
        <v>5456.6839747231115</v>
      </c>
      <c r="N569" s="180">
        <f t="shared" ca="1" si="2795"/>
        <v>5536.7545159591873</v>
      </c>
      <c r="O569" s="180">
        <f t="shared" ca="1" si="2795"/>
        <v>5618.0000000000018</v>
      </c>
      <c r="P569" s="180">
        <f t="shared" ca="1" si="2795"/>
        <v>5700.4376677755299</v>
      </c>
      <c r="Q569" s="180">
        <f t="shared" ca="1" si="2795"/>
        <v>5784.0850132064988</v>
      </c>
      <c r="R569" s="180">
        <f t="shared" ca="1" si="2795"/>
        <v>5868.9597869167383</v>
      </c>
      <c r="S569" s="180">
        <f t="shared" ca="1" si="2795"/>
        <v>5955.0800000000017</v>
      </c>
      <c r="T569" s="180">
        <f t="shared" ca="1" si="2795"/>
        <v>6042.4639278420618</v>
      </c>
      <c r="U569" s="180">
        <f t="shared" ca="1" si="2795"/>
        <v>6131.1301139988891</v>
      </c>
      <c r="V569" s="180">
        <f t="shared" ca="1" si="2795"/>
        <v>6221.097374131743</v>
      </c>
      <c r="W569" s="180">
        <f t="shared" ca="1" si="2795"/>
        <v>6312.3848000000025</v>
      </c>
      <c r="X569" s="180">
        <f t="shared" ca="1" si="2795"/>
        <v>6405.0117635125862</v>
      </c>
      <c r="Y569" s="180">
        <f t="shared" ca="1" si="2795"/>
        <v>6498.9979208388231</v>
      </c>
      <c r="Z569" s="180">
        <f t="shared" ca="1" si="2795"/>
        <v>6594.3632165796489</v>
      </c>
      <c r="AA569" s="180">
        <f t="shared" ca="1" si="2795"/>
        <v>6691.1278880000036</v>
      </c>
      <c r="AB569" s="180">
        <f t="shared" ca="1" si="2795"/>
        <v>6789.3124693233422</v>
      </c>
      <c r="AC569" s="180">
        <f t="shared" ca="1" si="2795"/>
        <v>6888.9377960891534</v>
      </c>
      <c r="AD569" s="180">
        <f t="shared" ca="1" si="2795"/>
        <v>6990.0250095744286</v>
      </c>
      <c r="AE569" s="180">
        <f t="shared" ca="1" si="2795"/>
        <v>7092.5955612800053</v>
      </c>
      <c r="AF569" s="180">
        <f t="shared" ca="1" si="2795"/>
        <v>7196.6712174827435</v>
      </c>
      <c r="AG569" s="180">
        <f t="shared" ca="1" si="2795"/>
        <v>7302.2740638545029</v>
      </c>
      <c r="AH569" s="180">
        <f t="shared" ca="1" si="2795"/>
        <v>7409.4265101488945</v>
      </c>
      <c r="AI569" s="180">
        <f t="shared" ca="1" si="2795"/>
        <v>7518.1512949568059</v>
      </c>
      <c r="AJ569" s="180">
        <f t="shared" ca="1" si="2795"/>
        <v>7628.4714905317087</v>
      </c>
      <c r="AK569" s="180">
        <f t="shared" ca="1" si="2795"/>
        <v>7740.4105076857741</v>
      </c>
      <c r="AL569" s="180">
        <f t="shared" ca="1" si="2795"/>
        <v>7853.9921007578296</v>
      </c>
      <c r="AM569" s="180">
        <f t="shared" ca="1" si="2795"/>
        <v>7969.2403726542152</v>
      </c>
      <c r="AN569" s="180">
        <f t="shared" ca="1" si="2795"/>
        <v>8086.1797799636124</v>
      </c>
      <c r="AO569" s="180">
        <f t="shared" ca="1" si="2795"/>
        <v>8204.835138146922</v>
      </c>
      <c r="AP569" s="180">
        <f t="shared" ca="1" si="2795"/>
        <v>8325.231626803301</v>
      </c>
      <c r="AQ569" s="180">
        <f t="shared" ca="1" si="2795"/>
        <v>8447.3947950134698</v>
      </c>
      <c r="AR569" s="180">
        <f t="shared" ca="1" si="2795"/>
        <v>8571.3505667614299</v>
      </c>
      <c r="AS569" s="180">
        <f t="shared" ca="1" si="2795"/>
        <v>8697.1252464357385</v>
      </c>
      <c r="AT569" s="180">
        <f t="shared" ca="1" si="2795"/>
        <v>8824.745524411499</v>
      </c>
      <c r="AU569" s="180">
        <f t="shared" ca="1" si="2795"/>
        <v>8954.2384827142778</v>
      </c>
      <c r="AV569" s="180">
        <f t="shared" ca="1" si="2795"/>
        <v>9085.6316007671157</v>
      </c>
      <c r="AW569" s="180"/>
      <c r="AX569" s="189">
        <f ca="1">SUM(G569:AW569)</f>
        <v>287515.12812181492</v>
      </c>
    </row>
    <row r="570" spans="1:50" hidden="1" outlineLevel="1" x14ac:dyDescent="0.2">
      <c r="A570" s="167" t="str">
        <f ca="1">Language!A$738</f>
        <v>НДС начисленный</v>
      </c>
      <c r="B570" s="56"/>
      <c r="C570" s="103" t="str">
        <f ca="1">CHOOSE(D570,CurName1,CurName2,CurName3)</f>
        <v>тыс. руб.</v>
      </c>
      <c r="D570" s="155">
        <f>D563</f>
        <v>1</v>
      </c>
      <c r="E570" s="57" t="s">
        <v>789</v>
      </c>
      <c r="F570" s="57" t="s">
        <v>753</v>
      </c>
      <c r="G570" s="194">
        <f ca="1">G565*G567</f>
        <v>900</v>
      </c>
      <c r="H570" s="194">
        <f t="shared" ref="H570:AV570" ca="1" si="2796">H565*H567</f>
        <v>913.20646155179338</v>
      </c>
      <c r="I570" s="194">
        <f t="shared" ca="1" si="2796"/>
        <v>926.60671268883004</v>
      </c>
      <c r="J570" s="194">
        <f t="shared" ca="1" si="2796"/>
        <v>940.20359704967302</v>
      </c>
      <c r="K570" s="194">
        <f t="shared" ca="1" si="2796"/>
        <v>954.00000000000011</v>
      </c>
      <c r="L570" s="194">
        <f t="shared" ca="1" si="2796"/>
        <v>967.99884924490107</v>
      </c>
      <c r="M570" s="194">
        <f t="shared" ca="1" si="2796"/>
        <v>982.20311545016</v>
      </c>
      <c r="N570" s="194">
        <f t="shared" ca="1" si="2796"/>
        <v>996.61581287265369</v>
      </c>
      <c r="O570" s="194">
        <f t="shared" ca="1" si="2796"/>
        <v>1011.2400000000002</v>
      </c>
      <c r="P570" s="194">
        <f t="shared" ca="1" si="2796"/>
        <v>1026.0787801995953</v>
      </c>
      <c r="Q570" s="194">
        <f t="shared" ca="1" si="2796"/>
        <v>1041.1353023771699</v>
      </c>
      <c r="R570" s="194">
        <f t="shared" ca="1" si="2796"/>
        <v>1056.4127616450128</v>
      </c>
      <c r="S570" s="194">
        <f t="shared" ca="1" si="2796"/>
        <v>1071.9144000000003</v>
      </c>
      <c r="T570" s="194">
        <f t="shared" ca="1" si="2796"/>
        <v>1087.643507011571</v>
      </c>
      <c r="U570" s="194">
        <f t="shared" ca="1" si="2796"/>
        <v>1103.6034205198</v>
      </c>
      <c r="V570" s="194">
        <f t="shared" ca="1" si="2796"/>
        <v>1119.7975273437137</v>
      </c>
      <c r="W570" s="194">
        <f t="shared" ca="1" si="2796"/>
        <v>1136.2292640000005</v>
      </c>
      <c r="X570" s="194">
        <f t="shared" ca="1" si="2796"/>
        <v>1152.9021174322654</v>
      </c>
      <c r="Y570" s="194">
        <f t="shared" ca="1" si="2796"/>
        <v>1169.8196257509881</v>
      </c>
      <c r="Z570" s="194">
        <f t="shared" ca="1" si="2796"/>
        <v>1186.9853789843366</v>
      </c>
      <c r="AA570" s="194">
        <f t="shared" ca="1" si="2796"/>
        <v>1204.4030198400005</v>
      </c>
      <c r="AB570" s="194">
        <f t="shared" ca="1" si="2796"/>
        <v>1222.0762444782015</v>
      </c>
      <c r="AC570" s="194">
        <f t="shared" ca="1" si="2796"/>
        <v>1240.0088032960475</v>
      </c>
      <c r="AD570" s="194">
        <f t="shared" ca="1" si="2796"/>
        <v>1258.204501723397</v>
      </c>
      <c r="AE570" s="194">
        <f t="shared" ca="1" si="2796"/>
        <v>1276.667201030401</v>
      </c>
      <c r="AF570" s="194">
        <f t="shared" ca="1" si="2796"/>
        <v>1295.4008191468938</v>
      </c>
      <c r="AG570" s="194">
        <f t="shared" ca="1" si="2796"/>
        <v>1314.4093314938104</v>
      </c>
      <c r="AH570" s="194">
        <f t="shared" ca="1" si="2796"/>
        <v>1333.6967718268011</v>
      </c>
      <c r="AI570" s="194">
        <f t="shared" ca="1" si="2796"/>
        <v>1353.2672330922251</v>
      </c>
      <c r="AJ570" s="194">
        <f t="shared" ca="1" si="2796"/>
        <v>1373.1248682957075</v>
      </c>
      <c r="AK570" s="194">
        <f t="shared" ca="1" si="2796"/>
        <v>1393.2738913834394</v>
      </c>
      <c r="AL570" s="194">
        <f t="shared" ca="1" si="2796"/>
        <v>1413.7185781364092</v>
      </c>
      <c r="AM570" s="194">
        <f t="shared" ca="1" si="2796"/>
        <v>1434.4632670777587</v>
      </c>
      <c r="AN570" s="194">
        <f t="shared" ca="1" si="2796"/>
        <v>1455.5123603934501</v>
      </c>
      <c r="AO570" s="194">
        <f t="shared" ca="1" si="2796"/>
        <v>1476.8703248664458</v>
      </c>
      <c r="AP570" s="194">
        <f t="shared" ca="1" si="2796"/>
        <v>1498.5416928245941</v>
      </c>
      <c r="AQ570" s="194">
        <f t="shared" ca="1" si="2796"/>
        <v>1520.5310631024245</v>
      </c>
      <c r="AR570" s="194">
        <f t="shared" ca="1" si="2796"/>
        <v>1542.8431020170574</v>
      </c>
      <c r="AS570" s="194">
        <f t="shared" ca="1" si="2796"/>
        <v>1565.482544358433</v>
      </c>
      <c r="AT570" s="194">
        <f t="shared" ca="1" si="2796"/>
        <v>1588.4541943940699</v>
      </c>
      <c r="AU570" s="194">
        <f t="shared" ca="1" si="2796"/>
        <v>1611.7629268885698</v>
      </c>
      <c r="AV570" s="194">
        <f t="shared" ca="1" si="2796"/>
        <v>1635.4136881380807</v>
      </c>
      <c r="AW570" s="194"/>
      <c r="AX570" s="189">
        <f ca="1">SUM(G570:AW570)</f>
        <v>51752.723061926692</v>
      </c>
    </row>
    <row r="571" spans="1:50" x14ac:dyDescent="0.2">
      <c r="E571" s="57" t="s">
        <v>725</v>
      </c>
      <c r="AW571" s="94"/>
    </row>
    <row r="572" spans="1:50" collapsed="1" x14ac:dyDescent="0.2">
      <c r="A572" s="38" t="str">
        <f ca="1">Language!A$750</f>
        <v>Итого: Производственные издержки, с НДС</v>
      </c>
      <c r="C572" s="124" t="str">
        <f t="shared" ref="C572:C599" ca="1" si="2797">CurName1</f>
        <v>тыс. руб.</v>
      </c>
      <c r="D572" s="66">
        <v>1</v>
      </c>
      <c r="F572" s="57" t="s">
        <v>753</v>
      </c>
      <c r="G572" s="138">
        <f ca="1">G573+G574</f>
        <v>16992</v>
      </c>
      <c r="H572" s="138">
        <f t="shared" ref="H572:K572" ca="1" si="2798">H573+H574</f>
        <v>17241.337994097859</v>
      </c>
      <c r="I572" s="138">
        <f t="shared" ca="1" si="2798"/>
        <v>17494.334735565113</v>
      </c>
      <c r="J572" s="138">
        <f t="shared" ca="1" si="2798"/>
        <v>17751.043912297824</v>
      </c>
      <c r="K572" s="138">
        <f t="shared" ca="1" si="2798"/>
        <v>18011.52</v>
      </c>
      <c r="L572" s="138">
        <f t="shared" ref="L572:M572" ca="1" si="2799">L573+L574</f>
        <v>18275.818273743731</v>
      </c>
      <c r="M572" s="138">
        <f t="shared" ca="1" si="2799"/>
        <v>18543.994819699019</v>
      </c>
      <c r="N572" s="138">
        <f t="shared" ref="N572:O572" ca="1" si="2800">N573+N574</f>
        <v>18816.106547035695</v>
      </c>
      <c r="O572" s="138">
        <f t="shared" ca="1" si="2800"/>
        <v>19092.211199999998</v>
      </c>
      <c r="P572" s="138">
        <f t="shared" ref="P572:Q572" ca="1" si="2801">P573+P574</f>
        <v>19372.367370168358</v>
      </c>
      <c r="Q572" s="138">
        <f t="shared" ca="1" si="2801"/>
        <v>19656.634508880958</v>
      </c>
      <c r="R572" s="138">
        <f t="shared" ref="R572:S572" ca="1" si="2802">R573+R574</f>
        <v>19945.072939857841</v>
      </c>
      <c r="S572" s="138">
        <f t="shared" ca="1" si="2802"/>
        <v>20237.743872000003</v>
      </c>
      <c r="T572" s="138">
        <f t="shared" ref="T572:U572" ca="1" si="2803">T573+T574</f>
        <v>20534.709412378455</v>
      </c>
      <c r="U572" s="138">
        <f t="shared" ca="1" si="2803"/>
        <v>20836.032579413819</v>
      </c>
      <c r="V572" s="138">
        <f t="shared" ref="V572:W572" ca="1" si="2804">V573+V574</f>
        <v>21141.77731624931</v>
      </c>
      <c r="W572" s="138">
        <f t="shared" ca="1" si="2804"/>
        <v>21452.008504320005</v>
      </c>
      <c r="X572" s="138">
        <f t="shared" ref="X572:Y572" ca="1" si="2805">X573+X574</f>
        <v>21766.791977121167</v>
      </c>
      <c r="Y572" s="138">
        <f t="shared" ca="1" si="2805"/>
        <v>22086.194534178649</v>
      </c>
      <c r="Z572" s="138">
        <f t="shared" ref="Z572:AA572" ca="1" si="2806">Z573+Z574</f>
        <v>22410.283955224273</v>
      </c>
      <c r="AA572" s="138">
        <f t="shared" ca="1" si="2806"/>
        <v>22739.129014579205</v>
      </c>
      <c r="AB572" s="138">
        <f t="shared" ref="AB572:AC572" ca="1" si="2807">AB573+AB574</f>
        <v>23072.799495748441</v>
      </c>
      <c r="AC572" s="138">
        <f t="shared" ca="1" si="2807"/>
        <v>23411.36620622937</v>
      </c>
      <c r="AD572" s="138">
        <f t="shared" ref="AD572:AE572" ca="1" si="2808">AD573+AD574</f>
        <v>23754.900992537732</v>
      </c>
      <c r="AE572" s="138">
        <f t="shared" ca="1" si="2808"/>
        <v>24103.476755453958</v>
      </c>
      <c r="AF572" s="138">
        <f t="shared" ref="AF572:AG572" ca="1" si="2809">AF573+AF574</f>
        <v>24457.167465493345</v>
      </c>
      <c r="AG572" s="138">
        <f t="shared" ca="1" si="2809"/>
        <v>24816.048178603131</v>
      </c>
      <c r="AH572" s="138">
        <f t="shared" ref="AH572:AI572" ca="1" si="2810">AH573+AH574</f>
        <v>25180.195052089992</v>
      </c>
      <c r="AI572" s="138">
        <f t="shared" ca="1" si="2810"/>
        <v>25549.685360781197</v>
      </c>
      <c r="AJ572" s="138">
        <f t="shared" ref="AJ572:AK572" ca="1" si="2811">AJ573+AJ574</f>
        <v>25924.597513422945</v>
      </c>
      <c r="AK572" s="138">
        <f t="shared" ca="1" si="2811"/>
        <v>26305.011069319324</v>
      </c>
      <c r="AL572" s="138">
        <f t="shared" ref="AL572:AM572" ca="1" si="2812">AL573+AL574</f>
        <v>26691.006755215392</v>
      </c>
      <c r="AM572" s="138">
        <f t="shared" ca="1" si="2812"/>
        <v>27082.666482428067</v>
      </c>
      <c r="AN572" s="138">
        <f t="shared" ref="AN572:AO572" ca="1" si="2813">AN573+AN574</f>
        <v>27480.073364228323</v>
      </c>
      <c r="AO572" s="138">
        <f t="shared" ca="1" si="2813"/>
        <v>27883.311733478484</v>
      </c>
      <c r="AP572" s="138">
        <f t="shared" ref="AP572:AQ572" ca="1" si="2814">AP573+AP574</f>
        <v>28292.467160528318</v>
      </c>
      <c r="AQ572" s="138">
        <f t="shared" ca="1" si="2814"/>
        <v>28707.626471373755</v>
      </c>
      <c r="AR572" s="138">
        <f t="shared" ref="AR572:AS572" ca="1" si="2815">AR573+AR574</f>
        <v>29128.877766082023</v>
      </c>
      <c r="AS572" s="138">
        <f t="shared" ca="1" si="2815"/>
        <v>29556.310437487191</v>
      </c>
      <c r="AT572" s="138">
        <f t="shared" ref="AT572:AU572" ca="1" si="2816">AT573+AT574</f>
        <v>29990.015190160015</v>
      </c>
      <c r="AU572" s="138">
        <f t="shared" ca="1" si="2816"/>
        <v>30430.084059656183</v>
      </c>
      <c r="AV572" s="138">
        <f t="shared" ref="AV572" ca="1" si="2817">AV573+AV574</f>
        <v>30876.610432046942</v>
      </c>
      <c r="AW572" s="148"/>
      <c r="AX572" s="171">
        <f ca="1">SUM(G572:AW572)</f>
        <v>977091.41140917537</v>
      </c>
    </row>
    <row r="573" spans="1:50" hidden="1" outlineLevel="1" x14ac:dyDescent="0.2">
      <c r="A573" s="99" t="str">
        <f ca="1">Language!A$751</f>
        <v>сумма без НДС</v>
      </c>
      <c r="C573" s="124" t="str">
        <f t="shared" ca="1" si="2797"/>
        <v>тыс. руб.</v>
      </c>
      <c r="D573" s="66">
        <v>1</v>
      </c>
      <c r="F573" s="57" t="s">
        <v>1048</v>
      </c>
      <c r="G573" s="138">
        <f t="shared" ref="G573:AV573" ca="1" si="2818">SUM(G$519,G$527,G$535)</f>
        <v>14400</v>
      </c>
      <c r="H573" s="138">
        <f t="shared" ca="1" si="2818"/>
        <v>14611.303384828694</v>
      </c>
      <c r="I573" s="138">
        <f t="shared" ca="1" si="2818"/>
        <v>14825.707403021281</v>
      </c>
      <c r="J573" s="138">
        <f t="shared" ca="1" si="2818"/>
        <v>15043.257552794767</v>
      </c>
      <c r="K573" s="138">
        <f t="shared" ca="1" si="2818"/>
        <v>15264</v>
      </c>
      <c r="L573" s="138">
        <f t="shared" ca="1" si="2818"/>
        <v>15487.981587918415</v>
      </c>
      <c r="M573" s="138">
        <f t="shared" ca="1" si="2818"/>
        <v>15715.249847202558</v>
      </c>
      <c r="N573" s="138">
        <f t="shared" ca="1" si="2818"/>
        <v>15945.853005962454</v>
      </c>
      <c r="O573" s="138">
        <f t="shared" ca="1" si="2818"/>
        <v>16179.84</v>
      </c>
      <c r="P573" s="138">
        <f t="shared" ca="1" si="2818"/>
        <v>16417.260483193524</v>
      </c>
      <c r="Q573" s="138">
        <f t="shared" ca="1" si="2818"/>
        <v>16658.164838034711</v>
      </c>
      <c r="R573" s="138">
        <f t="shared" ca="1" si="2818"/>
        <v>16902.604186320204</v>
      </c>
      <c r="S573" s="138">
        <f t="shared" ca="1" si="2818"/>
        <v>17150.630400000002</v>
      </c>
      <c r="T573" s="138">
        <f t="shared" ca="1" si="2818"/>
        <v>17402.296112185133</v>
      </c>
      <c r="U573" s="138">
        <f t="shared" ca="1" si="2818"/>
        <v>17657.654728316797</v>
      </c>
      <c r="V573" s="138">
        <f t="shared" ca="1" si="2818"/>
        <v>17916.760437499415</v>
      </c>
      <c r="W573" s="138">
        <f t="shared" ca="1" si="2818"/>
        <v>18179.668224000005</v>
      </c>
      <c r="X573" s="138">
        <f t="shared" ca="1" si="2818"/>
        <v>18446.433878916243</v>
      </c>
      <c r="Y573" s="138">
        <f t="shared" ca="1" si="2818"/>
        <v>18717.114012015805</v>
      </c>
      <c r="Z573" s="138">
        <f t="shared" ca="1" si="2818"/>
        <v>18991.766063749383</v>
      </c>
      <c r="AA573" s="138">
        <f t="shared" ca="1" si="2818"/>
        <v>19270.448317440005</v>
      </c>
      <c r="AB573" s="138">
        <f t="shared" ca="1" si="2818"/>
        <v>19553.21991165122</v>
      </c>
      <c r="AC573" s="138">
        <f t="shared" ca="1" si="2818"/>
        <v>19840.140852736753</v>
      </c>
      <c r="AD573" s="138">
        <f t="shared" ca="1" si="2818"/>
        <v>20131.272027574349</v>
      </c>
      <c r="AE573" s="138">
        <f t="shared" ca="1" si="2818"/>
        <v>20426.675216486405</v>
      </c>
      <c r="AF573" s="138">
        <f t="shared" ca="1" si="2818"/>
        <v>20726.413106350294</v>
      </c>
      <c r="AG573" s="138">
        <f t="shared" ca="1" si="2818"/>
        <v>21030.54930390096</v>
      </c>
      <c r="AH573" s="138">
        <f t="shared" ca="1" si="2818"/>
        <v>21339.148349228806</v>
      </c>
      <c r="AI573" s="138">
        <f t="shared" ca="1" si="2818"/>
        <v>21652.27572947559</v>
      </c>
      <c r="AJ573" s="138">
        <f t="shared" ca="1" si="2818"/>
        <v>21969.99789273131</v>
      </c>
      <c r="AK573" s="138">
        <f t="shared" ca="1" si="2818"/>
        <v>22292.382262135019</v>
      </c>
      <c r="AL573" s="138">
        <f t="shared" ca="1" si="2818"/>
        <v>22619.497250182536</v>
      </c>
      <c r="AM573" s="138">
        <f t="shared" ca="1" si="2818"/>
        <v>22951.412273244125</v>
      </c>
      <c r="AN573" s="138">
        <f t="shared" ca="1" si="2818"/>
        <v>23288.19776629519</v>
      </c>
      <c r="AO573" s="138">
        <f t="shared" ca="1" si="2818"/>
        <v>23629.925197863122</v>
      </c>
      <c r="AP573" s="138">
        <f t="shared" ca="1" si="2818"/>
        <v>23976.66708519349</v>
      </c>
      <c r="AQ573" s="138">
        <f t="shared" ca="1" si="2818"/>
        <v>24328.497009638777</v>
      </c>
      <c r="AR573" s="138">
        <f t="shared" ca="1" si="2818"/>
        <v>24685.4896322729</v>
      </c>
      <c r="AS573" s="138">
        <f t="shared" ca="1" si="2818"/>
        <v>25047.720709734909</v>
      </c>
      <c r="AT573" s="138">
        <f t="shared" ca="1" si="2818"/>
        <v>25415.267110305096</v>
      </c>
      <c r="AU573" s="138">
        <f t="shared" ca="1" si="2818"/>
        <v>25788.206830217103</v>
      </c>
      <c r="AV573" s="138">
        <f t="shared" ca="1" si="2818"/>
        <v>26166.619010209273</v>
      </c>
      <c r="AW573" s="148"/>
      <c r="AX573" s="171">
        <f ca="1">SUM(G573:AW573)</f>
        <v>828043.56899082672</v>
      </c>
    </row>
    <row r="574" spans="1:50" hidden="1" outlineLevel="1" x14ac:dyDescent="0.2">
      <c r="A574" s="99" t="str">
        <f ca="1">Language!A$752</f>
        <v>НДС начисленный</v>
      </c>
      <c r="C574" s="124"/>
      <c r="D574" s="66">
        <v>1</v>
      </c>
      <c r="F574" s="57" t="s">
        <v>1113</v>
      </c>
      <c r="G574" s="138">
        <f t="shared" ref="G574:AV574" ca="1" si="2819">SUM(G$524,G$532,G$540)</f>
        <v>2592</v>
      </c>
      <c r="H574" s="138">
        <f t="shared" ca="1" si="2819"/>
        <v>2630.0346092691643</v>
      </c>
      <c r="I574" s="138">
        <f t="shared" ca="1" si="2819"/>
        <v>2668.6273325438306</v>
      </c>
      <c r="J574" s="138">
        <f t="shared" ca="1" si="2819"/>
        <v>2707.7863595030581</v>
      </c>
      <c r="K574" s="138">
        <f t="shared" ca="1" si="2819"/>
        <v>2747.5199999999995</v>
      </c>
      <c r="L574" s="138">
        <f t="shared" ca="1" si="2819"/>
        <v>2787.8366858253148</v>
      </c>
      <c r="M574" s="138">
        <f t="shared" ca="1" si="2819"/>
        <v>2828.7449724964604</v>
      </c>
      <c r="N574" s="138">
        <f t="shared" ca="1" si="2819"/>
        <v>2870.2535410732416</v>
      </c>
      <c r="O574" s="138">
        <f t="shared" ca="1" si="2819"/>
        <v>2912.3711999999996</v>
      </c>
      <c r="P574" s="138">
        <f t="shared" ca="1" si="2819"/>
        <v>2955.1068869748337</v>
      </c>
      <c r="Q574" s="138">
        <f t="shared" ca="1" si="2819"/>
        <v>2998.4696708462479</v>
      </c>
      <c r="R574" s="138">
        <f t="shared" ca="1" si="2819"/>
        <v>3042.4687535376361</v>
      </c>
      <c r="S574" s="138">
        <f t="shared" ca="1" si="2819"/>
        <v>3087.1134720000005</v>
      </c>
      <c r="T574" s="138">
        <f t="shared" ca="1" si="2819"/>
        <v>3132.4133001933242</v>
      </c>
      <c r="U574" s="138">
        <f t="shared" ca="1" si="2819"/>
        <v>3178.3778510970233</v>
      </c>
      <c r="V574" s="138">
        <f t="shared" ca="1" si="2819"/>
        <v>3225.0168787498942</v>
      </c>
      <c r="W574" s="138">
        <f t="shared" ca="1" si="2819"/>
        <v>3272.3402803200006</v>
      </c>
      <c r="X574" s="138">
        <f t="shared" ca="1" si="2819"/>
        <v>3320.3580982049239</v>
      </c>
      <c r="Y574" s="138">
        <f t="shared" ca="1" si="2819"/>
        <v>3369.0805221628452</v>
      </c>
      <c r="Z574" s="138">
        <f t="shared" ca="1" si="2819"/>
        <v>3418.5178914748885</v>
      </c>
      <c r="AA574" s="138">
        <f t="shared" ca="1" si="2819"/>
        <v>3468.6806971392007</v>
      </c>
      <c r="AB574" s="138">
        <f t="shared" ca="1" si="2819"/>
        <v>3519.5795840972191</v>
      </c>
      <c r="AC574" s="138">
        <f t="shared" ca="1" si="2819"/>
        <v>3571.2253534926158</v>
      </c>
      <c r="AD574" s="138">
        <f t="shared" ca="1" si="2819"/>
        <v>3623.6289649633818</v>
      </c>
      <c r="AE574" s="138">
        <f t="shared" ca="1" si="2819"/>
        <v>3676.8015389675529</v>
      </c>
      <c r="AF574" s="138">
        <f t="shared" ca="1" si="2819"/>
        <v>3730.7543591430522</v>
      </c>
      <c r="AG574" s="138">
        <f t="shared" ca="1" si="2819"/>
        <v>3785.4988747021725</v>
      </c>
      <c r="AH574" s="138">
        <f t="shared" ca="1" si="2819"/>
        <v>3841.0467028611856</v>
      </c>
      <c r="AI574" s="138">
        <f t="shared" ca="1" si="2819"/>
        <v>3897.4096313056061</v>
      </c>
      <c r="AJ574" s="138">
        <f t="shared" ca="1" si="2819"/>
        <v>3954.5996206916357</v>
      </c>
      <c r="AK574" s="138">
        <f t="shared" ca="1" si="2819"/>
        <v>4012.6288071843032</v>
      </c>
      <c r="AL574" s="138">
        <f t="shared" ca="1" si="2819"/>
        <v>4071.5095050328564</v>
      </c>
      <c r="AM574" s="138">
        <f t="shared" ca="1" si="2819"/>
        <v>4131.2542091839423</v>
      </c>
      <c r="AN574" s="138">
        <f t="shared" ca="1" si="2819"/>
        <v>4191.8755979331336</v>
      </c>
      <c r="AO574" s="138">
        <f t="shared" ca="1" si="2819"/>
        <v>4253.3865356153619</v>
      </c>
      <c r="AP574" s="138">
        <f t="shared" ca="1" si="2819"/>
        <v>4315.8000753348279</v>
      </c>
      <c r="AQ574" s="138">
        <f t="shared" ca="1" si="2819"/>
        <v>4379.1294617349795</v>
      </c>
      <c r="AR574" s="138">
        <f t="shared" ca="1" si="2819"/>
        <v>4443.3881338091223</v>
      </c>
      <c r="AS574" s="138">
        <f t="shared" ca="1" si="2819"/>
        <v>4508.5897277522836</v>
      </c>
      <c r="AT574" s="138">
        <f t="shared" ca="1" si="2819"/>
        <v>4574.7480798549177</v>
      </c>
      <c r="AU574" s="138">
        <f t="shared" ca="1" si="2819"/>
        <v>4641.8772294390783</v>
      </c>
      <c r="AV574" s="138">
        <f t="shared" ca="1" si="2819"/>
        <v>4709.9914218376689</v>
      </c>
      <c r="AW574" s="148"/>
      <c r="AX574" s="171">
        <f ca="1">SUM(G574:AW574)</f>
        <v>149047.84241834877</v>
      </c>
    </row>
    <row r="575" spans="1:50" hidden="1" outlineLevel="1" x14ac:dyDescent="0.2">
      <c r="A575" s="101" t="str">
        <f ca="1">Language!A$753</f>
        <v>затраты в запасах готовой продукции</v>
      </c>
      <c r="B575" s="195"/>
      <c r="C575" s="124" t="str">
        <f t="shared" ref="C575:C584" ca="1" si="2820">CurName1</f>
        <v>тыс. руб.</v>
      </c>
      <c r="D575" s="66"/>
      <c r="F575" s="57" t="s">
        <v>754</v>
      </c>
      <c r="G575" s="311">
        <f ca="1">IF(AND($B576=0,G$2&gt;1), F575, G573*$B576/Параметры!G$30)</f>
        <v>0</v>
      </c>
      <c r="H575" s="311">
        <f ca="1">IF(AND($B576=0,H$2&gt;1), G575, H573*$B576/Параметры!H$30)</f>
        <v>0</v>
      </c>
      <c r="I575" s="311">
        <f ca="1">IF(AND($B576=0,I$2&gt;1), H575, I573*$B576/Параметры!I$30)</f>
        <v>0</v>
      </c>
      <c r="J575" s="311">
        <f ca="1">IF(AND($B576=0,J$2&gt;1), I575, J573*$B576/Параметры!J$30)</f>
        <v>0</v>
      </c>
      <c r="K575" s="311">
        <f ca="1">IF(AND($B576=0,K$2&gt;1), J575, K573*$B576/Параметры!K$30)</f>
        <v>0</v>
      </c>
      <c r="L575" s="311">
        <f ca="1">IF(AND($B576=0,L$2&gt;1), K575, L573*$B576/Параметры!L$30)</f>
        <v>0</v>
      </c>
      <c r="M575" s="311">
        <f ca="1">IF(AND($B576=0,M$2&gt;1), L575, M573*$B576/Параметры!M$30)</f>
        <v>0</v>
      </c>
      <c r="N575" s="311">
        <f ca="1">IF(AND($B576=0,N$2&gt;1), M575, N573*$B576/Параметры!N$30)</f>
        <v>0</v>
      </c>
      <c r="O575" s="311">
        <f ca="1">IF(AND($B576=0,O$2&gt;1), N575, O573*$B576/Параметры!O$30)</f>
        <v>0</v>
      </c>
      <c r="P575" s="311">
        <f ca="1">IF(AND($B576=0,P$2&gt;1), O575, P573*$B576/Параметры!P$30)</f>
        <v>0</v>
      </c>
      <c r="Q575" s="311">
        <f ca="1">IF(AND($B576=0,Q$2&gt;1), P575, Q573*$B576/Параметры!Q$30)</f>
        <v>0</v>
      </c>
      <c r="R575" s="311">
        <f ca="1">IF(AND($B576=0,R$2&gt;1), Q575, R573*$B576/Параметры!R$30)</f>
        <v>0</v>
      </c>
      <c r="S575" s="311">
        <f ca="1">IF(AND($B576=0,S$2&gt;1), R575, S573*$B576/Параметры!S$30)</f>
        <v>0</v>
      </c>
      <c r="T575" s="311">
        <f ca="1">IF(AND($B576=0,T$2&gt;1), S575, T573*$B576/Параметры!T$30)</f>
        <v>0</v>
      </c>
      <c r="U575" s="311">
        <f ca="1">IF(AND($B576=0,U$2&gt;1), T575, U573*$B576/Параметры!U$30)</f>
        <v>0</v>
      </c>
      <c r="V575" s="311">
        <f ca="1">IF(AND($B576=0,V$2&gt;1), U575, V573*$B576/Параметры!V$30)</f>
        <v>0</v>
      </c>
      <c r="W575" s="311">
        <f ca="1">IF(AND($B576=0,W$2&gt;1), V575, W573*$B576/Параметры!W$30)</f>
        <v>0</v>
      </c>
      <c r="X575" s="311">
        <f ca="1">IF(AND($B576=0,X$2&gt;1), W575, X573*$B576/Параметры!X$30)</f>
        <v>0</v>
      </c>
      <c r="Y575" s="311">
        <f ca="1">IF(AND($B576=0,Y$2&gt;1), X575, Y573*$B576/Параметры!Y$30)</f>
        <v>0</v>
      </c>
      <c r="Z575" s="311">
        <f ca="1">IF(AND($B576=0,Z$2&gt;1), Y575, Z573*$B576/Параметры!Z$30)</f>
        <v>0</v>
      </c>
      <c r="AA575" s="311">
        <f ca="1">IF(AND($B576=0,AA$2&gt;1), Z575, AA573*$B576/Параметры!AA$30)</f>
        <v>0</v>
      </c>
      <c r="AB575" s="311">
        <f ca="1">IF(AND($B576=0,AB$2&gt;1), AA575, AB573*$B576/Параметры!AB$30)</f>
        <v>0</v>
      </c>
      <c r="AC575" s="311">
        <f ca="1">IF(AND($B576=0,AC$2&gt;1), AB575, AC573*$B576/Параметры!AC$30)</f>
        <v>0</v>
      </c>
      <c r="AD575" s="311">
        <f ca="1">IF(AND($B576=0,AD$2&gt;1), AC575, AD573*$B576/Параметры!AD$30)</f>
        <v>0</v>
      </c>
      <c r="AE575" s="311">
        <f ca="1">IF(AND($B576=0,AE$2&gt;1), AD575, AE573*$B576/Параметры!AE$30)</f>
        <v>0</v>
      </c>
      <c r="AF575" s="311">
        <f ca="1">IF(AND($B576=0,AF$2&gt;1), AE575, AF573*$B576/Параметры!AF$30)</f>
        <v>0</v>
      </c>
      <c r="AG575" s="311">
        <f ca="1">IF(AND($B576=0,AG$2&gt;1), AF575, AG573*$B576/Параметры!AG$30)</f>
        <v>0</v>
      </c>
      <c r="AH575" s="311">
        <f ca="1">IF(AND($B576=0,AH$2&gt;1), AG575, AH573*$B576/Параметры!AH$30)</f>
        <v>0</v>
      </c>
      <c r="AI575" s="311">
        <f ca="1">IF(AND($B576=0,AI$2&gt;1), AH575, AI573*$B576/Параметры!AI$30)</f>
        <v>0</v>
      </c>
      <c r="AJ575" s="311">
        <f ca="1">IF(AND($B576=0,AJ$2&gt;1), AI575, AJ573*$B576/Параметры!AJ$30)</f>
        <v>0</v>
      </c>
      <c r="AK575" s="311">
        <f ca="1">IF(AND($B576=0,AK$2&gt;1), AJ575, AK573*$B576/Параметры!AK$30)</f>
        <v>0</v>
      </c>
      <c r="AL575" s="311">
        <f ca="1">IF(AND($B576=0,AL$2&gt;1), AK575, AL573*$B576/Параметры!AL$30)</f>
        <v>0</v>
      </c>
      <c r="AM575" s="311">
        <f ca="1">IF(AND($B576=0,AM$2&gt;1), AL575, AM573*$B576/Параметры!AM$30)</f>
        <v>0</v>
      </c>
      <c r="AN575" s="311">
        <f ca="1">IF(AND($B576=0,AN$2&gt;1), AM575, AN573*$B576/Параметры!AN$30)</f>
        <v>0</v>
      </c>
      <c r="AO575" s="311">
        <f ca="1">IF(AND($B576=0,AO$2&gt;1), AN575, AO573*$B576/Параметры!AO$30)</f>
        <v>0</v>
      </c>
      <c r="AP575" s="311">
        <f ca="1">IF(AND($B576=0,AP$2&gt;1), AO575, AP573*$B576/Параметры!AP$30)</f>
        <v>0</v>
      </c>
      <c r="AQ575" s="311">
        <f ca="1">IF(AND($B576=0,AQ$2&gt;1), AP575, AQ573*$B576/Параметры!AQ$30)</f>
        <v>0</v>
      </c>
      <c r="AR575" s="311">
        <f ca="1">IF(AND($B576=0,AR$2&gt;1), AQ575, AR573*$B576/Параметры!AR$30)</f>
        <v>0</v>
      </c>
      <c r="AS575" s="311">
        <f ca="1">IF(AND($B576=0,AS$2&gt;1), AR575, AS573*$B576/Параметры!AS$30)</f>
        <v>0</v>
      </c>
      <c r="AT575" s="311">
        <f ca="1">IF(AND($B576=0,AT$2&gt;1), AS575, AT573*$B576/Параметры!AT$30)</f>
        <v>0</v>
      </c>
      <c r="AU575" s="311">
        <f ca="1">IF(AND($B576=0,AU$2&gt;1), AT575, AU573*$B576/Параметры!AU$30)</f>
        <v>0</v>
      </c>
      <c r="AV575" s="311">
        <f ca="1">IF(AND($B576=0,AV$2&gt;1), AU575, AV573*$B576/Параметры!AV$30)</f>
        <v>0</v>
      </c>
      <c r="AW575" s="148"/>
      <c r="AX575" s="171"/>
    </row>
    <row r="576" spans="1:50" hidden="1" outlineLevel="1" x14ac:dyDescent="0.2">
      <c r="A576" s="206" t="str">
        <f ca="1">Language!A$754</f>
        <v>периодичность отгрузки</v>
      </c>
      <c r="B576" s="313">
        <v>0</v>
      </c>
      <c r="C576" s="124" t="str">
        <f ca="1">Language!$A$1446</f>
        <v>дней</v>
      </c>
      <c r="D576" s="66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71"/>
    </row>
    <row r="577" spans="1:50" hidden="1" outlineLevel="1" x14ac:dyDescent="0.2">
      <c r="A577" s="101" t="str">
        <f ca="1">Language!A$755</f>
        <v>затраты в незавершенном производстве</v>
      </c>
      <c r="B577" s="195"/>
      <c r="C577" s="124" t="str">
        <f t="shared" ca="1" si="2820"/>
        <v>тыс. руб.</v>
      </c>
      <c r="D577" s="66"/>
      <c r="F577" s="57" t="s">
        <v>754</v>
      </c>
      <c r="G577" s="311">
        <f ca="1">IF(AND($B578=0,G$2&gt;1), F577, G573*$B578/Параметры!G$30)</f>
        <v>0</v>
      </c>
      <c r="H577" s="311">
        <f ca="1">IF(AND($B578=0,H$2&gt;1), G577, H573*$B578/Параметры!H$30)</f>
        <v>0</v>
      </c>
      <c r="I577" s="311">
        <f ca="1">IF(AND($B578=0,I$2&gt;1), H577, I573*$B578/Параметры!I$30)</f>
        <v>0</v>
      </c>
      <c r="J577" s="311">
        <f ca="1">IF(AND($B578=0,J$2&gt;1), I577, J573*$B578/Параметры!J$30)</f>
        <v>0</v>
      </c>
      <c r="K577" s="311">
        <f ca="1">IF(AND($B578=0,K$2&gt;1), J577, K573*$B578/Параметры!K$30)</f>
        <v>0</v>
      </c>
      <c r="L577" s="311">
        <f ca="1">IF(AND($B578=0,L$2&gt;1), K577, L573*$B578/Параметры!L$30)</f>
        <v>0</v>
      </c>
      <c r="M577" s="311">
        <f ca="1">IF(AND($B578=0,M$2&gt;1), L577, M573*$B578/Параметры!M$30)</f>
        <v>0</v>
      </c>
      <c r="N577" s="311">
        <f ca="1">IF(AND($B578=0,N$2&gt;1), M577, N573*$B578/Параметры!N$30)</f>
        <v>0</v>
      </c>
      <c r="O577" s="311">
        <f ca="1">IF(AND($B578=0,O$2&gt;1), N577, O573*$B578/Параметры!O$30)</f>
        <v>0</v>
      </c>
      <c r="P577" s="311">
        <f ca="1">IF(AND($B578=0,P$2&gt;1), O577, P573*$B578/Параметры!P$30)</f>
        <v>0</v>
      </c>
      <c r="Q577" s="311">
        <f ca="1">IF(AND($B578=0,Q$2&gt;1), P577, Q573*$B578/Параметры!Q$30)</f>
        <v>0</v>
      </c>
      <c r="R577" s="311">
        <f ca="1">IF(AND($B578=0,R$2&gt;1), Q577, R573*$B578/Параметры!R$30)</f>
        <v>0</v>
      </c>
      <c r="S577" s="311">
        <f ca="1">IF(AND($B578=0,S$2&gt;1), R577, S573*$B578/Параметры!S$30)</f>
        <v>0</v>
      </c>
      <c r="T577" s="311">
        <f ca="1">IF(AND($B578=0,T$2&gt;1), S577, T573*$B578/Параметры!T$30)</f>
        <v>0</v>
      </c>
      <c r="U577" s="311">
        <f ca="1">IF(AND($B578=0,U$2&gt;1), T577, U573*$B578/Параметры!U$30)</f>
        <v>0</v>
      </c>
      <c r="V577" s="311">
        <f ca="1">IF(AND($B578=0,V$2&gt;1), U577, V573*$B578/Параметры!V$30)</f>
        <v>0</v>
      </c>
      <c r="W577" s="311">
        <f ca="1">IF(AND($B578=0,W$2&gt;1), V577, W573*$B578/Параметры!W$30)</f>
        <v>0</v>
      </c>
      <c r="X577" s="311">
        <f ca="1">IF(AND($B578=0,X$2&gt;1), W577, X573*$B578/Параметры!X$30)</f>
        <v>0</v>
      </c>
      <c r="Y577" s="311">
        <f ca="1">IF(AND($B578=0,Y$2&gt;1), X577, Y573*$B578/Параметры!Y$30)</f>
        <v>0</v>
      </c>
      <c r="Z577" s="311">
        <f ca="1">IF(AND($B578=0,Z$2&gt;1), Y577, Z573*$B578/Параметры!Z$30)</f>
        <v>0</v>
      </c>
      <c r="AA577" s="311">
        <f ca="1">IF(AND($B578=0,AA$2&gt;1), Z577, AA573*$B578/Параметры!AA$30)</f>
        <v>0</v>
      </c>
      <c r="AB577" s="311">
        <f ca="1">IF(AND($B578=0,AB$2&gt;1), AA577, AB573*$B578/Параметры!AB$30)</f>
        <v>0</v>
      </c>
      <c r="AC577" s="311">
        <f ca="1">IF(AND($B578=0,AC$2&gt;1), AB577, AC573*$B578/Параметры!AC$30)</f>
        <v>0</v>
      </c>
      <c r="AD577" s="311">
        <f ca="1">IF(AND($B578=0,AD$2&gt;1), AC577, AD573*$B578/Параметры!AD$30)</f>
        <v>0</v>
      </c>
      <c r="AE577" s="311">
        <f ca="1">IF(AND($B578=0,AE$2&gt;1), AD577, AE573*$B578/Параметры!AE$30)</f>
        <v>0</v>
      </c>
      <c r="AF577" s="311">
        <f ca="1">IF(AND($B578=0,AF$2&gt;1), AE577, AF573*$B578/Параметры!AF$30)</f>
        <v>0</v>
      </c>
      <c r="AG577" s="311">
        <f ca="1">IF(AND($B578=0,AG$2&gt;1), AF577, AG573*$B578/Параметры!AG$30)</f>
        <v>0</v>
      </c>
      <c r="AH577" s="311">
        <f ca="1">IF(AND($B578=0,AH$2&gt;1), AG577, AH573*$B578/Параметры!AH$30)</f>
        <v>0</v>
      </c>
      <c r="AI577" s="311">
        <f ca="1">IF(AND($B578=0,AI$2&gt;1), AH577, AI573*$B578/Параметры!AI$30)</f>
        <v>0</v>
      </c>
      <c r="AJ577" s="311">
        <f ca="1">IF(AND($B578=0,AJ$2&gt;1), AI577, AJ573*$B578/Параметры!AJ$30)</f>
        <v>0</v>
      </c>
      <c r="AK577" s="311">
        <f ca="1">IF(AND($B578=0,AK$2&gt;1), AJ577, AK573*$B578/Параметры!AK$30)</f>
        <v>0</v>
      </c>
      <c r="AL577" s="311">
        <f ca="1">IF(AND($B578=0,AL$2&gt;1), AK577, AL573*$B578/Параметры!AL$30)</f>
        <v>0</v>
      </c>
      <c r="AM577" s="311">
        <f ca="1">IF(AND($B578=0,AM$2&gt;1), AL577, AM573*$B578/Параметры!AM$30)</f>
        <v>0</v>
      </c>
      <c r="AN577" s="311">
        <f ca="1">IF(AND($B578=0,AN$2&gt;1), AM577, AN573*$B578/Параметры!AN$30)</f>
        <v>0</v>
      </c>
      <c r="AO577" s="311">
        <f ca="1">IF(AND($B578=0,AO$2&gt;1), AN577, AO573*$B578/Параметры!AO$30)</f>
        <v>0</v>
      </c>
      <c r="AP577" s="311">
        <f ca="1">IF(AND($B578=0,AP$2&gt;1), AO577, AP573*$B578/Параметры!AP$30)</f>
        <v>0</v>
      </c>
      <c r="AQ577" s="311">
        <f ca="1">IF(AND($B578=0,AQ$2&gt;1), AP577, AQ573*$B578/Параметры!AQ$30)</f>
        <v>0</v>
      </c>
      <c r="AR577" s="311">
        <f ca="1">IF(AND($B578=0,AR$2&gt;1), AQ577, AR573*$B578/Параметры!AR$30)</f>
        <v>0</v>
      </c>
      <c r="AS577" s="311">
        <f ca="1">IF(AND($B578=0,AS$2&gt;1), AR577, AS573*$B578/Параметры!AS$30)</f>
        <v>0</v>
      </c>
      <c r="AT577" s="311">
        <f ca="1">IF(AND($B578=0,AT$2&gt;1), AS577, AT573*$B578/Параметры!AT$30)</f>
        <v>0</v>
      </c>
      <c r="AU577" s="311">
        <f ca="1">IF(AND($B578=0,AU$2&gt;1), AT577, AU573*$B578/Параметры!AU$30)</f>
        <v>0</v>
      </c>
      <c r="AV577" s="311">
        <f ca="1">IF(AND($B578=0,AV$2&gt;1), AU577, AV573*$B578/Параметры!AV$30)</f>
        <v>0</v>
      </c>
      <c r="AW577" s="148"/>
      <c r="AX577" s="171"/>
    </row>
    <row r="578" spans="1:50" hidden="1" outlineLevel="1" x14ac:dyDescent="0.2">
      <c r="A578" s="206" t="str">
        <f ca="1">Language!A$756</f>
        <v>длительность производственного цикла</v>
      </c>
      <c r="B578" s="313">
        <v>0</v>
      </c>
      <c r="C578" s="124" t="str">
        <f ca="1">Language!$A$1446</f>
        <v>дней</v>
      </c>
      <c r="D578" s="66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71"/>
    </row>
    <row r="579" spans="1:50" hidden="1" outlineLevel="1" x14ac:dyDescent="0.2">
      <c r="A579" s="172" t="str">
        <f ca="1">Language!A$757</f>
        <v>списано на продажи</v>
      </c>
      <c r="B579" s="195"/>
      <c r="C579" s="124" t="str">
        <f t="shared" ca="1" si="2820"/>
        <v>тыс. руб.</v>
      </c>
      <c r="D579" s="66"/>
      <c r="F579" s="57" t="s">
        <v>753</v>
      </c>
      <c r="G579" s="45">
        <f t="shared" ref="G579:AV579" ca="1" si="2821">G573-G575-G577 + IF(G$2&gt;1, F575+F577, 0)</f>
        <v>14400</v>
      </c>
      <c r="H579" s="45">
        <f t="shared" ca="1" si="2821"/>
        <v>14611.303384828694</v>
      </c>
      <c r="I579" s="45">
        <f t="shared" ca="1" si="2821"/>
        <v>14825.707403021281</v>
      </c>
      <c r="J579" s="45">
        <f t="shared" ca="1" si="2821"/>
        <v>15043.257552794767</v>
      </c>
      <c r="K579" s="45">
        <f t="shared" ca="1" si="2821"/>
        <v>15264</v>
      </c>
      <c r="L579" s="45">
        <f t="shared" ca="1" si="2821"/>
        <v>15487.981587918415</v>
      </c>
      <c r="M579" s="45">
        <f t="shared" ca="1" si="2821"/>
        <v>15715.249847202558</v>
      </c>
      <c r="N579" s="45">
        <f t="shared" ca="1" si="2821"/>
        <v>15945.853005962454</v>
      </c>
      <c r="O579" s="45">
        <f t="shared" ca="1" si="2821"/>
        <v>16179.84</v>
      </c>
      <c r="P579" s="45">
        <f t="shared" ca="1" si="2821"/>
        <v>16417.260483193524</v>
      </c>
      <c r="Q579" s="45">
        <f t="shared" ca="1" si="2821"/>
        <v>16658.164838034711</v>
      </c>
      <c r="R579" s="45">
        <f t="shared" ca="1" si="2821"/>
        <v>16902.604186320204</v>
      </c>
      <c r="S579" s="45">
        <f t="shared" ca="1" si="2821"/>
        <v>17150.630400000002</v>
      </c>
      <c r="T579" s="45">
        <f t="shared" ca="1" si="2821"/>
        <v>17402.296112185133</v>
      </c>
      <c r="U579" s="45">
        <f t="shared" ca="1" si="2821"/>
        <v>17657.654728316797</v>
      </c>
      <c r="V579" s="45">
        <f t="shared" ca="1" si="2821"/>
        <v>17916.760437499415</v>
      </c>
      <c r="W579" s="45">
        <f t="shared" ca="1" si="2821"/>
        <v>18179.668224000005</v>
      </c>
      <c r="X579" s="45">
        <f t="shared" ca="1" si="2821"/>
        <v>18446.433878916243</v>
      </c>
      <c r="Y579" s="45">
        <f t="shared" ca="1" si="2821"/>
        <v>18717.114012015805</v>
      </c>
      <c r="Z579" s="45">
        <f t="shared" ca="1" si="2821"/>
        <v>18991.766063749383</v>
      </c>
      <c r="AA579" s="45">
        <f t="shared" ca="1" si="2821"/>
        <v>19270.448317440005</v>
      </c>
      <c r="AB579" s="45">
        <f t="shared" ca="1" si="2821"/>
        <v>19553.21991165122</v>
      </c>
      <c r="AC579" s="45">
        <f t="shared" ca="1" si="2821"/>
        <v>19840.140852736753</v>
      </c>
      <c r="AD579" s="45">
        <f t="shared" ca="1" si="2821"/>
        <v>20131.272027574349</v>
      </c>
      <c r="AE579" s="45">
        <f t="shared" ca="1" si="2821"/>
        <v>20426.675216486405</v>
      </c>
      <c r="AF579" s="45">
        <f t="shared" ca="1" si="2821"/>
        <v>20726.413106350294</v>
      </c>
      <c r="AG579" s="45">
        <f t="shared" ca="1" si="2821"/>
        <v>21030.54930390096</v>
      </c>
      <c r="AH579" s="45">
        <f t="shared" ca="1" si="2821"/>
        <v>21339.148349228806</v>
      </c>
      <c r="AI579" s="45">
        <f t="shared" ca="1" si="2821"/>
        <v>21652.27572947559</v>
      </c>
      <c r="AJ579" s="45">
        <f t="shared" ca="1" si="2821"/>
        <v>21969.99789273131</v>
      </c>
      <c r="AK579" s="45">
        <f t="shared" ca="1" si="2821"/>
        <v>22292.382262135019</v>
      </c>
      <c r="AL579" s="45">
        <f t="shared" ca="1" si="2821"/>
        <v>22619.497250182536</v>
      </c>
      <c r="AM579" s="45">
        <f t="shared" ca="1" si="2821"/>
        <v>22951.412273244125</v>
      </c>
      <c r="AN579" s="45">
        <f t="shared" ca="1" si="2821"/>
        <v>23288.19776629519</v>
      </c>
      <c r="AO579" s="45">
        <f t="shared" ca="1" si="2821"/>
        <v>23629.925197863122</v>
      </c>
      <c r="AP579" s="45">
        <f t="shared" ca="1" si="2821"/>
        <v>23976.66708519349</v>
      </c>
      <c r="AQ579" s="45">
        <f t="shared" ca="1" si="2821"/>
        <v>24328.497009638777</v>
      </c>
      <c r="AR579" s="45">
        <f t="shared" ca="1" si="2821"/>
        <v>24685.4896322729</v>
      </c>
      <c r="AS579" s="45">
        <f t="shared" ca="1" si="2821"/>
        <v>25047.720709734909</v>
      </c>
      <c r="AT579" s="45">
        <f t="shared" ca="1" si="2821"/>
        <v>25415.267110305096</v>
      </c>
      <c r="AU579" s="45">
        <f t="shared" ca="1" si="2821"/>
        <v>25788.206830217103</v>
      </c>
      <c r="AV579" s="45">
        <f t="shared" ca="1" si="2821"/>
        <v>26166.619010209273</v>
      </c>
      <c r="AW579" s="45"/>
      <c r="AX579" s="142">
        <f ca="1">SUM(G579:AW579)</f>
        <v>828043.56899082672</v>
      </c>
    </row>
    <row r="580" spans="1:50" hidden="1" outlineLevel="1" x14ac:dyDescent="0.2">
      <c r="A580" s="101" t="str">
        <f ca="1">Language!A$758</f>
        <v>кредиторская задолженность</v>
      </c>
      <c r="B580" s="188"/>
      <c r="C580" s="124" t="str">
        <f t="shared" ca="1" si="2820"/>
        <v>тыс. руб.</v>
      </c>
      <c r="D580" s="155"/>
      <c r="F580" s="57" t="s">
        <v>754</v>
      </c>
      <c r="G580" s="311">
        <f ca="1">IF(AND($B581=0,G$2&gt;1),F580,(G573+G574)*$B581/Параметры!G$30)</f>
        <v>0</v>
      </c>
      <c r="H580" s="311">
        <f ca="1">IF(AND($B581=0,H$2&gt;1),G580,(H573+H574)*$B581/Параметры!H$30)</f>
        <v>0</v>
      </c>
      <c r="I580" s="311">
        <f ca="1">IF(AND($B581=0,I$2&gt;1),H580,(I573+I574)*$B581/Параметры!I$30)</f>
        <v>0</v>
      </c>
      <c r="J580" s="311">
        <f ca="1">IF(AND($B581=0,J$2&gt;1),I580,(J573+J574)*$B581/Параметры!J$30)</f>
        <v>0</v>
      </c>
      <c r="K580" s="311">
        <f ca="1">IF(AND($B581=0,K$2&gt;1),J580,(K573+K574)*$B581/Параметры!K$30)</f>
        <v>0</v>
      </c>
      <c r="L580" s="311">
        <f ca="1">IF(AND($B581=0,L$2&gt;1),K580,(L573+L574)*$B581/Параметры!L$30)</f>
        <v>0</v>
      </c>
      <c r="M580" s="311">
        <f ca="1">IF(AND($B581=0,M$2&gt;1),L580,(M573+M574)*$B581/Параметры!M$30)</f>
        <v>0</v>
      </c>
      <c r="N580" s="311">
        <f ca="1">IF(AND($B581=0,N$2&gt;1),M580,(N573+N574)*$B581/Параметры!N$30)</f>
        <v>0</v>
      </c>
      <c r="O580" s="311">
        <f ca="1">IF(AND($B581=0,O$2&gt;1),N580,(O573+O574)*$B581/Параметры!O$30)</f>
        <v>0</v>
      </c>
      <c r="P580" s="311">
        <f ca="1">IF(AND($B581=0,P$2&gt;1),O580,(P573+P574)*$B581/Параметры!P$30)</f>
        <v>0</v>
      </c>
      <c r="Q580" s="311">
        <f ca="1">IF(AND($B581=0,Q$2&gt;1),P580,(Q573+Q574)*$B581/Параметры!Q$30)</f>
        <v>0</v>
      </c>
      <c r="R580" s="311">
        <f ca="1">IF(AND($B581=0,R$2&gt;1),Q580,(R573+R574)*$B581/Параметры!R$30)</f>
        <v>0</v>
      </c>
      <c r="S580" s="311">
        <f ca="1">IF(AND($B581=0,S$2&gt;1),R580,(S573+S574)*$B581/Параметры!S$30)</f>
        <v>0</v>
      </c>
      <c r="T580" s="311">
        <f ca="1">IF(AND($B581=0,T$2&gt;1),S580,(T573+T574)*$B581/Параметры!T$30)</f>
        <v>0</v>
      </c>
      <c r="U580" s="311">
        <f ca="1">IF(AND($B581=0,U$2&gt;1),T580,(U573+U574)*$B581/Параметры!U$30)</f>
        <v>0</v>
      </c>
      <c r="V580" s="311">
        <f ca="1">IF(AND($B581=0,V$2&gt;1),U580,(V573+V574)*$B581/Параметры!V$30)</f>
        <v>0</v>
      </c>
      <c r="W580" s="311">
        <f ca="1">IF(AND($B581=0,W$2&gt;1),V580,(W573+W574)*$B581/Параметры!W$30)</f>
        <v>0</v>
      </c>
      <c r="X580" s="311">
        <f ca="1">IF(AND($B581=0,X$2&gt;1),W580,(X573+X574)*$B581/Параметры!X$30)</f>
        <v>0</v>
      </c>
      <c r="Y580" s="311">
        <f ca="1">IF(AND($B581=0,Y$2&gt;1),X580,(Y573+Y574)*$B581/Параметры!Y$30)</f>
        <v>0</v>
      </c>
      <c r="Z580" s="311">
        <f ca="1">IF(AND($B581=0,Z$2&gt;1),Y580,(Z573+Z574)*$B581/Параметры!Z$30)</f>
        <v>0</v>
      </c>
      <c r="AA580" s="311">
        <f ca="1">IF(AND($B581=0,AA$2&gt;1),Z580,(AA573+AA574)*$B581/Параметры!AA$30)</f>
        <v>0</v>
      </c>
      <c r="AB580" s="311">
        <f ca="1">IF(AND($B581=0,AB$2&gt;1),AA580,(AB573+AB574)*$B581/Параметры!AB$30)</f>
        <v>0</v>
      </c>
      <c r="AC580" s="311">
        <f ca="1">IF(AND($B581=0,AC$2&gt;1),AB580,(AC573+AC574)*$B581/Параметры!AC$30)</f>
        <v>0</v>
      </c>
      <c r="AD580" s="311">
        <f ca="1">IF(AND($B581=0,AD$2&gt;1),AC580,(AD573+AD574)*$B581/Параметры!AD$30)</f>
        <v>0</v>
      </c>
      <c r="AE580" s="311">
        <f ca="1">IF(AND($B581=0,AE$2&gt;1),AD580,(AE573+AE574)*$B581/Параметры!AE$30)</f>
        <v>0</v>
      </c>
      <c r="AF580" s="311">
        <f ca="1">IF(AND($B581=0,AF$2&gt;1),AE580,(AF573+AF574)*$B581/Параметры!AF$30)</f>
        <v>0</v>
      </c>
      <c r="AG580" s="311">
        <f ca="1">IF(AND($B581=0,AG$2&gt;1),AF580,(AG573+AG574)*$B581/Параметры!AG$30)</f>
        <v>0</v>
      </c>
      <c r="AH580" s="311">
        <f ca="1">IF(AND($B581=0,AH$2&gt;1),AG580,(AH573+AH574)*$B581/Параметры!AH$30)</f>
        <v>0</v>
      </c>
      <c r="AI580" s="311">
        <f ca="1">IF(AND($B581=0,AI$2&gt;1),AH580,(AI573+AI574)*$B581/Параметры!AI$30)</f>
        <v>0</v>
      </c>
      <c r="AJ580" s="311">
        <f ca="1">IF(AND($B581=0,AJ$2&gt;1),AI580,(AJ573+AJ574)*$B581/Параметры!AJ$30)</f>
        <v>0</v>
      </c>
      <c r="AK580" s="311">
        <f ca="1">IF(AND($B581=0,AK$2&gt;1),AJ580,(AK573+AK574)*$B581/Параметры!AK$30)</f>
        <v>0</v>
      </c>
      <c r="AL580" s="311">
        <f ca="1">IF(AND($B581=0,AL$2&gt;1),AK580,(AL573+AL574)*$B581/Параметры!AL$30)</f>
        <v>0</v>
      </c>
      <c r="AM580" s="311">
        <f ca="1">IF(AND($B581=0,AM$2&gt;1),AL580,(AM573+AM574)*$B581/Параметры!AM$30)</f>
        <v>0</v>
      </c>
      <c r="AN580" s="311">
        <f ca="1">IF(AND($B581=0,AN$2&gt;1),AM580,(AN573+AN574)*$B581/Параметры!AN$30)</f>
        <v>0</v>
      </c>
      <c r="AO580" s="311">
        <f ca="1">IF(AND($B581=0,AO$2&gt;1),AN580,(AO573+AO574)*$B581/Параметры!AO$30)</f>
        <v>0</v>
      </c>
      <c r="AP580" s="311">
        <f ca="1">IF(AND($B581=0,AP$2&gt;1),AO580,(AP573+AP574)*$B581/Параметры!AP$30)</f>
        <v>0</v>
      </c>
      <c r="AQ580" s="311">
        <f ca="1">IF(AND($B581=0,AQ$2&gt;1),AP580,(AQ573+AQ574)*$B581/Параметры!AQ$30)</f>
        <v>0</v>
      </c>
      <c r="AR580" s="311">
        <f ca="1">IF(AND($B581=0,AR$2&gt;1),AQ580,(AR573+AR574)*$B581/Параметры!AR$30)</f>
        <v>0</v>
      </c>
      <c r="AS580" s="311">
        <f ca="1">IF(AND($B581=0,AS$2&gt;1),AR580,(AS573+AS574)*$B581/Параметры!AS$30)</f>
        <v>0</v>
      </c>
      <c r="AT580" s="311">
        <f ca="1">IF(AND($B581=0,AT$2&gt;1),AS580,(AT573+AT574)*$B581/Параметры!AT$30)</f>
        <v>0</v>
      </c>
      <c r="AU580" s="311">
        <f ca="1">IF(AND($B581=0,AU$2&gt;1),AT580,(AU573+AU574)*$B581/Параметры!AU$30)</f>
        <v>0</v>
      </c>
      <c r="AV580" s="311">
        <f ca="1">IF(AND($B581=0,AV$2&gt;1),AU580,(AV573+AV574)*$B581/Параметры!AV$30)</f>
        <v>0</v>
      </c>
      <c r="AW580" s="168"/>
      <c r="AX580" s="87"/>
    </row>
    <row r="581" spans="1:50" hidden="1" outlineLevel="1" x14ac:dyDescent="0.2">
      <c r="A581" s="181" t="str">
        <f ca="1">Language!A$759</f>
        <v>период отсрочки платежа</v>
      </c>
      <c r="B581" s="320">
        <f>$B$648</f>
        <v>0</v>
      </c>
      <c r="C581" s="152" t="str">
        <f ca="1">Language!$A$1446</f>
        <v>дней</v>
      </c>
      <c r="D581" s="100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48"/>
      <c r="AX581" s="150"/>
    </row>
    <row r="582" spans="1:50" hidden="1" outlineLevel="1" x14ac:dyDescent="0.2">
      <c r="A582" s="101" t="str">
        <f ca="1">Language!A$760</f>
        <v>авансы уплаченные</v>
      </c>
      <c r="B582" s="188"/>
      <c r="C582" s="124" t="str">
        <f t="shared" ca="1" si="2820"/>
        <v>тыс. руб.</v>
      </c>
      <c r="D582" s="155"/>
      <c r="F582" s="57" t="s">
        <v>754</v>
      </c>
      <c r="G582" s="311">
        <f ca="1">IF(AND($B583=0,G$2&gt;1),F582,(OFFSET(G573,0,1)+OFFSET(G574,0,1))*$B583/Параметры!G$30)</f>
        <v>0</v>
      </c>
      <c r="H582" s="311">
        <f ca="1">IF(AND($B583=0,H$2&gt;1),G582,(OFFSET(H573,0,1)+OFFSET(H574,0,1))*$B583/Параметры!H$30)</f>
        <v>0</v>
      </c>
      <c r="I582" s="311">
        <f ca="1">IF(AND($B583=0,I$2&gt;1),H582,(OFFSET(I573,0,1)+OFFSET(I574,0,1))*$B583/Параметры!I$30)</f>
        <v>0</v>
      </c>
      <c r="J582" s="311">
        <f ca="1">IF(AND($B583=0,J$2&gt;1),I582,(OFFSET(J573,0,1)+OFFSET(J574,0,1))*$B583/Параметры!J$30)</f>
        <v>0</v>
      </c>
      <c r="K582" s="311">
        <f ca="1">IF(AND($B583=0,K$2&gt;1),J582,(OFFSET(K573,0,1)+OFFSET(K574,0,1))*$B583/Параметры!K$30)</f>
        <v>0</v>
      </c>
      <c r="L582" s="311">
        <f ca="1">IF(AND($B583=0,L$2&gt;1),K582,(OFFSET(L573,0,1)+OFFSET(L574,0,1))*$B583/Параметры!L$30)</f>
        <v>0</v>
      </c>
      <c r="M582" s="311">
        <f ca="1">IF(AND($B583=0,M$2&gt;1),L582,(OFFSET(M573,0,1)+OFFSET(M574,0,1))*$B583/Параметры!M$30)</f>
        <v>0</v>
      </c>
      <c r="N582" s="311">
        <f ca="1">IF(AND($B583=0,N$2&gt;1),M582,(OFFSET(N573,0,1)+OFFSET(N574,0,1))*$B583/Параметры!N$30)</f>
        <v>0</v>
      </c>
      <c r="O582" s="311">
        <f ca="1">IF(AND($B583=0,O$2&gt;1),N582,(OFFSET(O573,0,1)+OFFSET(O574,0,1))*$B583/Параметры!O$30)</f>
        <v>0</v>
      </c>
      <c r="P582" s="311">
        <f ca="1">IF(AND($B583=0,P$2&gt;1),O582,(OFFSET(P573,0,1)+OFFSET(P574,0,1))*$B583/Параметры!P$30)</f>
        <v>0</v>
      </c>
      <c r="Q582" s="311">
        <f ca="1">IF(AND($B583=0,Q$2&gt;1),P582,(OFFSET(Q573,0,1)+OFFSET(Q574,0,1))*$B583/Параметры!Q$30)</f>
        <v>0</v>
      </c>
      <c r="R582" s="311">
        <f ca="1">IF(AND($B583=0,R$2&gt;1),Q582,(OFFSET(R573,0,1)+OFFSET(R574,0,1))*$B583/Параметры!R$30)</f>
        <v>0</v>
      </c>
      <c r="S582" s="311">
        <f ca="1">IF(AND($B583=0,S$2&gt;1),R582,(OFFSET(S573,0,1)+OFFSET(S574,0,1))*$B583/Параметры!S$30)</f>
        <v>0</v>
      </c>
      <c r="T582" s="311">
        <f ca="1">IF(AND($B583=0,T$2&gt;1),S582,(OFFSET(T573,0,1)+OFFSET(T574,0,1))*$B583/Параметры!T$30)</f>
        <v>0</v>
      </c>
      <c r="U582" s="311">
        <f ca="1">IF(AND($B583=0,U$2&gt;1),T582,(OFFSET(U573,0,1)+OFFSET(U574,0,1))*$B583/Параметры!U$30)</f>
        <v>0</v>
      </c>
      <c r="V582" s="311">
        <f ca="1">IF(AND($B583=0,V$2&gt;1),U582,(OFFSET(V573,0,1)+OFFSET(V574,0,1))*$B583/Параметры!V$30)</f>
        <v>0</v>
      </c>
      <c r="W582" s="311">
        <f ca="1">IF(AND($B583=0,W$2&gt;1),V582,(OFFSET(W573,0,1)+OFFSET(W574,0,1))*$B583/Параметры!W$30)</f>
        <v>0</v>
      </c>
      <c r="X582" s="311">
        <f ca="1">IF(AND($B583=0,X$2&gt;1),W582,(OFFSET(X573,0,1)+OFFSET(X574,0,1))*$B583/Параметры!X$30)</f>
        <v>0</v>
      </c>
      <c r="Y582" s="311">
        <f ca="1">IF(AND($B583=0,Y$2&gt;1),X582,(OFFSET(Y573,0,1)+OFFSET(Y574,0,1))*$B583/Параметры!Y$30)</f>
        <v>0</v>
      </c>
      <c r="Z582" s="311">
        <f ca="1">IF(AND($B583=0,Z$2&gt;1),Y582,(OFFSET(Z573,0,1)+OFFSET(Z574,0,1))*$B583/Параметры!Z$30)</f>
        <v>0</v>
      </c>
      <c r="AA582" s="311">
        <f ca="1">IF(AND($B583=0,AA$2&gt;1),Z582,(OFFSET(AA573,0,1)+OFFSET(AA574,0,1))*$B583/Параметры!AA$30)</f>
        <v>0</v>
      </c>
      <c r="AB582" s="311">
        <f ca="1">IF(AND($B583=0,AB$2&gt;1),AA582,(OFFSET(AB573,0,1)+OFFSET(AB574,0,1))*$B583/Параметры!AB$30)</f>
        <v>0</v>
      </c>
      <c r="AC582" s="311">
        <f ca="1">IF(AND($B583=0,AC$2&gt;1),AB582,(OFFSET(AC573,0,1)+OFFSET(AC574,0,1))*$B583/Параметры!AC$30)</f>
        <v>0</v>
      </c>
      <c r="AD582" s="311">
        <f ca="1">IF(AND($B583=0,AD$2&gt;1),AC582,(OFFSET(AD573,0,1)+OFFSET(AD574,0,1))*$B583/Параметры!AD$30)</f>
        <v>0</v>
      </c>
      <c r="AE582" s="311">
        <f ca="1">IF(AND($B583=0,AE$2&gt;1),AD582,(OFFSET(AE573,0,1)+OFFSET(AE574,0,1))*$B583/Параметры!AE$30)</f>
        <v>0</v>
      </c>
      <c r="AF582" s="311">
        <f ca="1">IF(AND($B583=0,AF$2&gt;1),AE582,(OFFSET(AF573,0,1)+OFFSET(AF574,0,1))*$B583/Параметры!AF$30)</f>
        <v>0</v>
      </c>
      <c r="AG582" s="311">
        <f ca="1">IF(AND($B583=0,AG$2&gt;1),AF582,(OFFSET(AG573,0,1)+OFFSET(AG574,0,1))*$B583/Параметры!AG$30)</f>
        <v>0</v>
      </c>
      <c r="AH582" s="311">
        <f ca="1">IF(AND($B583=0,AH$2&gt;1),AG582,(OFFSET(AH573,0,1)+OFFSET(AH574,0,1))*$B583/Параметры!AH$30)</f>
        <v>0</v>
      </c>
      <c r="AI582" s="311">
        <f ca="1">IF(AND($B583=0,AI$2&gt;1),AH582,(OFFSET(AI573,0,1)+OFFSET(AI574,0,1))*$B583/Параметры!AI$30)</f>
        <v>0</v>
      </c>
      <c r="AJ582" s="311">
        <f ca="1">IF(AND($B583=0,AJ$2&gt;1),AI582,(OFFSET(AJ573,0,1)+OFFSET(AJ574,0,1))*$B583/Параметры!AJ$30)</f>
        <v>0</v>
      </c>
      <c r="AK582" s="311">
        <f ca="1">IF(AND($B583=0,AK$2&gt;1),AJ582,(OFFSET(AK573,0,1)+OFFSET(AK574,0,1))*$B583/Параметры!AK$30)</f>
        <v>0</v>
      </c>
      <c r="AL582" s="311">
        <f ca="1">IF(AND($B583=0,AL$2&gt;1),AK582,(OFFSET(AL573,0,1)+OFFSET(AL574,0,1))*$B583/Параметры!AL$30)</f>
        <v>0</v>
      </c>
      <c r="AM582" s="311">
        <f ca="1">IF(AND($B583=0,AM$2&gt;1),AL582,(OFFSET(AM573,0,1)+OFFSET(AM574,0,1))*$B583/Параметры!AM$30)</f>
        <v>0</v>
      </c>
      <c r="AN582" s="311">
        <f ca="1">IF(AND($B583=0,AN$2&gt;1),AM582,(OFFSET(AN573,0,1)+OFFSET(AN574,0,1))*$B583/Параметры!AN$30)</f>
        <v>0</v>
      </c>
      <c r="AO582" s="311">
        <f ca="1">IF(AND($B583=0,AO$2&gt;1),AN582,(OFFSET(AO573,0,1)+OFFSET(AO574,0,1))*$B583/Параметры!AO$30)</f>
        <v>0</v>
      </c>
      <c r="AP582" s="311">
        <f ca="1">IF(AND($B583=0,AP$2&gt;1),AO582,(OFFSET(AP573,0,1)+OFFSET(AP574,0,1))*$B583/Параметры!AP$30)</f>
        <v>0</v>
      </c>
      <c r="AQ582" s="311">
        <f ca="1">IF(AND($B583=0,AQ$2&gt;1),AP582,(OFFSET(AQ573,0,1)+OFFSET(AQ574,0,1))*$B583/Параметры!AQ$30)</f>
        <v>0</v>
      </c>
      <c r="AR582" s="311">
        <f ca="1">IF(AND($B583=0,AR$2&gt;1),AQ582,(OFFSET(AR573,0,1)+OFFSET(AR574,0,1))*$B583/Параметры!AR$30)</f>
        <v>0</v>
      </c>
      <c r="AS582" s="311">
        <f ca="1">IF(AND($B583=0,AS$2&gt;1),AR582,(OFFSET(AS573,0,1)+OFFSET(AS574,0,1))*$B583/Параметры!AS$30)</f>
        <v>0</v>
      </c>
      <c r="AT582" s="311">
        <f ca="1">IF(AND($B583=0,AT$2&gt;1),AS582,(OFFSET(AT573,0,1)+OFFSET(AT574,0,1))*$B583/Параметры!AT$30)</f>
        <v>0</v>
      </c>
      <c r="AU582" s="311">
        <f ca="1">IF(AND($B583=0,AU$2&gt;1),AT582,(OFFSET(AU573,0,1)+OFFSET(AU574,0,1))*$B583/Параметры!AU$30)</f>
        <v>0</v>
      </c>
      <c r="AV582" s="311">
        <f ca="1">IF(AND($B583=0,AV$2&gt;1),AU582,(OFFSET(AV573,0,1)+OFFSET(AV574,0,1))*$B583/Параметры!AV$30)</f>
        <v>0</v>
      </c>
      <c r="AW582" s="168"/>
      <c r="AX582" s="182"/>
    </row>
    <row r="583" spans="1:50" hidden="1" outlineLevel="1" x14ac:dyDescent="0.2">
      <c r="A583" s="181" t="str">
        <f ca="1">Language!A$761</f>
        <v>период предоплаты</v>
      </c>
      <c r="B583" s="320">
        <f>$B$654</f>
        <v>0</v>
      </c>
      <c r="C583" s="152" t="str">
        <f ca="1">Language!$A$1446</f>
        <v>дней</v>
      </c>
      <c r="D583" s="100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48"/>
      <c r="AX583" s="150"/>
    </row>
    <row r="584" spans="1:50" hidden="1" outlineLevel="1" x14ac:dyDescent="0.2">
      <c r="A584" s="172" t="str">
        <f ca="1">Language!A$762</f>
        <v>оплата постоянных издержек, с НДС</v>
      </c>
      <c r="C584" s="124" t="str">
        <f t="shared" ca="1" si="2820"/>
        <v>тыс. руб.</v>
      </c>
      <c r="D584" s="66"/>
      <c r="F584" s="57" t="s">
        <v>753</v>
      </c>
      <c r="G584" s="45">
        <f ca="1">G573+G574-IF(G$2=1,G580,G580-F580)+IF(G$2=1,G582,G582-F582)</f>
        <v>16992</v>
      </c>
      <c r="H584" s="45">
        <f t="shared" ref="H584:AV584" ca="1" si="2822">H573+H574-IF(H$2=1,H580,H580-G580)+IF(H$2=1,H582,H582-G582)</f>
        <v>17241.337994097859</v>
      </c>
      <c r="I584" s="45">
        <f t="shared" ca="1" si="2822"/>
        <v>17494.334735565113</v>
      </c>
      <c r="J584" s="45">
        <f t="shared" ca="1" si="2822"/>
        <v>17751.043912297824</v>
      </c>
      <c r="K584" s="45">
        <f t="shared" ca="1" si="2822"/>
        <v>18011.52</v>
      </c>
      <c r="L584" s="45">
        <f t="shared" ca="1" si="2822"/>
        <v>18275.818273743731</v>
      </c>
      <c r="M584" s="45">
        <f t="shared" ca="1" si="2822"/>
        <v>18543.994819699019</v>
      </c>
      <c r="N584" s="45">
        <f t="shared" ca="1" si="2822"/>
        <v>18816.106547035695</v>
      </c>
      <c r="O584" s="45">
        <f t="shared" ca="1" si="2822"/>
        <v>19092.211199999998</v>
      </c>
      <c r="P584" s="45">
        <f t="shared" ca="1" si="2822"/>
        <v>19372.367370168358</v>
      </c>
      <c r="Q584" s="45">
        <f t="shared" ca="1" si="2822"/>
        <v>19656.634508880958</v>
      </c>
      <c r="R584" s="45">
        <f t="shared" ca="1" si="2822"/>
        <v>19945.072939857841</v>
      </c>
      <c r="S584" s="45">
        <f t="shared" ca="1" si="2822"/>
        <v>20237.743872000003</v>
      </c>
      <c r="T584" s="45">
        <f t="shared" ca="1" si="2822"/>
        <v>20534.709412378455</v>
      </c>
      <c r="U584" s="45">
        <f t="shared" ca="1" si="2822"/>
        <v>20836.032579413819</v>
      </c>
      <c r="V584" s="45">
        <f t="shared" ca="1" si="2822"/>
        <v>21141.77731624931</v>
      </c>
      <c r="W584" s="45">
        <f t="shared" ca="1" si="2822"/>
        <v>21452.008504320005</v>
      </c>
      <c r="X584" s="45">
        <f t="shared" ca="1" si="2822"/>
        <v>21766.791977121167</v>
      </c>
      <c r="Y584" s="45">
        <f t="shared" ca="1" si="2822"/>
        <v>22086.194534178649</v>
      </c>
      <c r="Z584" s="45">
        <f t="shared" ca="1" si="2822"/>
        <v>22410.283955224273</v>
      </c>
      <c r="AA584" s="45">
        <f t="shared" ca="1" si="2822"/>
        <v>22739.129014579205</v>
      </c>
      <c r="AB584" s="45">
        <f t="shared" ca="1" si="2822"/>
        <v>23072.799495748441</v>
      </c>
      <c r="AC584" s="45">
        <f t="shared" ca="1" si="2822"/>
        <v>23411.36620622937</v>
      </c>
      <c r="AD584" s="45">
        <f t="shared" ca="1" si="2822"/>
        <v>23754.900992537732</v>
      </c>
      <c r="AE584" s="45">
        <f t="shared" ca="1" si="2822"/>
        <v>24103.476755453958</v>
      </c>
      <c r="AF584" s="45">
        <f t="shared" ca="1" si="2822"/>
        <v>24457.167465493345</v>
      </c>
      <c r="AG584" s="45">
        <f t="shared" ca="1" si="2822"/>
        <v>24816.048178603131</v>
      </c>
      <c r="AH584" s="45">
        <f t="shared" ca="1" si="2822"/>
        <v>25180.195052089992</v>
      </c>
      <c r="AI584" s="45">
        <f t="shared" ca="1" si="2822"/>
        <v>25549.685360781197</v>
      </c>
      <c r="AJ584" s="45">
        <f t="shared" ca="1" si="2822"/>
        <v>25924.597513422945</v>
      </c>
      <c r="AK584" s="45">
        <f t="shared" ca="1" si="2822"/>
        <v>26305.011069319324</v>
      </c>
      <c r="AL584" s="45">
        <f t="shared" ca="1" si="2822"/>
        <v>26691.006755215392</v>
      </c>
      <c r="AM584" s="45">
        <f t="shared" ca="1" si="2822"/>
        <v>27082.666482428067</v>
      </c>
      <c r="AN584" s="45">
        <f t="shared" ca="1" si="2822"/>
        <v>27480.073364228323</v>
      </c>
      <c r="AO584" s="45">
        <f t="shared" ca="1" si="2822"/>
        <v>27883.311733478484</v>
      </c>
      <c r="AP584" s="45">
        <f t="shared" ca="1" si="2822"/>
        <v>28292.467160528318</v>
      </c>
      <c r="AQ584" s="45">
        <f t="shared" ca="1" si="2822"/>
        <v>28707.626471373755</v>
      </c>
      <c r="AR584" s="45">
        <f t="shared" ca="1" si="2822"/>
        <v>29128.877766082023</v>
      </c>
      <c r="AS584" s="45">
        <f t="shared" ca="1" si="2822"/>
        <v>29556.310437487191</v>
      </c>
      <c r="AT584" s="45">
        <f t="shared" ca="1" si="2822"/>
        <v>29990.015190160015</v>
      </c>
      <c r="AU584" s="45">
        <f t="shared" ca="1" si="2822"/>
        <v>30430.084059656183</v>
      </c>
      <c r="AV584" s="45">
        <f t="shared" ca="1" si="2822"/>
        <v>30876.610432046942</v>
      </c>
      <c r="AW584" s="148"/>
      <c r="AX584" s="142">
        <f ca="1">SUM(G584:AW584)</f>
        <v>977091.41140917537</v>
      </c>
    </row>
    <row r="585" spans="1:50" collapsed="1" x14ac:dyDescent="0.2">
      <c r="A585" s="38" t="str">
        <f ca="1">Language!A$763</f>
        <v>Итого: Управленческие издержки, с НДС</v>
      </c>
      <c r="C585" s="124" t="str">
        <f t="shared" ca="1" si="2797"/>
        <v>тыс. руб.</v>
      </c>
      <c r="D585" s="66">
        <v>1</v>
      </c>
      <c r="F585" s="57" t="s">
        <v>753</v>
      </c>
      <c r="G585" s="138">
        <f t="shared" ref="G585:AV585" ca="1" si="2823">G586+G587</f>
        <v>8496</v>
      </c>
      <c r="H585" s="138">
        <f t="shared" ca="1" si="2823"/>
        <v>8620.6689970489278</v>
      </c>
      <c r="I585" s="138">
        <f t="shared" ca="1" si="2823"/>
        <v>8747.1673677825547</v>
      </c>
      <c r="J585" s="138">
        <f t="shared" ca="1" si="2823"/>
        <v>8875.5219561489121</v>
      </c>
      <c r="K585" s="138">
        <f t="shared" ca="1" si="2823"/>
        <v>9005.76</v>
      </c>
      <c r="L585" s="138">
        <f t="shared" ca="1" si="2823"/>
        <v>9137.9091368718655</v>
      </c>
      <c r="M585" s="138">
        <f t="shared" ca="1" si="2823"/>
        <v>9271.9974098495095</v>
      </c>
      <c r="N585" s="138">
        <f t="shared" ca="1" si="2823"/>
        <v>9408.0532735178476</v>
      </c>
      <c r="O585" s="138">
        <f t="shared" ca="1" si="2823"/>
        <v>9546.105599999999</v>
      </c>
      <c r="P585" s="138">
        <f t="shared" ca="1" si="2823"/>
        <v>9686.1836850841773</v>
      </c>
      <c r="Q585" s="138">
        <f t="shared" ca="1" si="2823"/>
        <v>9828.3172544404788</v>
      </c>
      <c r="R585" s="138">
        <f t="shared" ca="1" si="2823"/>
        <v>9972.5364699289185</v>
      </c>
      <c r="S585" s="138">
        <f t="shared" ca="1" si="2823"/>
        <v>10118.871936000001</v>
      </c>
      <c r="T585" s="138">
        <f t="shared" ca="1" si="2823"/>
        <v>10267.354706189228</v>
      </c>
      <c r="U585" s="138">
        <f t="shared" ca="1" si="2823"/>
        <v>10418.016289706908</v>
      </c>
      <c r="V585" s="138">
        <f t="shared" ca="1" si="2823"/>
        <v>10570.888658124655</v>
      </c>
      <c r="W585" s="138">
        <f t="shared" ca="1" si="2823"/>
        <v>10726.004252160003</v>
      </c>
      <c r="X585" s="138">
        <f t="shared" ca="1" si="2823"/>
        <v>10883.395988560584</v>
      </c>
      <c r="Y585" s="138">
        <f t="shared" ca="1" si="2823"/>
        <v>11043.097267089324</v>
      </c>
      <c r="Z585" s="138">
        <f t="shared" ca="1" si="2823"/>
        <v>11205.141977612133</v>
      </c>
      <c r="AA585" s="138">
        <f t="shared" ca="1" si="2823"/>
        <v>11369.5645072896</v>
      </c>
      <c r="AB585" s="138">
        <f t="shared" ca="1" si="2823"/>
        <v>11536.399747874217</v>
      </c>
      <c r="AC585" s="138">
        <f t="shared" ca="1" si="2823"/>
        <v>11705.683103114685</v>
      </c>
      <c r="AD585" s="138">
        <f t="shared" ca="1" si="2823"/>
        <v>11877.450496268862</v>
      </c>
      <c r="AE585" s="138">
        <f t="shared" ca="1" si="2823"/>
        <v>12051.738377726977</v>
      </c>
      <c r="AF585" s="138">
        <f t="shared" ca="1" si="2823"/>
        <v>12228.583732746671</v>
      </c>
      <c r="AG585" s="138">
        <f t="shared" ca="1" si="2823"/>
        <v>12408.024089301565</v>
      </c>
      <c r="AH585" s="138">
        <f t="shared" ca="1" si="2823"/>
        <v>12590.097526044996</v>
      </c>
      <c r="AI585" s="138">
        <f t="shared" ca="1" si="2823"/>
        <v>12774.842680390599</v>
      </c>
      <c r="AJ585" s="138">
        <f t="shared" ca="1" si="2823"/>
        <v>12962.298756711474</v>
      </c>
      <c r="AK585" s="138">
        <f t="shared" ca="1" si="2823"/>
        <v>13152.505534659662</v>
      </c>
      <c r="AL585" s="138">
        <f t="shared" ca="1" si="2823"/>
        <v>13345.503377607698</v>
      </c>
      <c r="AM585" s="138">
        <f t="shared" ca="1" si="2823"/>
        <v>13541.333241214035</v>
      </c>
      <c r="AN585" s="138">
        <f t="shared" ca="1" si="2823"/>
        <v>13740.036682114162</v>
      </c>
      <c r="AO585" s="138">
        <f t="shared" ca="1" si="2823"/>
        <v>13941.655866739242</v>
      </c>
      <c r="AP585" s="138">
        <f t="shared" ca="1" si="2823"/>
        <v>14146.233580264159</v>
      </c>
      <c r="AQ585" s="138">
        <f t="shared" ca="1" si="2823"/>
        <v>14353.813235686875</v>
      </c>
      <c r="AR585" s="138">
        <f t="shared" ca="1" si="2823"/>
        <v>14564.438883041012</v>
      </c>
      <c r="AS585" s="138">
        <f t="shared" ca="1" si="2823"/>
        <v>14778.155218743594</v>
      </c>
      <c r="AT585" s="138">
        <f t="shared" ca="1" si="2823"/>
        <v>14995.007595080006</v>
      </c>
      <c r="AU585" s="138">
        <f t="shared" ca="1" si="2823"/>
        <v>15215.042029828088</v>
      </c>
      <c r="AV585" s="138">
        <f t="shared" ca="1" si="2823"/>
        <v>15438.305216023471</v>
      </c>
      <c r="AW585" s="148"/>
      <c r="AX585" s="171">
        <f ca="1">SUM(G585:AW585)</f>
        <v>488545.70570458763</v>
      </c>
    </row>
    <row r="586" spans="1:50" hidden="1" outlineLevel="1" x14ac:dyDescent="0.2">
      <c r="A586" s="99" t="str">
        <f ca="1">Language!A$764</f>
        <v>сумма без НДС</v>
      </c>
      <c r="C586" s="124" t="str">
        <f t="shared" ca="1" si="2797"/>
        <v>тыс. руб.</v>
      </c>
      <c r="D586" s="66">
        <v>1</v>
      </c>
      <c r="F586" s="57" t="s">
        <v>1054</v>
      </c>
      <c r="G586" s="138">
        <f t="shared" ref="G586:AV586" ca="1" si="2824">SUM(G$546,G$554)</f>
        <v>7200</v>
      </c>
      <c r="H586" s="138">
        <f t="shared" ca="1" si="2824"/>
        <v>7305.6516924143461</v>
      </c>
      <c r="I586" s="138">
        <f t="shared" ca="1" si="2824"/>
        <v>7412.8537015106394</v>
      </c>
      <c r="J586" s="138">
        <f t="shared" ca="1" si="2824"/>
        <v>7521.6287763973833</v>
      </c>
      <c r="K586" s="138">
        <f t="shared" ca="1" si="2824"/>
        <v>7632</v>
      </c>
      <c r="L586" s="138">
        <f t="shared" ca="1" si="2824"/>
        <v>7743.9907939592076</v>
      </c>
      <c r="M586" s="138">
        <f t="shared" ca="1" si="2824"/>
        <v>7857.6249236012791</v>
      </c>
      <c r="N586" s="138">
        <f t="shared" ca="1" si="2824"/>
        <v>7972.9265029812268</v>
      </c>
      <c r="O586" s="138">
        <f t="shared" ca="1" si="2824"/>
        <v>8089.92</v>
      </c>
      <c r="P586" s="138">
        <f t="shared" ca="1" si="2824"/>
        <v>8208.6302415967602</v>
      </c>
      <c r="Q586" s="138">
        <f t="shared" ca="1" si="2824"/>
        <v>8329.0824190173553</v>
      </c>
      <c r="R586" s="138">
        <f t="shared" ca="1" si="2824"/>
        <v>8451.3020931601004</v>
      </c>
      <c r="S586" s="138">
        <f t="shared" ca="1" si="2824"/>
        <v>8575.3152000000009</v>
      </c>
      <c r="T586" s="138">
        <f t="shared" ca="1" si="2824"/>
        <v>8701.1480560925665</v>
      </c>
      <c r="U586" s="138">
        <f t="shared" ca="1" si="2824"/>
        <v>8828.8273641583964</v>
      </c>
      <c r="V586" s="138">
        <f t="shared" ca="1" si="2824"/>
        <v>8958.3802187497076</v>
      </c>
      <c r="W586" s="138">
        <f t="shared" ca="1" si="2824"/>
        <v>9089.8341120000023</v>
      </c>
      <c r="X586" s="138">
        <f t="shared" ca="1" si="2824"/>
        <v>9223.2169394581215</v>
      </c>
      <c r="Y586" s="138">
        <f t="shared" ca="1" si="2824"/>
        <v>9358.5570060079026</v>
      </c>
      <c r="Z586" s="138">
        <f t="shared" ca="1" si="2824"/>
        <v>9495.8830318746896</v>
      </c>
      <c r="AA586" s="138">
        <f t="shared" ca="1" si="2824"/>
        <v>9635.2241587200006</v>
      </c>
      <c r="AB586" s="138">
        <f t="shared" ca="1" si="2824"/>
        <v>9776.6099558256083</v>
      </c>
      <c r="AC586" s="138">
        <f t="shared" ca="1" si="2824"/>
        <v>9920.0704263683765</v>
      </c>
      <c r="AD586" s="138">
        <f t="shared" ca="1" si="2824"/>
        <v>10065.636013787172</v>
      </c>
      <c r="AE586" s="138">
        <f t="shared" ca="1" si="2824"/>
        <v>10213.337608243201</v>
      </c>
      <c r="AF586" s="138">
        <f t="shared" ca="1" si="2824"/>
        <v>10363.206553175145</v>
      </c>
      <c r="AG586" s="138">
        <f t="shared" ca="1" si="2824"/>
        <v>10515.27465195048</v>
      </c>
      <c r="AH586" s="138">
        <f t="shared" ca="1" si="2824"/>
        <v>10669.574174614403</v>
      </c>
      <c r="AI586" s="138">
        <f t="shared" ca="1" si="2824"/>
        <v>10826.137864737795</v>
      </c>
      <c r="AJ586" s="138">
        <f t="shared" ca="1" si="2824"/>
        <v>10984.998946365657</v>
      </c>
      <c r="AK586" s="138">
        <f t="shared" ca="1" si="2824"/>
        <v>11146.19113106751</v>
      </c>
      <c r="AL586" s="138">
        <f t="shared" ca="1" si="2824"/>
        <v>11309.74862509127</v>
      </c>
      <c r="AM586" s="138">
        <f t="shared" ca="1" si="2824"/>
        <v>11475.706136622064</v>
      </c>
      <c r="AN586" s="138">
        <f t="shared" ca="1" si="2824"/>
        <v>11644.098883147595</v>
      </c>
      <c r="AO586" s="138">
        <f t="shared" ca="1" si="2824"/>
        <v>11814.962598931561</v>
      </c>
      <c r="AP586" s="138">
        <f t="shared" ca="1" si="2824"/>
        <v>11988.333542596745</v>
      </c>
      <c r="AQ586" s="138">
        <f t="shared" ca="1" si="2824"/>
        <v>12164.248504819387</v>
      </c>
      <c r="AR586" s="138">
        <f t="shared" ca="1" si="2824"/>
        <v>12342.74481613645</v>
      </c>
      <c r="AS586" s="138">
        <f t="shared" ca="1" si="2824"/>
        <v>12523.860354867453</v>
      </c>
      <c r="AT586" s="138">
        <f t="shared" ca="1" si="2824"/>
        <v>12707.633555152548</v>
      </c>
      <c r="AU586" s="138">
        <f t="shared" ca="1" si="2824"/>
        <v>12894.10341510855</v>
      </c>
      <c r="AV586" s="138">
        <f t="shared" ca="1" si="2824"/>
        <v>13083.309505104637</v>
      </c>
      <c r="AW586" s="148"/>
      <c r="AX586" s="171">
        <f ca="1">SUM(G586:AW586)</f>
        <v>414021.78449541336</v>
      </c>
    </row>
    <row r="587" spans="1:50" hidden="1" outlineLevel="1" x14ac:dyDescent="0.2">
      <c r="A587" s="99" t="str">
        <f ca="1">Language!A$765</f>
        <v>НДС начисленный</v>
      </c>
      <c r="C587" s="124"/>
      <c r="D587" s="66">
        <v>1</v>
      </c>
      <c r="F587" s="57" t="s">
        <v>1114</v>
      </c>
      <c r="G587" s="138">
        <f t="shared" ref="G587:AV587" ca="1" si="2825">SUM(G$551,G$559)</f>
        <v>1296</v>
      </c>
      <c r="H587" s="138">
        <f t="shared" ca="1" si="2825"/>
        <v>1315.0173046345824</v>
      </c>
      <c r="I587" s="138">
        <f t="shared" ca="1" si="2825"/>
        <v>1334.3136662719151</v>
      </c>
      <c r="J587" s="138">
        <f t="shared" ca="1" si="2825"/>
        <v>1353.893179751529</v>
      </c>
      <c r="K587" s="138">
        <f t="shared" ca="1" si="2825"/>
        <v>1373.76</v>
      </c>
      <c r="L587" s="138">
        <f t="shared" ca="1" si="2825"/>
        <v>1393.9183429126574</v>
      </c>
      <c r="M587" s="138">
        <f t="shared" ca="1" si="2825"/>
        <v>1414.3724862482302</v>
      </c>
      <c r="N587" s="138">
        <f t="shared" ca="1" si="2825"/>
        <v>1435.1267705366208</v>
      </c>
      <c r="O587" s="138">
        <f t="shared" ca="1" si="2825"/>
        <v>1456.1855999999998</v>
      </c>
      <c r="P587" s="138">
        <f t="shared" ca="1" si="2825"/>
        <v>1477.5534434874166</v>
      </c>
      <c r="Q587" s="138">
        <f t="shared" ca="1" si="2825"/>
        <v>1499.234835423124</v>
      </c>
      <c r="R587" s="138">
        <f t="shared" ca="1" si="2825"/>
        <v>1521.2343767688183</v>
      </c>
      <c r="S587" s="138">
        <f t="shared" ca="1" si="2825"/>
        <v>1543.5567360000002</v>
      </c>
      <c r="T587" s="138">
        <f t="shared" ca="1" si="2825"/>
        <v>1566.2066500966619</v>
      </c>
      <c r="U587" s="138">
        <f t="shared" ca="1" si="2825"/>
        <v>1589.1889255485114</v>
      </c>
      <c r="V587" s="138">
        <f t="shared" ca="1" si="2825"/>
        <v>1612.5084393749471</v>
      </c>
      <c r="W587" s="138">
        <f t="shared" ca="1" si="2825"/>
        <v>1636.1701401600003</v>
      </c>
      <c r="X587" s="138">
        <f t="shared" ca="1" si="2825"/>
        <v>1660.1790491024619</v>
      </c>
      <c r="Y587" s="138">
        <f t="shared" ca="1" si="2825"/>
        <v>1684.5402610814224</v>
      </c>
      <c r="Z587" s="138">
        <f t="shared" ca="1" si="2825"/>
        <v>1709.2589457374443</v>
      </c>
      <c r="AA587" s="138">
        <f t="shared" ca="1" si="2825"/>
        <v>1734.3403485696001</v>
      </c>
      <c r="AB587" s="138">
        <f t="shared" ca="1" si="2825"/>
        <v>1759.7897920486093</v>
      </c>
      <c r="AC587" s="138">
        <f t="shared" ca="1" si="2825"/>
        <v>1785.6126767463077</v>
      </c>
      <c r="AD587" s="138">
        <f t="shared" ca="1" si="2825"/>
        <v>1811.8144824816907</v>
      </c>
      <c r="AE587" s="138">
        <f t="shared" ca="1" si="2825"/>
        <v>1838.400769483776</v>
      </c>
      <c r="AF587" s="138">
        <f t="shared" ca="1" si="2825"/>
        <v>1865.3771795715259</v>
      </c>
      <c r="AG587" s="138">
        <f t="shared" ca="1" si="2825"/>
        <v>1892.7494373510863</v>
      </c>
      <c r="AH587" s="138">
        <f t="shared" ca="1" si="2825"/>
        <v>1920.5233514305926</v>
      </c>
      <c r="AI587" s="138">
        <f t="shared" ca="1" si="2825"/>
        <v>1948.7048156528031</v>
      </c>
      <c r="AJ587" s="138">
        <f t="shared" ca="1" si="2825"/>
        <v>1977.2998103458181</v>
      </c>
      <c r="AK587" s="138">
        <f t="shared" ca="1" si="2825"/>
        <v>2006.3144035921516</v>
      </c>
      <c r="AL587" s="138">
        <f t="shared" ca="1" si="2825"/>
        <v>2035.7547525164284</v>
      </c>
      <c r="AM587" s="138">
        <f t="shared" ca="1" si="2825"/>
        <v>2065.6271045919716</v>
      </c>
      <c r="AN587" s="138">
        <f t="shared" ca="1" si="2825"/>
        <v>2095.9377989665672</v>
      </c>
      <c r="AO587" s="138">
        <f t="shared" ca="1" si="2825"/>
        <v>2126.693267807681</v>
      </c>
      <c r="AP587" s="138">
        <f t="shared" ca="1" si="2825"/>
        <v>2157.9000376674139</v>
      </c>
      <c r="AQ587" s="138">
        <f t="shared" ca="1" si="2825"/>
        <v>2189.5647308674893</v>
      </c>
      <c r="AR587" s="138">
        <f t="shared" ca="1" si="2825"/>
        <v>2221.6940669045612</v>
      </c>
      <c r="AS587" s="138">
        <f t="shared" ca="1" si="2825"/>
        <v>2254.2948638761413</v>
      </c>
      <c r="AT587" s="138">
        <f t="shared" ca="1" si="2825"/>
        <v>2287.3740399274584</v>
      </c>
      <c r="AU587" s="138">
        <f t="shared" ca="1" si="2825"/>
        <v>2320.9386147195391</v>
      </c>
      <c r="AV587" s="138">
        <f t="shared" ca="1" si="2825"/>
        <v>2354.9957109188344</v>
      </c>
      <c r="AW587" s="148"/>
      <c r="AX587" s="171">
        <f ca="1">SUM(G587:AW587)</f>
        <v>74523.921209174383</v>
      </c>
    </row>
    <row r="588" spans="1:50" hidden="1" outlineLevel="1" x14ac:dyDescent="0.2">
      <c r="A588" s="99" t="str">
        <f ca="1">Language!A$766</f>
        <v>затраты в запасах готовой продукции</v>
      </c>
      <c r="B588" s="195"/>
      <c r="C588" s="124" t="str">
        <f t="shared" ref="C588:C597" ca="1" si="2826">CurName1</f>
        <v>тыс. руб.</v>
      </c>
      <c r="D588" s="66"/>
      <c r="F588" s="57" t="s">
        <v>754</v>
      </c>
      <c r="G588" s="311">
        <f ca="1">IF(AND($B589=0,G$2&gt;1), F588, G586*$B589/Параметры!G$30)</f>
        <v>0</v>
      </c>
      <c r="H588" s="311">
        <f ca="1">IF(AND($B589=0,H$2&gt;1), G588, H586*$B589/Параметры!H$30)</f>
        <v>0</v>
      </c>
      <c r="I588" s="311">
        <f ca="1">IF(AND($B589=0,I$2&gt;1), H588, I586*$B589/Параметры!I$30)</f>
        <v>0</v>
      </c>
      <c r="J588" s="311">
        <f ca="1">IF(AND($B589=0,J$2&gt;1), I588, J586*$B589/Параметры!J$30)</f>
        <v>0</v>
      </c>
      <c r="K588" s="311">
        <f ca="1">IF(AND($B589=0,K$2&gt;1), J588, K586*$B589/Параметры!K$30)</f>
        <v>0</v>
      </c>
      <c r="L588" s="311">
        <f ca="1">IF(AND($B589=0,L$2&gt;1), K588, L586*$B589/Параметры!L$30)</f>
        <v>0</v>
      </c>
      <c r="M588" s="311">
        <f ca="1">IF(AND($B589=0,M$2&gt;1), L588, M586*$B589/Параметры!M$30)</f>
        <v>0</v>
      </c>
      <c r="N588" s="311">
        <f ca="1">IF(AND($B589=0,N$2&gt;1), M588, N586*$B589/Параметры!N$30)</f>
        <v>0</v>
      </c>
      <c r="O588" s="311">
        <f ca="1">IF(AND($B589=0,O$2&gt;1), N588, O586*$B589/Параметры!O$30)</f>
        <v>0</v>
      </c>
      <c r="P588" s="311">
        <f ca="1">IF(AND($B589=0,P$2&gt;1), O588, P586*$B589/Параметры!P$30)</f>
        <v>0</v>
      </c>
      <c r="Q588" s="311">
        <f ca="1">IF(AND($B589=0,Q$2&gt;1), P588, Q586*$B589/Параметры!Q$30)</f>
        <v>0</v>
      </c>
      <c r="R588" s="311">
        <f ca="1">IF(AND($B589=0,R$2&gt;1), Q588, R586*$B589/Параметры!R$30)</f>
        <v>0</v>
      </c>
      <c r="S588" s="311">
        <f ca="1">IF(AND($B589=0,S$2&gt;1), R588, S586*$B589/Параметры!S$30)</f>
        <v>0</v>
      </c>
      <c r="T588" s="311">
        <f ca="1">IF(AND($B589=0,T$2&gt;1), S588, T586*$B589/Параметры!T$30)</f>
        <v>0</v>
      </c>
      <c r="U588" s="311">
        <f ca="1">IF(AND($B589=0,U$2&gt;1), T588, U586*$B589/Параметры!U$30)</f>
        <v>0</v>
      </c>
      <c r="V588" s="311">
        <f ca="1">IF(AND($B589=0,V$2&gt;1), U588, V586*$B589/Параметры!V$30)</f>
        <v>0</v>
      </c>
      <c r="W588" s="311">
        <f ca="1">IF(AND($B589=0,W$2&gt;1), V588, W586*$B589/Параметры!W$30)</f>
        <v>0</v>
      </c>
      <c r="X588" s="311">
        <f ca="1">IF(AND($B589=0,X$2&gt;1), W588, X586*$B589/Параметры!X$30)</f>
        <v>0</v>
      </c>
      <c r="Y588" s="311">
        <f ca="1">IF(AND($B589=0,Y$2&gt;1), X588, Y586*$B589/Параметры!Y$30)</f>
        <v>0</v>
      </c>
      <c r="Z588" s="311">
        <f ca="1">IF(AND($B589=0,Z$2&gt;1), Y588, Z586*$B589/Параметры!Z$30)</f>
        <v>0</v>
      </c>
      <c r="AA588" s="311">
        <f ca="1">IF(AND($B589=0,AA$2&gt;1), Z588, AA586*$B589/Параметры!AA$30)</f>
        <v>0</v>
      </c>
      <c r="AB588" s="311">
        <f ca="1">IF(AND($B589=0,AB$2&gt;1), AA588, AB586*$B589/Параметры!AB$30)</f>
        <v>0</v>
      </c>
      <c r="AC588" s="311">
        <f ca="1">IF(AND($B589=0,AC$2&gt;1), AB588, AC586*$B589/Параметры!AC$30)</f>
        <v>0</v>
      </c>
      <c r="AD588" s="311">
        <f ca="1">IF(AND($B589=0,AD$2&gt;1), AC588, AD586*$B589/Параметры!AD$30)</f>
        <v>0</v>
      </c>
      <c r="AE588" s="311">
        <f ca="1">IF(AND($B589=0,AE$2&gt;1), AD588, AE586*$B589/Параметры!AE$30)</f>
        <v>0</v>
      </c>
      <c r="AF588" s="311">
        <f ca="1">IF(AND($B589=0,AF$2&gt;1), AE588, AF586*$B589/Параметры!AF$30)</f>
        <v>0</v>
      </c>
      <c r="AG588" s="311">
        <f ca="1">IF(AND($B589=0,AG$2&gt;1), AF588, AG586*$B589/Параметры!AG$30)</f>
        <v>0</v>
      </c>
      <c r="AH588" s="311">
        <f ca="1">IF(AND($B589=0,AH$2&gt;1), AG588, AH586*$B589/Параметры!AH$30)</f>
        <v>0</v>
      </c>
      <c r="AI588" s="311">
        <f ca="1">IF(AND($B589=0,AI$2&gt;1), AH588, AI586*$B589/Параметры!AI$30)</f>
        <v>0</v>
      </c>
      <c r="AJ588" s="311">
        <f ca="1">IF(AND($B589=0,AJ$2&gt;1), AI588, AJ586*$B589/Параметры!AJ$30)</f>
        <v>0</v>
      </c>
      <c r="AK588" s="311">
        <f ca="1">IF(AND($B589=0,AK$2&gt;1), AJ588, AK586*$B589/Параметры!AK$30)</f>
        <v>0</v>
      </c>
      <c r="AL588" s="311">
        <f ca="1">IF(AND($B589=0,AL$2&gt;1), AK588, AL586*$B589/Параметры!AL$30)</f>
        <v>0</v>
      </c>
      <c r="AM588" s="311">
        <f ca="1">IF(AND($B589=0,AM$2&gt;1), AL588, AM586*$B589/Параметры!AM$30)</f>
        <v>0</v>
      </c>
      <c r="AN588" s="311">
        <f ca="1">IF(AND($B589=0,AN$2&gt;1), AM588, AN586*$B589/Параметры!AN$30)</f>
        <v>0</v>
      </c>
      <c r="AO588" s="311">
        <f ca="1">IF(AND($B589=0,AO$2&gt;1), AN588, AO586*$B589/Параметры!AO$30)</f>
        <v>0</v>
      </c>
      <c r="AP588" s="311">
        <f ca="1">IF(AND($B589=0,AP$2&gt;1), AO588, AP586*$B589/Параметры!AP$30)</f>
        <v>0</v>
      </c>
      <c r="AQ588" s="311">
        <f ca="1">IF(AND($B589=0,AQ$2&gt;1), AP588, AQ586*$B589/Параметры!AQ$30)</f>
        <v>0</v>
      </c>
      <c r="AR588" s="311">
        <f ca="1">IF(AND($B589=0,AR$2&gt;1), AQ588, AR586*$B589/Параметры!AR$30)</f>
        <v>0</v>
      </c>
      <c r="AS588" s="311">
        <f ca="1">IF(AND($B589=0,AS$2&gt;1), AR588, AS586*$B589/Параметры!AS$30)</f>
        <v>0</v>
      </c>
      <c r="AT588" s="311">
        <f ca="1">IF(AND($B589=0,AT$2&gt;1), AS588, AT586*$B589/Параметры!AT$30)</f>
        <v>0</v>
      </c>
      <c r="AU588" s="311">
        <f ca="1">IF(AND($B589=0,AU$2&gt;1), AT588, AU586*$B589/Параметры!AU$30)</f>
        <v>0</v>
      </c>
      <c r="AV588" s="311">
        <f ca="1">IF(AND($B589=0,AV$2&gt;1), AU588, AV586*$B589/Параметры!AV$30)</f>
        <v>0</v>
      </c>
      <c r="AW588" s="148"/>
      <c r="AX588" s="171"/>
    </row>
    <row r="589" spans="1:50" hidden="1" outlineLevel="1" x14ac:dyDescent="0.2">
      <c r="A589" s="206" t="str">
        <f ca="1">Language!A$767</f>
        <v>периодичность отгрузки</v>
      </c>
      <c r="B589" s="313">
        <v>0</v>
      </c>
      <c r="C589" s="124" t="str">
        <f ca="1">Language!$A$1446</f>
        <v>дней</v>
      </c>
      <c r="D589" s="66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71"/>
    </row>
    <row r="590" spans="1:50" hidden="1" outlineLevel="1" x14ac:dyDescent="0.2">
      <c r="A590" s="99" t="str">
        <f ca="1">Language!A$768</f>
        <v>затраты в незавершенном производстве</v>
      </c>
      <c r="B590" s="195"/>
      <c r="C590" s="124" t="str">
        <f t="shared" ca="1" si="2826"/>
        <v>тыс. руб.</v>
      </c>
      <c r="D590" s="66"/>
      <c r="F590" s="57" t="s">
        <v>754</v>
      </c>
      <c r="G590" s="311">
        <f ca="1">IF(AND($B591=0,G$2&gt;1), F590, G586*$B591/Параметры!G$30)</f>
        <v>0</v>
      </c>
      <c r="H590" s="311">
        <f ca="1">IF(AND($B591=0,H$2&gt;1), G590, H586*$B591/Параметры!H$30)</f>
        <v>0</v>
      </c>
      <c r="I590" s="311">
        <f ca="1">IF(AND($B591=0,I$2&gt;1), H590, I586*$B591/Параметры!I$30)</f>
        <v>0</v>
      </c>
      <c r="J590" s="311">
        <f ca="1">IF(AND($B591=0,J$2&gt;1), I590, J586*$B591/Параметры!J$30)</f>
        <v>0</v>
      </c>
      <c r="K590" s="311">
        <f ca="1">IF(AND($B591=0,K$2&gt;1), J590, K586*$B591/Параметры!K$30)</f>
        <v>0</v>
      </c>
      <c r="L590" s="311">
        <f ca="1">IF(AND($B591=0,L$2&gt;1), K590, L586*$B591/Параметры!L$30)</f>
        <v>0</v>
      </c>
      <c r="M590" s="311">
        <f ca="1">IF(AND($B591=0,M$2&gt;1), L590, M586*$B591/Параметры!M$30)</f>
        <v>0</v>
      </c>
      <c r="N590" s="311">
        <f ca="1">IF(AND($B591=0,N$2&gt;1), M590, N586*$B591/Параметры!N$30)</f>
        <v>0</v>
      </c>
      <c r="O590" s="311">
        <f ca="1">IF(AND($B591=0,O$2&gt;1), N590, O586*$B591/Параметры!O$30)</f>
        <v>0</v>
      </c>
      <c r="P590" s="311">
        <f ca="1">IF(AND($B591=0,P$2&gt;1), O590, P586*$B591/Параметры!P$30)</f>
        <v>0</v>
      </c>
      <c r="Q590" s="311">
        <f ca="1">IF(AND($B591=0,Q$2&gt;1), P590, Q586*$B591/Параметры!Q$30)</f>
        <v>0</v>
      </c>
      <c r="R590" s="311">
        <f ca="1">IF(AND($B591=0,R$2&gt;1), Q590, R586*$B591/Параметры!R$30)</f>
        <v>0</v>
      </c>
      <c r="S590" s="311">
        <f ca="1">IF(AND($B591=0,S$2&gt;1), R590, S586*$B591/Параметры!S$30)</f>
        <v>0</v>
      </c>
      <c r="T590" s="311">
        <f ca="1">IF(AND($B591=0,T$2&gt;1), S590, T586*$B591/Параметры!T$30)</f>
        <v>0</v>
      </c>
      <c r="U590" s="311">
        <f ca="1">IF(AND($B591=0,U$2&gt;1), T590, U586*$B591/Параметры!U$30)</f>
        <v>0</v>
      </c>
      <c r="V590" s="311">
        <f ca="1">IF(AND($B591=0,V$2&gt;1), U590, V586*$B591/Параметры!V$30)</f>
        <v>0</v>
      </c>
      <c r="W590" s="311">
        <f ca="1">IF(AND($B591=0,W$2&gt;1), V590, W586*$B591/Параметры!W$30)</f>
        <v>0</v>
      </c>
      <c r="X590" s="311">
        <f ca="1">IF(AND($B591=0,X$2&gt;1), W590, X586*$B591/Параметры!X$30)</f>
        <v>0</v>
      </c>
      <c r="Y590" s="311">
        <f ca="1">IF(AND($B591=0,Y$2&gt;1), X590, Y586*$B591/Параметры!Y$30)</f>
        <v>0</v>
      </c>
      <c r="Z590" s="311">
        <f ca="1">IF(AND($B591=0,Z$2&gt;1), Y590, Z586*$B591/Параметры!Z$30)</f>
        <v>0</v>
      </c>
      <c r="AA590" s="311">
        <f ca="1">IF(AND($B591=0,AA$2&gt;1), Z590, AA586*$B591/Параметры!AA$30)</f>
        <v>0</v>
      </c>
      <c r="AB590" s="311">
        <f ca="1">IF(AND($B591=0,AB$2&gt;1), AA590, AB586*$B591/Параметры!AB$30)</f>
        <v>0</v>
      </c>
      <c r="AC590" s="311">
        <f ca="1">IF(AND($B591=0,AC$2&gt;1), AB590, AC586*$B591/Параметры!AC$30)</f>
        <v>0</v>
      </c>
      <c r="AD590" s="311">
        <f ca="1">IF(AND($B591=0,AD$2&gt;1), AC590, AD586*$B591/Параметры!AD$30)</f>
        <v>0</v>
      </c>
      <c r="AE590" s="311">
        <f ca="1">IF(AND($B591=0,AE$2&gt;1), AD590, AE586*$B591/Параметры!AE$30)</f>
        <v>0</v>
      </c>
      <c r="AF590" s="311">
        <f ca="1">IF(AND($B591=0,AF$2&gt;1), AE590, AF586*$B591/Параметры!AF$30)</f>
        <v>0</v>
      </c>
      <c r="AG590" s="311">
        <f ca="1">IF(AND($B591=0,AG$2&gt;1), AF590, AG586*$B591/Параметры!AG$30)</f>
        <v>0</v>
      </c>
      <c r="AH590" s="311">
        <f ca="1">IF(AND($B591=0,AH$2&gt;1), AG590, AH586*$B591/Параметры!AH$30)</f>
        <v>0</v>
      </c>
      <c r="AI590" s="311">
        <f ca="1">IF(AND($B591=0,AI$2&gt;1), AH590, AI586*$B591/Параметры!AI$30)</f>
        <v>0</v>
      </c>
      <c r="AJ590" s="311">
        <f ca="1">IF(AND($B591=0,AJ$2&gt;1), AI590, AJ586*$B591/Параметры!AJ$30)</f>
        <v>0</v>
      </c>
      <c r="AK590" s="311">
        <f ca="1">IF(AND($B591=0,AK$2&gt;1), AJ590, AK586*$B591/Параметры!AK$30)</f>
        <v>0</v>
      </c>
      <c r="AL590" s="311">
        <f ca="1">IF(AND($B591=0,AL$2&gt;1), AK590, AL586*$B591/Параметры!AL$30)</f>
        <v>0</v>
      </c>
      <c r="AM590" s="311">
        <f ca="1">IF(AND($B591=0,AM$2&gt;1), AL590, AM586*$B591/Параметры!AM$30)</f>
        <v>0</v>
      </c>
      <c r="AN590" s="311">
        <f ca="1">IF(AND($B591=0,AN$2&gt;1), AM590, AN586*$B591/Параметры!AN$30)</f>
        <v>0</v>
      </c>
      <c r="AO590" s="311">
        <f ca="1">IF(AND($B591=0,AO$2&gt;1), AN590, AO586*$B591/Параметры!AO$30)</f>
        <v>0</v>
      </c>
      <c r="AP590" s="311">
        <f ca="1">IF(AND($B591=0,AP$2&gt;1), AO590, AP586*$B591/Параметры!AP$30)</f>
        <v>0</v>
      </c>
      <c r="AQ590" s="311">
        <f ca="1">IF(AND($B591=0,AQ$2&gt;1), AP590, AQ586*$B591/Параметры!AQ$30)</f>
        <v>0</v>
      </c>
      <c r="AR590" s="311">
        <f ca="1">IF(AND($B591=0,AR$2&gt;1), AQ590, AR586*$B591/Параметры!AR$30)</f>
        <v>0</v>
      </c>
      <c r="AS590" s="311">
        <f ca="1">IF(AND($B591=0,AS$2&gt;1), AR590, AS586*$B591/Параметры!AS$30)</f>
        <v>0</v>
      </c>
      <c r="AT590" s="311">
        <f ca="1">IF(AND($B591=0,AT$2&gt;1), AS590, AT586*$B591/Параметры!AT$30)</f>
        <v>0</v>
      </c>
      <c r="AU590" s="311">
        <f ca="1">IF(AND($B591=0,AU$2&gt;1), AT590, AU586*$B591/Параметры!AU$30)</f>
        <v>0</v>
      </c>
      <c r="AV590" s="311">
        <f ca="1">IF(AND($B591=0,AV$2&gt;1), AU590, AV586*$B591/Параметры!AV$30)</f>
        <v>0</v>
      </c>
      <c r="AW590" s="148"/>
      <c r="AX590" s="171"/>
    </row>
    <row r="591" spans="1:50" hidden="1" outlineLevel="1" x14ac:dyDescent="0.2">
      <c r="A591" s="206" t="str">
        <f ca="1">Language!A$769</f>
        <v>длительность производственного цикла</v>
      </c>
      <c r="B591" s="313">
        <v>0</v>
      </c>
      <c r="C591" s="124" t="str">
        <f ca="1">Language!$A$1446</f>
        <v>дней</v>
      </c>
      <c r="D591" s="66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71"/>
    </row>
    <row r="592" spans="1:50" hidden="1" outlineLevel="1" x14ac:dyDescent="0.2">
      <c r="A592" s="172" t="str">
        <f ca="1">Language!A$770</f>
        <v>списано на продажи</v>
      </c>
      <c r="B592" s="195"/>
      <c r="C592" s="124" t="str">
        <f t="shared" ca="1" si="2826"/>
        <v>тыс. руб.</v>
      </c>
      <c r="D592" s="66"/>
      <c r="F592" s="57" t="s">
        <v>753</v>
      </c>
      <c r="G592" s="45">
        <f t="shared" ref="G592:AV592" ca="1" si="2827">G586-G588-G590 + IF(G$2&gt;1, F588+F590, 0)</f>
        <v>7200</v>
      </c>
      <c r="H592" s="45">
        <f t="shared" ca="1" si="2827"/>
        <v>7305.6516924143461</v>
      </c>
      <c r="I592" s="45">
        <f t="shared" ca="1" si="2827"/>
        <v>7412.8537015106394</v>
      </c>
      <c r="J592" s="45">
        <f t="shared" ca="1" si="2827"/>
        <v>7521.6287763973833</v>
      </c>
      <c r="K592" s="45">
        <f t="shared" ca="1" si="2827"/>
        <v>7632</v>
      </c>
      <c r="L592" s="45">
        <f t="shared" ca="1" si="2827"/>
        <v>7743.9907939592076</v>
      </c>
      <c r="M592" s="45">
        <f t="shared" ca="1" si="2827"/>
        <v>7857.6249236012791</v>
      </c>
      <c r="N592" s="45">
        <f t="shared" ca="1" si="2827"/>
        <v>7972.9265029812268</v>
      </c>
      <c r="O592" s="45">
        <f t="shared" ca="1" si="2827"/>
        <v>8089.92</v>
      </c>
      <c r="P592" s="45">
        <f t="shared" ca="1" si="2827"/>
        <v>8208.6302415967602</v>
      </c>
      <c r="Q592" s="45">
        <f t="shared" ca="1" si="2827"/>
        <v>8329.0824190173553</v>
      </c>
      <c r="R592" s="45">
        <f t="shared" ca="1" si="2827"/>
        <v>8451.3020931601004</v>
      </c>
      <c r="S592" s="45">
        <f t="shared" ca="1" si="2827"/>
        <v>8575.3152000000009</v>
      </c>
      <c r="T592" s="45">
        <f t="shared" ca="1" si="2827"/>
        <v>8701.1480560925665</v>
      </c>
      <c r="U592" s="45">
        <f t="shared" ca="1" si="2827"/>
        <v>8828.8273641583964</v>
      </c>
      <c r="V592" s="45">
        <f t="shared" ca="1" si="2827"/>
        <v>8958.3802187497076</v>
      </c>
      <c r="W592" s="45">
        <f t="shared" ca="1" si="2827"/>
        <v>9089.8341120000023</v>
      </c>
      <c r="X592" s="45">
        <f t="shared" ca="1" si="2827"/>
        <v>9223.2169394581215</v>
      </c>
      <c r="Y592" s="45">
        <f t="shared" ca="1" si="2827"/>
        <v>9358.5570060079026</v>
      </c>
      <c r="Z592" s="45">
        <f t="shared" ca="1" si="2827"/>
        <v>9495.8830318746896</v>
      </c>
      <c r="AA592" s="45">
        <f t="shared" ca="1" si="2827"/>
        <v>9635.2241587200006</v>
      </c>
      <c r="AB592" s="45">
        <f t="shared" ca="1" si="2827"/>
        <v>9776.6099558256083</v>
      </c>
      <c r="AC592" s="45">
        <f t="shared" ca="1" si="2827"/>
        <v>9920.0704263683765</v>
      </c>
      <c r="AD592" s="45">
        <f t="shared" ca="1" si="2827"/>
        <v>10065.636013787172</v>
      </c>
      <c r="AE592" s="45">
        <f t="shared" ca="1" si="2827"/>
        <v>10213.337608243201</v>
      </c>
      <c r="AF592" s="45">
        <f t="shared" ca="1" si="2827"/>
        <v>10363.206553175145</v>
      </c>
      <c r="AG592" s="45">
        <f t="shared" ca="1" si="2827"/>
        <v>10515.27465195048</v>
      </c>
      <c r="AH592" s="45">
        <f t="shared" ca="1" si="2827"/>
        <v>10669.574174614403</v>
      </c>
      <c r="AI592" s="45">
        <f t="shared" ca="1" si="2827"/>
        <v>10826.137864737795</v>
      </c>
      <c r="AJ592" s="45">
        <f t="shared" ca="1" si="2827"/>
        <v>10984.998946365657</v>
      </c>
      <c r="AK592" s="45">
        <f t="shared" ca="1" si="2827"/>
        <v>11146.19113106751</v>
      </c>
      <c r="AL592" s="45">
        <f t="shared" ca="1" si="2827"/>
        <v>11309.74862509127</v>
      </c>
      <c r="AM592" s="45">
        <f t="shared" ca="1" si="2827"/>
        <v>11475.706136622064</v>
      </c>
      <c r="AN592" s="45">
        <f t="shared" ca="1" si="2827"/>
        <v>11644.098883147595</v>
      </c>
      <c r="AO592" s="45">
        <f t="shared" ca="1" si="2827"/>
        <v>11814.962598931561</v>
      </c>
      <c r="AP592" s="45">
        <f t="shared" ca="1" si="2827"/>
        <v>11988.333542596745</v>
      </c>
      <c r="AQ592" s="45">
        <f t="shared" ca="1" si="2827"/>
        <v>12164.248504819387</v>
      </c>
      <c r="AR592" s="45">
        <f t="shared" ca="1" si="2827"/>
        <v>12342.74481613645</v>
      </c>
      <c r="AS592" s="45">
        <f t="shared" ca="1" si="2827"/>
        <v>12523.860354867453</v>
      </c>
      <c r="AT592" s="45">
        <f t="shared" ca="1" si="2827"/>
        <v>12707.633555152548</v>
      </c>
      <c r="AU592" s="45">
        <f t="shared" ca="1" si="2827"/>
        <v>12894.10341510855</v>
      </c>
      <c r="AV592" s="45">
        <f t="shared" ca="1" si="2827"/>
        <v>13083.309505104637</v>
      </c>
      <c r="AW592" s="45"/>
      <c r="AX592" s="142">
        <f ca="1">SUM(G592:AW592)</f>
        <v>414021.78449541336</v>
      </c>
    </row>
    <row r="593" spans="1:50" hidden="1" outlineLevel="1" x14ac:dyDescent="0.2">
      <c r="A593" s="101" t="str">
        <f ca="1">Language!A$771</f>
        <v>кредиторская задолженность</v>
      </c>
      <c r="B593" s="188"/>
      <c r="C593" s="124" t="str">
        <f t="shared" ca="1" si="2826"/>
        <v>тыс. руб.</v>
      </c>
      <c r="D593" s="155"/>
      <c r="F593" s="57" t="s">
        <v>754</v>
      </c>
      <c r="G593" s="311">
        <f ca="1">IF(AND($B594=0,G$2&gt;1),F593,(G586+G587)*$B594/Параметры!G$30)</f>
        <v>0</v>
      </c>
      <c r="H593" s="311">
        <f ca="1">IF(AND($B594=0,H$2&gt;1),G593,(H586+H587)*$B594/Параметры!H$30)</f>
        <v>0</v>
      </c>
      <c r="I593" s="311">
        <f ca="1">IF(AND($B594=0,I$2&gt;1),H593,(I586+I587)*$B594/Параметры!I$30)</f>
        <v>0</v>
      </c>
      <c r="J593" s="311">
        <f ca="1">IF(AND($B594=0,J$2&gt;1),I593,(J586+J587)*$B594/Параметры!J$30)</f>
        <v>0</v>
      </c>
      <c r="K593" s="311">
        <f ca="1">IF(AND($B594=0,K$2&gt;1),J593,(K586+K587)*$B594/Параметры!K$30)</f>
        <v>0</v>
      </c>
      <c r="L593" s="311">
        <f ca="1">IF(AND($B594=0,L$2&gt;1),K593,(L586+L587)*$B594/Параметры!L$30)</f>
        <v>0</v>
      </c>
      <c r="M593" s="311">
        <f ca="1">IF(AND($B594=0,M$2&gt;1),L593,(M586+M587)*$B594/Параметры!M$30)</f>
        <v>0</v>
      </c>
      <c r="N593" s="311">
        <f ca="1">IF(AND($B594=0,N$2&gt;1),M593,(N586+N587)*$B594/Параметры!N$30)</f>
        <v>0</v>
      </c>
      <c r="O593" s="311">
        <f ca="1">IF(AND($B594=0,O$2&gt;1),N593,(O586+O587)*$B594/Параметры!O$30)</f>
        <v>0</v>
      </c>
      <c r="P593" s="311">
        <f ca="1">IF(AND($B594=0,P$2&gt;1),O593,(P586+P587)*$B594/Параметры!P$30)</f>
        <v>0</v>
      </c>
      <c r="Q593" s="311">
        <f ca="1">IF(AND($B594=0,Q$2&gt;1),P593,(Q586+Q587)*$B594/Параметры!Q$30)</f>
        <v>0</v>
      </c>
      <c r="R593" s="311">
        <f ca="1">IF(AND($B594=0,R$2&gt;1),Q593,(R586+R587)*$B594/Параметры!R$30)</f>
        <v>0</v>
      </c>
      <c r="S593" s="311">
        <f ca="1">IF(AND($B594=0,S$2&gt;1),R593,(S586+S587)*$B594/Параметры!S$30)</f>
        <v>0</v>
      </c>
      <c r="T593" s="311">
        <f ca="1">IF(AND($B594=0,T$2&gt;1),S593,(T586+T587)*$B594/Параметры!T$30)</f>
        <v>0</v>
      </c>
      <c r="U593" s="311">
        <f ca="1">IF(AND($B594=0,U$2&gt;1),T593,(U586+U587)*$B594/Параметры!U$30)</f>
        <v>0</v>
      </c>
      <c r="V593" s="311">
        <f ca="1">IF(AND($B594=0,V$2&gt;1),U593,(V586+V587)*$B594/Параметры!V$30)</f>
        <v>0</v>
      </c>
      <c r="W593" s="311">
        <f ca="1">IF(AND($B594=0,W$2&gt;1),V593,(W586+W587)*$B594/Параметры!W$30)</f>
        <v>0</v>
      </c>
      <c r="X593" s="311">
        <f ca="1">IF(AND($B594=0,X$2&gt;1),W593,(X586+X587)*$B594/Параметры!X$30)</f>
        <v>0</v>
      </c>
      <c r="Y593" s="311">
        <f ca="1">IF(AND($B594=0,Y$2&gt;1),X593,(Y586+Y587)*$B594/Параметры!Y$30)</f>
        <v>0</v>
      </c>
      <c r="Z593" s="311">
        <f ca="1">IF(AND($B594=0,Z$2&gt;1),Y593,(Z586+Z587)*$B594/Параметры!Z$30)</f>
        <v>0</v>
      </c>
      <c r="AA593" s="311">
        <f ca="1">IF(AND($B594=0,AA$2&gt;1),Z593,(AA586+AA587)*$B594/Параметры!AA$30)</f>
        <v>0</v>
      </c>
      <c r="AB593" s="311">
        <f ca="1">IF(AND($B594=0,AB$2&gt;1),AA593,(AB586+AB587)*$B594/Параметры!AB$30)</f>
        <v>0</v>
      </c>
      <c r="AC593" s="311">
        <f ca="1">IF(AND($B594=0,AC$2&gt;1),AB593,(AC586+AC587)*$B594/Параметры!AC$30)</f>
        <v>0</v>
      </c>
      <c r="AD593" s="311">
        <f ca="1">IF(AND($B594=0,AD$2&gt;1),AC593,(AD586+AD587)*$B594/Параметры!AD$30)</f>
        <v>0</v>
      </c>
      <c r="AE593" s="311">
        <f ca="1">IF(AND($B594=0,AE$2&gt;1),AD593,(AE586+AE587)*$B594/Параметры!AE$30)</f>
        <v>0</v>
      </c>
      <c r="AF593" s="311">
        <f ca="1">IF(AND($B594=0,AF$2&gt;1),AE593,(AF586+AF587)*$B594/Параметры!AF$30)</f>
        <v>0</v>
      </c>
      <c r="AG593" s="311">
        <f ca="1">IF(AND($B594=0,AG$2&gt;1),AF593,(AG586+AG587)*$B594/Параметры!AG$30)</f>
        <v>0</v>
      </c>
      <c r="AH593" s="311">
        <f ca="1">IF(AND($B594=0,AH$2&gt;1),AG593,(AH586+AH587)*$B594/Параметры!AH$30)</f>
        <v>0</v>
      </c>
      <c r="AI593" s="311">
        <f ca="1">IF(AND($B594=0,AI$2&gt;1),AH593,(AI586+AI587)*$B594/Параметры!AI$30)</f>
        <v>0</v>
      </c>
      <c r="AJ593" s="311">
        <f ca="1">IF(AND($B594=0,AJ$2&gt;1),AI593,(AJ586+AJ587)*$B594/Параметры!AJ$30)</f>
        <v>0</v>
      </c>
      <c r="AK593" s="311">
        <f ca="1">IF(AND($B594=0,AK$2&gt;1),AJ593,(AK586+AK587)*$B594/Параметры!AK$30)</f>
        <v>0</v>
      </c>
      <c r="AL593" s="311">
        <f ca="1">IF(AND($B594=0,AL$2&gt;1),AK593,(AL586+AL587)*$B594/Параметры!AL$30)</f>
        <v>0</v>
      </c>
      <c r="AM593" s="311">
        <f ca="1">IF(AND($B594=0,AM$2&gt;1),AL593,(AM586+AM587)*$B594/Параметры!AM$30)</f>
        <v>0</v>
      </c>
      <c r="AN593" s="311">
        <f ca="1">IF(AND($B594=0,AN$2&gt;1),AM593,(AN586+AN587)*$B594/Параметры!AN$30)</f>
        <v>0</v>
      </c>
      <c r="AO593" s="311">
        <f ca="1">IF(AND($B594=0,AO$2&gt;1),AN593,(AO586+AO587)*$B594/Параметры!AO$30)</f>
        <v>0</v>
      </c>
      <c r="AP593" s="311">
        <f ca="1">IF(AND($B594=0,AP$2&gt;1),AO593,(AP586+AP587)*$B594/Параметры!AP$30)</f>
        <v>0</v>
      </c>
      <c r="AQ593" s="311">
        <f ca="1">IF(AND($B594=0,AQ$2&gt;1),AP593,(AQ586+AQ587)*$B594/Параметры!AQ$30)</f>
        <v>0</v>
      </c>
      <c r="AR593" s="311">
        <f ca="1">IF(AND($B594=0,AR$2&gt;1),AQ593,(AR586+AR587)*$B594/Параметры!AR$30)</f>
        <v>0</v>
      </c>
      <c r="AS593" s="311">
        <f ca="1">IF(AND($B594=0,AS$2&gt;1),AR593,(AS586+AS587)*$B594/Параметры!AS$30)</f>
        <v>0</v>
      </c>
      <c r="AT593" s="311">
        <f ca="1">IF(AND($B594=0,AT$2&gt;1),AS593,(AT586+AT587)*$B594/Параметры!AT$30)</f>
        <v>0</v>
      </c>
      <c r="AU593" s="311">
        <f ca="1">IF(AND($B594=0,AU$2&gt;1),AT593,(AU586+AU587)*$B594/Параметры!AU$30)</f>
        <v>0</v>
      </c>
      <c r="AV593" s="311">
        <f ca="1">IF(AND($B594=0,AV$2&gt;1),AU593,(AV586+AV587)*$B594/Параметры!AV$30)</f>
        <v>0</v>
      </c>
      <c r="AW593" s="168"/>
      <c r="AX593" s="87"/>
    </row>
    <row r="594" spans="1:50" hidden="1" outlineLevel="1" x14ac:dyDescent="0.2">
      <c r="A594" s="181" t="str">
        <f ca="1">Language!A$772</f>
        <v>период отсрочки платежа</v>
      </c>
      <c r="B594" s="320">
        <f>$B$648</f>
        <v>0</v>
      </c>
      <c r="C594" s="152" t="str">
        <f ca="1">Language!$A$1446</f>
        <v>дней</v>
      </c>
      <c r="D594" s="100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48"/>
      <c r="AX594" s="150"/>
    </row>
    <row r="595" spans="1:50" hidden="1" outlineLevel="1" x14ac:dyDescent="0.2">
      <c r="A595" s="101" t="str">
        <f ca="1">Language!A$773</f>
        <v>авансы уплаченные</v>
      </c>
      <c r="B595" s="188"/>
      <c r="C595" s="124" t="str">
        <f t="shared" ca="1" si="2826"/>
        <v>тыс. руб.</v>
      </c>
      <c r="D595" s="155"/>
      <c r="F595" s="57" t="s">
        <v>754</v>
      </c>
      <c r="G595" s="311">
        <f ca="1">IF(AND($B596=0,G$2&gt;1),F595,(OFFSET(G586,0,1)+OFFSET(G587,0,1))*$B596/Параметры!G$30)</f>
        <v>0</v>
      </c>
      <c r="H595" s="311">
        <f ca="1">IF(AND($B596=0,H$2&gt;1),G595,(OFFSET(H586,0,1)+OFFSET(H587,0,1))*$B596/Параметры!H$30)</f>
        <v>0</v>
      </c>
      <c r="I595" s="311">
        <f ca="1">IF(AND($B596=0,I$2&gt;1),H595,(OFFSET(I586,0,1)+OFFSET(I587,0,1))*$B596/Параметры!I$30)</f>
        <v>0</v>
      </c>
      <c r="J595" s="311">
        <f ca="1">IF(AND($B596=0,J$2&gt;1),I595,(OFFSET(J586,0,1)+OFFSET(J587,0,1))*$B596/Параметры!J$30)</f>
        <v>0</v>
      </c>
      <c r="K595" s="311">
        <f ca="1">IF(AND($B596=0,K$2&gt;1),J595,(OFFSET(K586,0,1)+OFFSET(K587,0,1))*$B596/Параметры!K$30)</f>
        <v>0</v>
      </c>
      <c r="L595" s="311">
        <f ca="1">IF(AND($B596=0,L$2&gt;1),K595,(OFFSET(L586,0,1)+OFFSET(L587,0,1))*$B596/Параметры!L$30)</f>
        <v>0</v>
      </c>
      <c r="M595" s="311">
        <f ca="1">IF(AND($B596=0,M$2&gt;1),L595,(OFFSET(M586,0,1)+OFFSET(M587,0,1))*$B596/Параметры!M$30)</f>
        <v>0</v>
      </c>
      <c r="N595" s="311">
        <f ca="1">IF(AND($B596=0,N$2&gt;1),M595,(OFFSET(N586,0,1)+OFFSET(N587,0,1))*$B596/Параметры!N$30)</f>
        <v>0</v>
      </c>
      <c r="O595" s="311">
        <f ca="1">IF(AND($B596=0,O$2&gt;1),N595,(OFFSET(O586,0,1)+OFFSET(O587,0,1))*$B596/Параметры!O$30)</f>
        <v>0</v>
      </c>
      <c r="P595" s="311">
        <f ca="1">IF(AND($B596=0,P$2&gt;1),O595,(OFFSET(P586,0,1)+OFFSET(P587,0,1))*$B596/Параметры!P$30)</f>
        <v>0</v>
      </c>
      <c r="Q595" s="311">
        <f ca="1">IF(AND($B596=0,Q$2&gt;1),P595,(OFFSET(Q586,0,1)+OFFSET(Q587,0,1))*$B596/Параметры!Q$30)</f>
        <v>0</v>
      </c>
      <c r="R595" s="311">
        <f ca="1">IF(AND($B596=0,R$2&gt;1),Q595,(OFFSET(R586,0,1)+OFFSET(R587,0,1))*$B596/Параметры!R$30)</f>
        <v>0</v>
      </c>
      <c r="S595" s="311">
        <f ca="1">IF(AND($B596=0,S$2&gt;1),R595,(OFFSET(S586,0,1)+OFFSET(S587,0,1))*$B596/Параметры!S$30)</f>
        <v>0</v>
      </c>
      <c r="T595" s="311">
        <f ca="1">IF(AND($B596=0,T$2&gt;1),S595,(OFFSET(T586,0,1)+OFFSET(T587,0,1))*$B596/Параметры!T$30)</f>
        <v>0</v>
      </c>
      <c r="U595" s="311">
        <f ca="1">IF(AND($B596=0,U$2&gt;1),T595,(OFFSET(U586,0,1)+OFFSET(U587,0,1))*$B596/Параметры!U$30)</f>
        <v>0</v>
      </c>
      <c r="V595" s="311">
        <f ca="1">IF(AND($B596=0,V$2&gt;1),U595,(OFFSET(V586,0,1)+OFFSET(V587,0,1))*$B596/Параметры!V$30)</f>
        <v>0</v>
      </c>
      <c r="W595" s="311">
        <f ca="1">IF(AND($B596=0,W$2&gt;1),V595,(OFFSET(W586,0,1)+OFFSET(W587,0,1))*$B596/Параметры!W$30)</f>
        <v>0</v>
      </c>
      <c r="X595" s="311">
        <f ca="1">IF(AND($B596=0,X$2&gt;1),W595,(OFFSET(X586,0,1)+OFFSET(X587,0,1))*$B596/Параметры!X$30)</f>
        <v>0</v>
      </c>
      <c r="Y595" s="311">
        <f ca="1">IF(AND($B596=0,Y$2&gt;1),X595,(OFFSET(Y586,0,1)+OFFSET(Y587,0,1))*$B596/Параметры!Y$30)</f>
        <v>0</v>
      </c>
      <c r="Z595" s="311">
        <f ca="1">IF(AND($B596=0,Z$2&gt;1),Y595,(OFFSET(Z586,0,1)+OFFSET(Z587,0,1))*$B596/Параметры!Z$30)</f>
        <v>0</v>
      </c>
      <c r="AA595" s="311">
        <f ca="1">IF(AND($B596=0,AA$2&gt;1),Z595,(OFFSET(AA586,0,1)+OFFSET(AA587,0,1))*$B596/Параметры!AA$30)</f>
        <v>0</v>
      </c>
      <c r="AB595" s="311">
        <f ca="1">IF(AND($B596=0,AB$2&gt;1),AA595,(OFFSET(AB586,0,1)+OFFSET(AB587,0,1))*$B596/Параметры!AB$30)</f>
        <v>0</v>
      </c>
      <c r="AC595" s="311">
        <f ca="1">IF(AND($B596=0,AC$2&gt;1),AB595,(OFFSET(AC586,0,1)+OFFSET(AC587,0,1))*$B596/Параметры!AC$30)</f>
        <v>0</v>
      </c>
      <c r="AD595" s="311">
        <f ca="1">IF(AND($B596=0,AD$2&gt;1),AC595,(OFFSET(AD586,0,1)+OFFSET(AD587,0,1))*$B596/Параметры!AD$30)</f>
        <v>0</v>
      </c>
      <c r="AE595" s="311">
        <f ca="1">IF(AND($B596=0,AE$2&gt;1),AD595,(OFFSET(AE586,0,1)+OFFSET(AE587,0,1))*$B596/Параметры!AE$30)</f>
        <v>0</v>
      </c>
      <c r="AF595" s="311">
        <f ca="1">IF(AND($B596=0,AF$2&gt;1),AE595,(OFFSET(AF586,0,1)+OFFSET(AF587,0,1))*$B596/Параметры!AF$30)</f>
        <v>0</v>
      </c>
      <c r="AG595" s="311">
        <f ca="1">IF(AND($B596=0,AG$2&gt;1),AF595,(OFFSET(AG586,0,1)+OFFSET(AG587,0,1))*$B596/Параметры!AG$30)</f>
        <v>0</v>
      </c>
      <c r="AH595" s="311">
        <f ca="1">IF(AND($B596=0,AH$2&gt;1),AG595,(OFFSET(AH586,0,1)+OFFSET(AH587,0,1))*$B596/Параметры!AH$30)</f>
        <v>0</v>
      </c>
      <c r="AI595" s="311">
        <f ca="1">IF(AND($B596=0,AI$2&gt;1),AH595,(OFFSET(AI586,0,1)+OFFSET(AI587,0,1))*$B596/Параметры!AI$30)</f>
        <v>0</v>
      </c>
      <c r="AJ595" s="311">
        <f ca="1">IF(AND($B596=0,AJ$2&gt;1),AI595,(OFFSET(AJ586,0,1)+OFFSET(AJ587,0,1))*$B596/Параметры!AJ$30)</f>
        <v>0</v>
      </c>
      <c r="AK595" s="311">
        <f ca="1">IF(AND($B596=0,AK$2&gt;1),AJ595,(OFFSET(AK586,0,1)+OFFSET(AK587,0,1))*$B596/Параметры!AK$30)</f>
        <v>0</v>
      </c>
      <c r="AL595" s="311">
        <f ca="1">IF(AND($B596=0,AL$2&gt;1),AK595,(OFFSET(AL586,0,1)+OFFSET(AL587,0,1))*$B596/Параметры!AL$30)</f>
        <v>0</v>
      </c>
      <c r="AM595" s="311">
        <f ca="1">IF(AND($B596=0,AM$2&gt;1),AL595,(OFFSET(AM586,0,1)+OFFSET(AM587,0,1))*$B596/Параметры!AM$30)</f>
        <v>0</v>
      </c>
      <c r="AN595" s="311">
        <f ca="1">IF(AND($B596=0,AN$2&gt;1),AM595,(OFFSET(AN586,0,1)+OFFSET(AN587,0,1))*$B596/Параметры!AN$30)</f>
        <v>0</v>
      </c>
      <c r="AO595" s="311">
        <f ca="1">IF(AND($B596=0,AO$2&gt;1),AN595,(OFFSET(AO586,0,1)+OFFSET(AO587,0,1))*$B596/Параметры!AO$30)</f>
        <v>0</v>
      </c>
      <c r="AP595" s="311">
        <f ca="1">IF(AND($B596=0,AP$2&gt;1),AO595,(OFFSET(AP586,0,1)+OFFSET(AP587,0,1))*$B596/Параметры!AP$30)</f>
        <v>0</v>
      </c>
      <c r="AQ595" s="311">
        <f ca="1">IF(AND($B596=0,AQ$2&gt;1),AP595,(OFFSET(AQ586,0,1)+OFFSET(AQ587,0,1))*$B596/Параметры!AQ$30)</f>
        <v>0</v>
      </c>
      <c r="AR595" s="311">
        <f ca="1">IF(AND($B596=0,AR$2&gt;1),AQ595,(OFFSET(AR586,0,1)+OFFSET(AR587,0,1))*$B596/Параметры!AR$30)</f>
        <v>0</v>
      </c>
      <c r="AS595" s="311">
        <f ca="1">IF(AND($B596=0,AS$2&gt;1),AR595,(OFFSET(AS586,0,1)+OFFSET(AS587,0,1))*$B596/Параметры!AS$30)</f>
        <v>0</v>
      </c>
      <c r="AT595" s="311">
        <f ca="1">IF(AND($B596=0,AT$2&gt;1),AS595,(OFFSET(AT586,0,1)+OFFSET(AT587,0,1))*$B596/Параметры!AT$30)</f>
        <v>0</v>
      </c>
      <c r="AU595" s="311">
        <f ca="1">IF(AND($B596=0,AU$2&gt;1),AT595,(OFFSET(AU586,0,1)+OFFSET(AU587,0,1))*$B596/Параметры!AU$30)</f>
        <v>0</v>
      </c>
      <c r="AV595" s="311">
        <f ca="1">IF(AND($B596=0,AV$2&gt;1),AU595,(OFFSET(AV586,0,1)+OFFSET(AV587,0,1))*$B596/Параметры!AV$30)</f>
        <v>0</v>
      </c>
      <c r="AW595" s="168"/>
      <c r="AX595" s="182"/>
    </row>
    <row r="596" spans="1:50" hidden="1" outlineLevel="1" x14ac:dyDescent="0.2">
      <c r="A596" s="181" t="str">
        <f ca="1">Language!A$774</f>
        <v>период предоплаты</v>
      </c>
      <c r="B596" s="320">
        <f>$B$654</f>
        <v>0</v>
      </c>
      <c r="C596" s="152" t="str">
        <f ca="1">Language!$A$1446</f>
        <v>дней</v>
      </c>
      <c r="D596" s="100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48"/>
      <c r="AX596" s="150"/>
    </row>
    <row r="597" spans="1:50" hidden="1" outlineLevel="1" x14ac:dyDescent="0.2">
      <c r="A597" s="172" t="str">
        <f ca="1">Language!A$775</f>
        <v>оплата постоянных издержек, с НДС</v>
      </c>
      <c r="C597" s="124" t="str">
        <f t="shared" ca="1" si="2826"/>
        <v>тыс. руб.</v>
      </c>
      <c r="D597" s="66"/>
      <c r="F597" s="57" t="s">
        <v>753</v>
      </c>
      <c r="G597" s="45">
        <f ca="1">G586+G587-IF(G$2=1,G593,G593-F593)+IF(G$2=1,G595,G595-F595)</f>
        <v>8496</v>
      </c>
      <c r="H597" s="45">
        <f t="shared" ref="H597:AV597" ca="1" si="2828">H586+H587-IF(H$2=1,H593,H593-G593)+IF(H$2=1,H595,H595-G595)</f>
        <v>8620.6689970489278</v>
      </c>
      <c r="I597" s="45">
        <f t="shared" ca="1" si="2828"/>
        <v>8747.1673677825547</v>
      </c>
      <c r="J597" s="45">
        <f t="shared" ca="1" si="2828"/>
        <v>8875.5219561489121</v>
      </c>
      <c r="K597" s="45">
        <f t="shared" ca="1" si="2828"/>
        <v>9005.76</v>
      </c>
      <c r="L597" s="45">
        <f t="shared" ca="1" si="2828"/>
        <v>9137.9091368718655</v>
      </c>
      <c r="M597" s="45">
        <f t="shared" ca="1" si="2828"/>
        <v>9271.9974098495095</v>
      </c>
      <c r="N597" s="45">
        <f t="shared" ca="1" si="2828"/>
        <v>9408.0532735178476</v>
      </c>
      <c r="O597" s="45">
        <f t="shared" ca="1" si="2828"/>
        <v>9546.105599999999</v>
      </c>
      <c r="P597" s="45">
        <f t="shared" ca="1" si="2828"/>
        <v>9686.1836850841773</v>
      </c>
      <c r="Q597" s="45">
        <f t="shared" ca="1" si="2828"/>
        <v>9828.3172544404788</v>
      </c>
      <c r="R597" s="45">
        <f t="shared" ca="1" si="2828"/>
        <v>9972.5364699289185</v>
      </c>
      <c r="S597" s="45">
        <f t="shared" ca="1" si="2828"/>
        <v>10118.871936000001</v>
      </c>
      <c r="T597" s="45">
        <f t="shared" ca="1" si="2828"/>
        <v>10267.354706189228</v>
      </c>
      <c r="U597" s="45">
        <f t="shared" ca="1" si="2828"/>
        <v>10418.016289706908</v>
      </c>
      <c r="V597" s="45">
        <f t="shared" ca="1" si="2828"/>
        <v>10570.888658124655</v>
      </c>
      <c r="W597" s="45">
        <f t="shared" ca="1" si="2828"/>
        <v>10726.004252160003</v>
      </c>
      <c r="X597" s="45">
        <f t="shared" ca="1" si="2828"/>
        <v>10883.395988560584</v>
      </c>
      <c r="Y597" s="45">
        <f t="shared" ca="1" si="2828"/>
        <v>11043.097267089324</v>
      </c>
      <c r="Z597" s="45">
        <f t="shared" ca="1" si="2828"/>
        <v>11205.141977612133</v>
      </c>
      <c r="AA597" s="45">
        <f t="shared" ca="1" si="2828"/>
        <v>11369.5645072896</v>
      </c>
      <c r="AB597" s="45">
        <f t="shared" ca="1" si="2828"/>
        <v>11536.399747874217</v>
      </c>
      <c r="AC597" s="45">
        <f t="shared" ca="1" si="2828"/>
        <v>11705.683103114685</v>
      </c>
      <c r="AD597" s="45">
        <f t="shared" ca="1" si="2828"/>
        <v>11877.450496268862</v>
      </c>
      <c r="AE597" s="45">
        <f t="shared" ca="1" si="2828"/>
        <v>12051.738377726977</v>
      </c>
      <c r="AF597" s="45">
        <f t="shared" ca="1" si="2828"/>
        <v>12228.583732746671</v>
      </c>
      <c r="AG597" s="45">
        <f t="shared" ca="1" si="2828"/>
        <v>12408.024089301565</v>
      </c>
      <c r="AH597" s="45">
        <f t="shared" ca="1" si="2828"/>
        <v>12590.097526044996</v>
      </c>
      <c r="AI597" s="45">
        <f t="shared" ca="1" si="2828"/>
        <v>12774.842680390599</v>
      </c>
      <c r="AJ597" s="45">
        <f t="shared" ca="1" si="2828"/>
        <v>12962.298756711474</v>
      </c>
      <c r="AK597" s="45">
        <f t="shared" ca="1" si="2828"/>
        <v>13152.505534659662</v>
      </c>
      <c r="AL597" s="45">
        <f t="shared" ca="1" si="2828"/>
        <v>13345.503377607698</v>
      </c>
      <c r="AM597" s="45">
        <f t="shared" ca="1" si="2828"/>
        <v>13541.333241214035</v>
      </c>
      <c r="AN597" s="45">
        <f t="shared" ca="1" si="2828"/>
        <v>13740.036682114162</v>
      </c>
      <c r="AO597" s="45">
        <f t="shared" ca="1" si="2828"/>
        <v>13941.655866739242</v>
      </c>
      <c r="AP597" s="45">
        <f t="shared" ca="1" si="2828"/>
        <v>14146.233580264159</v>
      </c>
      <c r="AQ597" s="45">
        <f t="shared" ca="1" si="2828"/>
        <v>14353.813235686875</v>
      </c>
      <c r="AR597" s="45">
        <f t="shared" ca="1" si="2828"/>
        <v>14564.438883041012</v>
      </c>
      <c r="AS597" s="45">
        <f t="shared" ca="1" si="2828"/>
        <v>14778.155218743594</v>
      </c>
      <c r="AT597" s="45">
        <f t="shared" ca="1" si="2828"/>
        <v>14995.007595080006</v>
      </c>
      <c r="AU597" s="45">
        <f t="shared" ca="1" si="2828"/>
        <v>15215.042029828088</v>
      </c>
      <c r="AV597" s="45">
        <f t="shared" ca="1" si="2828"/>
        <v>15438.305216023471</v>
      </c>
      <c r="AW597" s="148"/>
      <c r="AX597" s="142">
        <f ca="1">SUM(G597:AW597)</f>
        <v>488545.70570458763</v>
      </c>
    </row>
    <row r="598" spans="1:50" collapsed="1" x14ac:dyDescent="0.2">
      <c r="A598" s="38" t="str">
        <f ca="1">Language!A$776</f>
        <v>Итого: Коммерческие издержки, с НДС</v>
      </c>
      <c r="C598" s="124" t="str">
        <f t="shared" ca="1" si="2797"/>
        <v>тыс. руб.</v>
      </c>
      <c r="D598" s="66">
        <v>1</v>
      </c>
      <c r="F598" s="57" t="s">
        <v>753</v>
      </c>
      <c r="G598" s="138">
        <f ca="1">G599+G600</f>
        <v>5900</v>
      </c>
      <c r="H598" s="138">
        <f t="shared" ref="H598" ca="1" si="2829">H599+H600</f>
        <v>5986.5756923950903</v>
      </c>
      <c r="I598" s="138">
        <f t="shared" ref="I598" ca="1" si="2830">I599+I600</f>
        <v>6074.4217831823307</v>
      </c>
      <c r="J598" s="138">
        <f t="shared" ref="J598" ca="1" si="2831">J599+J600</f>
        <v>6163.5569139923009</v>
      </c>
      <c r="K598" s="138">
        <f t="shared" ref="K598:L598" ca="1" si="2832">K599+K600</f>
        <v>6254.0000000000009</v>
      </c>
      <c r="L598" s="138">
        <f t="shared" ca="1" si="2832"/>
        <v>6345.7702339387961</v>
      </c>
      <c r="M598" s="138">
        <f t="shared" ref="M598:N598" ca="1" si="2833">M599+M600</f>
        <v>6438.8870901732716</v>
      </c>
      <c r="N598" s="138">
        <f t="shared" ca="1" si="2833"/>
        <v>6533.3703288318411</v>
      </c>
      <c r="O598" s="138">
        <f t="shared" ref="O598:P598" ca="1" si="2834">O599+O600</f>
        <v>6629.2400000000016</v>
      </c>
      <c r="P598" s="138">
        <f t="shared" ca="1" si="2834"/>
        <v>6726.5164479751256</v>
      </c>
      <c r="Q598" s="138">
        <f t="shared" ref="Q598:R598" ca="1" si="2835">Q599+Q600</f>
        <v>6825.2203155836687</v>
      </c>
      <c r="R598" s="138">
        <f t="shared" ca="1" si="2835"/>
        <v>6925.3725485617506</v>
      </c>
      <c r="S598" s="138">
        <f t="shared" ref="S598:T598" ca="1" si="2836">S599+S600</f>
        <v>7026.9944000000023</v>
      </c>
      <c r="T598" s="138">
        <f t="shared" ca="1" si="2836"/>
        <v>7130.1074348536331</v>
      </c>
      <c r="U598" s="138">
        <f t="shared" ref="U598:V598" ca="1" si="2837">U599+U600</f>
        <v>7234.7335345186893</v>
      </c>
      <c r="V598" s="138">
        <f t="shared" ca="1" si="2837"/>
        <v>7340.8949014754562</v>
      </c>
      <c r="W598" s="138">
        <f t="shared" ref="W598:X598" ca="1" si="2838">W599+W600</f>
        <v>7448.6140640000031</v>
      </c>
      <c r="X598" s="138">
        <f t="shared" ca="1" si="2838"/>
        <v>7557.9138809448514</v>
      </c>
      <c r="Y598" s="138">
        <f t="shared" ref="Y598:Z598" ca="1" si="2839">Y599+Y600</f>
        <v>7668.8175465898112</v>
      </c>
      <c r="Z598" s="138">
        <f t="shared" ca="1" si="2839"/>
        <v>7781.3485955639853</v>
      </c>
      <c r="AA598" s="138">
        <f t="shared" ref="AA598:AB598" ca="1" si="2840">AA599+AA600</f>
        <v>7895.5309078400041</v>
      </c>
      <c r="AB598" s="138">
        <f t="shared" ca="1" si="2840"/>
        <v>8011.3887138015434</v>
      </c>
      <c r="AC598" s="138">
        <f t="shared" ref="AC598:AD598" ca="1" si="2841">AC599+AC600</f>
        <v>8128.9465993852009</v>
      </c>
      <c r="AD598" s="138">
        <f t="shared" ca="1" si="2841"/>
        <v>8248.2295112978263</v>
      </c>
      <c r="AE598" s="138">
        <f t="shared" ref="AE598:AF598" ca="1" si="2842">AE599+AE600</f>
        <v>8369.2627623104054</v>
      </c>
      <c r="AF598" s="138">
        <f t="shared" ca="1" si="2842"/>
        <v>8492.0720366296373</v>
      </c>
      <c r="AG598" s="138">
        <f t="shared" ref="AG598:AH598" ca="1" si="2843">AG599+AG600</f>
        <v>8616.6833953483128</v>
      </c>
      <c r="AH598" s="138">
        <f t="shared" ca="1" si="2843"/>
        <v>8743.1232819756951</v>
      </c>
      <c r="AI598" s="138">
        <f t="shared" ref="AI598:AJ598" ca="1" si="2844">AI599+AI600</f>
        <v>8871.418528049031</v>
      </c>
      <c r="AJ598" s="138">
        <f t="shared" ca="1" si="2844"/>
        <v>9001.5963588274171</v>
      </c>
      <c r="AK598" s="138">
        <f t="shared" ref="AK598:AL598" ca="1" si="2845">AK599+AK600</f>
        <v>9133.6843990692141</v>
      </c>
      <c r="AL598" s="138">
        <f t="shared" ca="1" si="2845"/>
        <v>9267.7106788942383</v>
      </c>
      <c r="AM598" s="138">
        <f t="shared" ref="AM598:AN598" ca="1" si="2846">AM599+AM600</f>
        <v>9403.7036397319735</v>
      </c>
      <c r="AN598" s="138">
        <f t="shared" ca="1" si="2846"/>
        <v>9541.6921403570632</v>
      </c>
      <c r="AO598" s="138">
        <f t="shared" ref="AO598:AP598" ca="1" si="2847">AO599+AO600</f>
        <v>9681.705463013368</v>
      </c>
      <c r="AP598" s="138">
        <f t="shared" ca="1" si="2847"/>
        <v>9823.773319627895</v>
      </c>
      <c r="AQ598" s="138">
        <f t="shared" ref="AQ598:AR598" ca="1" si="2848">AQ599+AQ600</f>
        <v>9967.9258581158938</v>
      </c>
      <c r="AR598" s="138">
        <f t="shared" ca="1" si="2848"/>
        <v>10114.193668778487</v>
      </c>
      <c r="AS598" s="138">
        <f t="shared" ref="AS598:AT598" ca="1" si="2849">AS599+AS600</f>
        <v>10262.607790794171</v>
      </c>
      <c r="AT598" s="138">
        <f t="shared" ca="1" si="2849"/>
        <v>10413.199718805568</v>
      </c>
      <c r="AU598" s="138">
        <f t="shared" ref="AU598:AV598" ca="1" si="2850">AU599+AU600</f>
        <v>10566.001409602848</v>
      </c>
      <c r="AV598" s="138">
        <f t="shared" ca="1" si="2850"/>
        <v>10721.045288905196</v>
      </c>
      <c r="AW598" s="148"/>
      <c r="AX598" s="171">
        <f ca="1">SUM(G598:AW598)</f>
        <v>339267.85118374159</v>
      </c>
    </row>
    <row r="599" spans="1:50" hidden="1" outlineLevel="1" x14ac:dyDescent="0.2">
      <c r="A599" s="99" t="str">
        <f ca="1">Language!A$777</f>
        <v>сумма без НДС</v>
      </c>
      <c r="C599" s="124" t="str">
        <f t="shared" ca="1" si="2797"/>
        <v>тыс. руб.</v>
      </c>
      <c r="D599" s="66">
        <v>1</v>
      </c>
      <c r="F599" s="57" t="s">
        <v>1067</v>
      </c>
      <c r="G599" s="138">
        <f t="shared" ref="G599:AV599" ca="1" si="2851">SUM(G$565)</f>
        <v>5000</v>
      </c>
      <c r="H599" s="138">
        <f t="shared" ca="1" si="2851"/>
        <v>5073.3692308432965</v>
      </c>
      <c r="I599" s="138">
        <f t="shared" ca="1" si="2851"/>
        <v>5147.8150704935006</v>
      </c>
      <c r="J599" s="138">
        <f t="shared" ca="1" si="2851"/>
        <v>5223.3533169426282</v>
      </c>
      <c r="K599" s="138">
        <f t="shared" ca="1" si="2851"/>
        <v>5300.0000000000009</v>
      </c>
      <c r="L599" s="138">
        <f t="shared" ca="1" si="2851"/>
        <v>5377.771384693895</v>
      </c>
      <c r="M599" s="138">
        <f t="shared" ca="1" si="2851"/>
        <v>5456.6839747231115</v>
      </c>
      <c r="N599" s="138">
        <f t="shared" ca="1" si="2851"/>
        <v>5536.7545159591873</v>
      </c>
      <c r="O599" s="138">
        <f t="shared" ca="1" si="2851"/>
        <v>5618.0000000000018</v>
      </c>
      <c r="P599" s="138">
        <f t="shared" ca="1" si="2851"/>
        <v>5700.4376677755299</v>
      </c>
      <c r="Q599" s="138">
        <f t="shared" ca="1" si="2851"/>
        <v>5784.0850132064988</v>
      </c>
      <c r="R599" s="138">
        <f t="shared" ca="1" si="2851"/>
        <v>5868.9597869167383</v>
      </c>
      <c r="S599" s="138">
        <f t="shared" ca="1" si="2851"/>
        <v>5955.0800000000017</v>
      </c>
      <c r="T599" s="138">
        <f t="shared" ca="1" si="2851"/>
        <v>6042.4639278420618</v>
      </c>
      <c r="U599" s="138">
        <f t="shared" ca="1" si="2851"/>
        <v>6131.1301139988891</v>
      </c>
      <c r="V599" s="138">
        <f t="shared" ca="1" si="2851"/>
        <v>6221.097374131743</v>
      </c>
      <c r="W599" s="138">
        <f t="shared" ca="1" si="2851"/>
        <v>6312.3848000000025</v>
      </c>
      <c r="X599" s="138">
        <f t="shared" ca="1" si="2851"/>
        <v>6405.0117635125862</v>
      </c>
      <c r="Y599" s="138">
        <f t="shared" ca="1" si="2851"/>
        <v>6498.9979208388231</v>
      </c>
      <c r="Z599" s="138">
        <f t="shared" ca="1" si="2851"/>
        <v>6594.3632165796489</v>
      </c>
      <c r="AA599" s="138">
        <f t="shared" ca="1" si="2851"/>
        <v>6691.1278880000036</v>
      </c>
      <c r="AB599" s="138">
        <f t="shared" ca="1" si="2851"/>
        <v>6789.3124693233422</v>
      </c>
      <c r="AC599" s="138">
        <f t="shared" ca="1" si="2851"/>
        <v>6888.9377960891534</v>
      </c>
      <c r="AD599" s="138">
        <f t="shared" ca="1" si="2851"/>
        <v>6990.0250095744286</v>
      </c>
      <c r="AE599" s="138">
        <f t="shared" ca="1" si="2851"/>
        <v>7092.5955612800053</v>
      </c>
      <c r="AF599" s="138">
        <f t="shared" ca="1" si="2851"/>
        <v>7196.6712174827435</v>
      </c>
      <c r="AG599" s="138">
        <f t="shared" ca="1" si="2851"/>
        <v>7302.2740638545029</v>
      </c>
      <c r="AH599" s="138">
        <f t="shared" ca="1" si="2851"/>
        <v>7409.4265101488945</v>
      </c>
      <c r="AI599" s="138">
        <f t="shared" ca="1" si="2851"/>
        <v>7518.1512949568059</v>
      </c>
      <c r="AJ599" s="138">
        <f t="shared" ca="1" si="2851"/>
        <v>7628.4714905317087</v>
      </c>
      <c r="AK599" s="138">
        <f t="shared" ca="1" si="2851"/>
        <v>7740.4105076857741</v>
      </c>
      <c r="AL599" s="138">
        <f t="shared" ca="1" si="2851"/>
        <v>7853.9921007578296</v>
      </c>
      <c r="AM599" s="138">
        <f t="shared" ca="1" si="2851"/>
        <v>7969.2403726542152</v>
      </c>
      <c r="AN599" s="138">
        <f t="shared" ca="1" si="2851"/>
        <v>8086.1797799636124</v>
      </c>
      <c r="AO599" s="138">
        <f t="shared" ca="1" si="2851"/>
        <v>8204.835138146922</v>
      </c>
      <c r="AP599" s="138">
        <f t="shared" ca="1" si="2851"/>
        <v>8325.231626803301</v>
      </c>
      <c r="AQ599" s="138">
        <f t="shared" ca="1" si="2851"/>
        <v>8447.3947950134698</v>
      </c>
      <c r="AR599" s="138">
        <f t="shared" ca="1" si="2851"/>
        <v>8571.3505667614299</v>
      </c>
      <c r="AS599" s="138">
        <f t="shared" ca="1" si="2851"/>
        <v>8697.1252464357385</v>
      </c>
      <c r="AT599" s="138">
        <f t="shared" ca="1" si="2851"/>
        <v>8824.745524411499</v>
      </c>
      <c r="AU599" s="138">
        <f t="shared" ca="1" si="2851"/>
        <v>8954.2384827142778</v>
      </c>
      <c r="AV599" s="138">
        <f t="shared" ca="1" si="2851"/>
        <v>9085.6316007671157</v>
      </c>
      <c r="AW599" s="148"/>
      <c r="AX599" s="171">
        <f ca="1">SUM(G599:AW599)</f>
        <v>287515.12812181492</v>
      </c>
    </row>
    <row r="600" spans="1:50" hidden="1" outlineLevel="1" x14ac:dyDescent="0.2">
      <c r="A600" s="99" t="str">
        <f ca="1">Language!A$778</f>
        <v>НДС начисленный</v>
      </c>
      <c r="C600" s="124"/>
      <c r="D600" s="66">
        <v>1</v>
      </c>
      <c r="F600" s="57" t="s">
        <v>1115</v>
      </c>
      <c r="G600" s="138">
        <f t="shared" ref="G600:AV600" ca="1" si="2852">SUM(G$570)</f>
        <v>900</v>
      </c>
      <c r="H600" s="138">
        <f t="shared" ca="1" si="2852"/>
        <v>913.20646155179338</v>
      </c>
      <c r="I600" s="138">
        <f t="shared" ca="1" si="2852"/>
        <v>926.60671268883004</v>
      </c>
      <c r="J600" s="138">
        <f t="shared" ca="1" si="2852"/>
        <v>940.20359704967302</v>
      </c>
      <c r="K600" s="138">
        <f t="shared" ca="1" si="2852"/>
        <v>954.00000000000011</v>
      </c>
      <c r="L600" s="138">
        <f t="shared" ca="1" si="2852"/>
        <v>967.99884924490107</v>
      </c>
      <c r="M600" s="138">
        <f t="shared" ca="1" si="2852"/>
        <v>982.20311545016</v>
      </c>
      <c r="N600" s="138">
        <f t="shared" ca="1" si="2852"/>
        <v>996.61581287265369</v>
      </c>
      <c r="O600" s="138">
        <f t="shared" ca="1" si="2852"/>
        <v>1011.2400000000002</v>
      </c>
      <c r="P600" s="138">
        <f t="shared" ca="1" si="2852"/>
        <v>1026.0787801995953</v>
      </c>
      <c r="Q600" s="138">
        <f t="shared" ca="1" si="2852"/>
        <v>1041.1353023771699</v>
      </c>
      <c r="R600" s="138">
        <f t="shared" ca="1" si="2852"/>
        <v>1056.4127616450128</v>
      </c>
      <c r="S600" s="138">
        <f t="shared" ca="1" si="2852"/>
        <v>1071.9144000000003</v>
      </c>
      <c r="T600" s="138">
        <f t="shared" ca="1" si="2852"/>
        <v>1087.643507011571</v>
      </c>
      <c r="U600" s="138">
        <f t="shared" ca="1" si="2852"/>
        <v>1103.6034205198</v>
      </c>
      <c r="V600" s="138">
        <f t="shared" ca="1" si="2852"/>
        <v>1119.7975273437137</v>
      </c>
      <c r="W600" s="138">
        <f t="shared" ca="1" si="2852"/>
        <v>1136.2292640000005</v>
      </c>
      <c r="X600" s="138">
        <f t="shared" ca="1" si="2852"/>
        <v>1152.9021174322654</v>
      </c>
      <c r="Y600" s="138">
        <f t="shared" ca="1" si="2852"/>
        <v>1169.8196257509881</v>
      </c>
      <c r="Z600" s="138">
        <f t="shared" ca="1" si="2852"/>
        <v>1186.9853789843366</v>
      </c>
      <c r="AA600" s="138">
        <f t="shared" ca="1" si="2852"/>
        <v>1204.4030198400005</v>
      </c>
      <c r="AB600" s="138">
        <f t="shared" ca="1" si="2852"/>
        <v>1222.0762444782015</v>
      </c>
      <c r="AC600" s="138">
        <f t="shared" ca="1" si="2852"/>
        <v>1240.0088032960475</v>
      </c>
      <c r="AD600" s="138">
        <f t="shared" ca="1" si="2852"/>
        <v>1258.204501723397</v>
      </c>
      <c r="AE600" s="138">
        <f t="shared" ca="1" si="2852"/>
        <v>1276.667201030401</v>
      </c>
      <c r="AF600" s="138">
        <f t="shared" ca="1" si="2852"/>
        <v>1295.4008191468938</v>
      </c>
      <c r="AG600" s="138">
        <f t="shared" ca="1" si="2852"/>
        <v>1314.4093314938104</v>
      </c>
      <c r="AH600" s="138">
        <f t="shared" ca="1" si="2852"/>
        <v>1333.6967718268011</v>
      </c>
      <c r="AI600" s="138">
        <f t="shared" ca="1" si="2852"/>
        <v>1353.2672330922251</v>
      </c>
      <c r="AJ600" s="138">
        <f t="shared" ca="1" si="2852"/>
        <v>1373.1248682957075</v>
      </c>
      <c r="AK600" s="138">
        <f t="shared" ca="1" si="2852"/>
        <v>1393.2738913834394</v>
      </c>
      <c r="AL600" s="138">
        <f t="shared" ca="1" si="2852"/>
        <v>1413.7185781364092</v>
      </c>
      <c r="AM600" s="138">
        <f t="shared" ca="1" si="2852"/>
        <v>1434.4632670777587</v>
      </c>
      <c r="AN600" s="138">
        <f t="shared" ca="1" si="2852"/>
        <v>1455.5123603934501</v>
      </c>
      <c r="AO600" s="138">
        <f t="shared" ca="1" si="2852"/>
        <v>1476.8703248664458</v>
      </c>
      <c r="AP600" s="138">
        <f t="shared" ca="1" si="2852"/>
        <v>1498.5416928245941</v>
      </c>
      <c r="AQ600" s="138">
        <f t="shared" ca="1" si="2852"/>
        <v>1520.5310631024245</v>
      </c>
      <c r="AR600" s="138">
        <f t="shared" ca="1" si="2852"/>
        <v>1542.8431020170574</v>
      </c>
      <c r="AS600" s="138">
        <f t="shared" ca="1" si="2852"/>
        <v>1565.482544358433</v>
      </c>
      <c r="AT600" s="138">
        <f t="shared" ca="1" si="2852"/>
        <v>1588.4541943940699</v>
      </c>
      <c r="AU600" s="138">
        <f t="shared" ca="1" si="2852"/>
        <v>1611.7629268885698</v>
      </c>
      <c r="AV600" s="138">
        <f t="shared" ca="1" si="2852"/>
        <v>1635.4136881380807</v>
      </c>
      <c r="AW600" s="148"/>
      <c r="AX600" s="171">
        <f ca="1">SUM(G600:AW600)</f>
        <v>51752.723061926692</v>
      </c>
    </row>
    <row r="601" spans="1:50" hidden="1" outlineLevel="1" x14ac:dyDescent="0.2">
      <c r="A601" s="99" t="str">
        <f ca="1">Language!A$779</f>
        <v>затраты в запасах готовой продукции</v>
      </c>
      <c r="B601" s="195"/>
      <c r="C601" s="124" t="str">
        <f t="shared" ref="C601:C610" ca="1" si="2853">CurName1</f>
        <v>тыс. руб.</v>
      </c>
      <c r="D601" s="66"/>
      <c r="F601" s="57" t="s">
        <v>754</v>
      </c>
      <c r="G601" s="311">
        <f ca="1">IF(AND($B602=0,G$2&gt;1), F601, G599*$B602/Параметры!G$30)</f>
        <v>0</v>
      </c>
      <c r="H601" s="311">
        <f ca="1">IF(AND($B602=0,H$2&gt;1), G601, H599*$B602/Параметры!H$30)</f>
        <v>0</v>
      </c>
      <c r="I601" s="311">
        <f ca="1">IF(AND($B602=0,I$2&gt;1), H601, I599*$B602/Параметры!I$30)</f>
        <v>0</v>
      </c>
      <c r="J601" s="311">
        <f ca="1">IF(AND($B602=0,J$2&gt;1), I601, J599*$B602/Параметры!J$30)</f>
        <v>0</v>
      </c>
      <c r="K601" s="311">
        <f ca="1">IF(AND($B602=0,K$2&gt;1), J601, K599*$B602/Параметры!K$30)</f>
        <v>0</v>
      </c>
      <c r="L601" s="311">
        <f ca="1">IF(AND($B602=0,L$2&gt;1), K601, L599*$B602/Параметры!L$30)</f>
        <v>0</v>
      </c>
      <c r="M601" s="311">
        <f ca="1">IF(AND($B602=0,M$2&gt;1), L601, M599*$B602/Параметры!M$30)</f>
        <v>0</v>
      </c>
      <c r="N601" s="311">
        <f ca="1">IF(AND($B602=0,N$2&gt;1), M601, N599*$B602/Параметры!N$30)</f>
        <v>0</v>
      </c>
      <c r="O601" s="311">
        <f ca="1">IF(AND($B602=0,O$2&gt;1), N601, O599*$B602/Параметры!O$30)</f>
        <v>0</v>
      </c>
      <c r="P601" s="311">
        <f ca="1">IF(AND($B602=0,P$2&gt;1), O601, P599*$B602/Параметры!P$30)</f>
        <v>0</v>
      </c>
      <c r="Q601" s="311">
        <f ca="1">IF(AND($B602=0,Q$2&gt;1), P601, Q599*$B602/Параметры!Q$30)</f>
        <v>0</v>
      </c>
      <c r="R601" s="311">
        <f ca="1">IF(AND($B602=0,R$2&gt;1), Q601, R599*$B602/Параметры!R$30)</f>
        <v>0</v>
      </c>
      <c r="S601" s="311">
        <f ca="1">IF(AND($B602=0,S$2&gt;1), R601, S599*$B602/Параметры!S$30)</f>
        <v>0</v>
      </c>
      <c r="T601" s="311">
        <f ca="1">IF(AND($B602=0,T$2&gt;1), S601, T599*$B602/Параметры!T$30)</f>
        <v>0</v>
      </c>
      <c r="U601" s="311">
        <f ca="1">IF(AND($B602=0,U$2&gt;1), T601, U599*$B602/Параметры!U$30)</f>
        <v>0</v>
      </c>
      <c r="V601" s="311">
        <f ca="1">IF(AND($B602=0,V$2&gt;1), U601, V599*$B602/Параметры!V$30)</f>
        <v>0</v>
      </c>
      <c r="W601" s="311">
        <f ca="1">IF(AND($B602=0,W$2&gt;1), V601, W599*$B602/Параметры!W$30)</f>
        <v>0</v>
      </c>
      <c r="X601" s="311">
        <f ca="1">IF(AND($B602=0,X$2&gt;1), W601, X599*$B602/Параметры!X$30)</f>
        <v>0</v>
      </c>
      <c r="Y601" s="311">
        <f ca="1">IF(AND($B602=0,Y$2&gt;1), X601, Y599*$B602/Параметры!Y$30)</f>
        <v>0</v>
      </c>
      <c r="Z601" s="311">
        <f ca="1">IF(AND($B602=0,Z$2&gt;1), Y601, Z599*$B602/Параметры!Z$30)</f>
        <v>0</v>
      </c>
      <c r="AA601" s="311">
        <f ca="1">IF(AND($B602=0,AA$2&gt;1), Z601, AA599*$B602/Параметры!AA$30)</f>
        <v>0</v>
      </c>
      <c r="AB601" s="311">
        <f ca="1">IF(AND($B602=0,AB$2&gt;1), AA601, AB599*$B602/Параметры!AB$30)</f>
        <v>0</v>
      </c>
      <c r="AC601" s="311">
        <f ca="1">IF(AND($B602=0,AC$2&gt;1), AB601, AC599*$B602/Параметры!AC$30)</f>
        <v>0</v>
      </c>
      <c r="AD601" s="311">
        <f ca="1">IF(AND($B602=0,AD$2&gt;1), AC601, AD599*$B602/Параметры!AD$30)</f>
        <v>0</v>
      </c>
      <c r="AE601" s="311">
        <f ca="1">IF(AND($B602=0,AE$2&gt;1), AD601, AE599*$B602/Параметры!AE$30)</f>
        <v>0</v>
      </c>
      <c r="AF601" s="311">
        <f ca="1">IF(AND($B602=0,AF$2&gt;1), AE601, AF599*$B602/Параметры!AF$30)</f>
        <v>0</v>
      </c>
      <c r="AG601" s="311">
        <f ca="1">IF(AND($B602=0,AG$2&gt;1), AF601, AG599*$B602/Параметры!AG$30)</f>
        <v>0</v>
      </c>
      <c r="AH601" s="311">
        <f ca="1">IF(AND($B602=0,AH$2&gt;1), AG601, AH599*$B602/Параметры!AH$30)</f>
        <v>0</v>
      </c>
      <c r="AI601" s="311">
        <f ca="1">IF(AND($B602=0,AI$2&gt;1), AH601, AI599*$B602/Параметры!AI$30)</f>
        <v>0</v>
      </c>
      <c r="AJ601" s="311">
        <f ca="1">IF(AND($B602=0,AJ$2&gt;1), AI601, AJ599*$B602/Параметры!AJ$30)</f>
        <v>0</v>
      </c>
      <c r="AK601" s="311">
        <f ca="1">IF(AND($B602=0,AK$2&gt;1), AJ601, AK599*$B602/Параметры!AK$30)</f>
        <v>0</v>
      </c>
      <c r="AL601" s="311">
        <f ca="1">IF(AND($B602=0,AL$2&gt;1), AK601, AL599*$B602/Параметры!AL$30)</f>
        <v>0</v>
      </c>
      <c r="AM601" s="311">
        <f ca="1">IF(AND($B602=0,AM$2&gt;1), AL601, AM599*$B602/Параметры!AM$30)</f>
        <v>0</v>
      </c>
      <c r="AN601" s="311">
        <f ca="1">IF(AND($B602=0,AN$2&gt;1), AM601, AN599*$B602/Параметры!AN$30)</f>
        <v>0</v>
      </c>
      <c r="AO601" s="311">
        <f ca="1">IF(AND($B602=0,AO$2&gt;1), AN601, AO599*$B602/Параметры!AO$30)</f>
        <v>0</v>
      </c>
      <c r="AP601" s="311">
        <f ca="1">IF(AND($B602=0,AP$2&gt;1), AO601, AP599*$B602/Параметры!AP$30)</f>
        <v>0</v>
      </c>
      <c r="AQ601" s="311">
        <f ca="1">IF(AND($B602=0,AQ$2&gt;1), AP601, AQ599*$B602/Параметры!AQ$30)</f>
        <v>0</v>
      </c>
      <c r="AR601" s="311">
        <f ca="1">IF(AND($B602=0,AR$2&gt;1), AQ601, AR599*$B602/Параметры!AR$30)</f>
        <v>0</v>
      </c>
      <c r="AS601" s="311">
        <f ca="1">IF(AND($B602=0,AS$2&gt;1), AR601, AS599*$B602/Параметры!AS$30)</f>
        <v>0</v>
      </c>
      <c r="AT601" s="311">
        <f ca="1">IF(AND($B602=0,AT$2&gt;1), AS601, AT599*$B602/Параметры!AT$30)</f>
        <v>0</v>
      </c>
      <c r="AU601" s="311">
        <f ca="1">IF(AND($B602=0,AU$2&gt;1), AT601, AU599*$B602/Параметры!AU$30)</f>
        <v>0</v>
      </c>
      <c r="AV601" s="311">
        <f ca="1">IF(AND($B602=0,AV$2&gt;1), AU601, AV599*$B602/Параметры!AV$30)</f>
        <v>0</v>
      </c>
      <c r="AW601" s="148"/>
      <c r="AX601" s="171"/>
    </row>
    <row r="602" spans="1:50" hidden="1" outlineLevel="1" x14ac:dyDescent="0.2">
      <c r="A602" s="206" t="str">
        <f ca="1">Language!A$780</f>
        <v>периодичность отгрузки</v>
      </c>
      <c r="B602" s="313">
        <v>0</v>
      </c>
      <c r="C602" s="124" t="str">
        <f ca="1">Language!$A$1446</f>
        <v>дней</v>
      </c>
      <c r="D602" s="66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71"/>
    </row>
    <row r="603" spans="1:50" hidden="1" outlineLevel="1" x14ac:dyDescent="0.2">
      <c r="A603" s="99" t="str">
        <f ca="1">Language!A$781</f>
        <v>затраты в незавершенном производстве</v>
      </c>
      <c r="B603" s="195"/>
      <c r="C603" s="124" t="str">
        <f t="shared" ca="1" si="2853"/>
        <v>тыс. руб.</v>
      </c>
      <c r="D603" s="66"/>
      <c r="F603" s="57" t="s">
        <v>754</v>
      </c>
      <c r="G603" s="311">
        <f ca="1">IF(AND($B604=0,G$2&gt;1), F603, G599*$B604/Параметры!G$30)</f>
        <v>0</v>
      </c>
      <c r="H603" s="311">
        <f ca="1">IF(AND($B604=0,H$2&gt;1), G603, H599*$B604/Параметры!H$30)</f>
        <v>0</v>
      </c>
      <c r="I603" s="311">
        <f ca="1">IF(AND($B604=0,I$2&gt;1), H603, I599*$B604/Параметры!I$30)</f>
        <v>0</v>
      </c>
      <c r="J603" s="311">
        <f ca="1">IF(AND($B604=0,J$2&gt;1), I603, J599*$B604/Параметры!J$30)</f>
        <v>0</v>
      </c>
      <c r="K603" s="311">
        <f ca="1">IF(AND($B604=0,K$2&gt;1), J603, K599*$B604/Параметры!K$30)</f>
        <v>0</v>
      </c>
      <c r="L603" s="311">
        <f ca="1">IF(AND($B604=0,L$2&gt;1), K603, L599*$B604/Параметры!L$30)</f>
        <v>0</v>
      </c>
      <c r="M603" s="311">
        <f ca="1">IF(AND($B604=0,M$2&gt;1), L603, M599*$B604/Параметры!M$30)</f>
        <v>0</v>
      </c>
      <c r="N603" s="311">
        <f ca="1">IF(AND($B604=0,N$2&gt;1), M603, N599*$B604/Параметры!N$30)</f>
        <v>0</v>
      </c>
      <c r="O603" s="311">
        <f ca="1">IF(AND($B604=0,O$2&gt;1), N603, O599*$B604/Параметры!O$30)</f>
        <v>0</v>
      </c>
      <c r="P603" s="311">
        <f ca="1">IF(AND($B604=0,P$2&gt;1), O603, P599*$B604/Параметры!P$30)</f>
        <v>0</v>
      </c>
      <c r="Q603" s="311">
        <f ca="1">IF(AND($B604=0,Q$2&gt;1), P603, Q599*$B604/Параметры!Q$30)</f>
        <v>0</v>
      </c>
      <c r="R603" s="311">
        <f ca="1">IF(AND($B604=0,R$2&gt;1), Q603, R599*$B604/Параметры!R$30)</f>
        <v>0</v>
      </c>
      <c r="S603" s="311">
        <f ca="1">IF(AND($B604=0,S$2&gt;1), R603, S599*$B604/Параметры!S$30)</f>
        <v>0</v>
      </c>
      <c r="T603" s="311">
        <f ca="1">IF(AND($B604=0,T$2&gt;1), S603, T599*$B604/Параметры!T$30)</f>
        <v>0</v>
      </c>
      <c r="U603" s="311">
        <f ca="1">IF(AND($B604=0,U$2&gt;1), T603, U599*$B604/Параметры!U$30)</f>
        <v>0</v>
      </c>
      <c r="V603" s="311">
        <f ca="1">IF(AND($B604=0,V$2&gt;1), U603, V599*$B604/Параметры!V$30)</f>
        <v>0</v>
      </c>
      <c r="W603" s="311">
        <f ca="1">IF(AND($B604=0,W$2&gt;1), V603, W599*$B604/Параметры!W$30)</f>
        <v>0</v>
      </c>
      <c r="X603" s="311">
        <f ca="1">IF(AND($B604=0,X$2&gt;1), W603, X599*$B604/Параметры!X$30)</f>
        <v>0</v>
      </c>
      <c r="Y603" s="311">
        <f ca="1">IF(AND($B604=0,Y$2&gt;1), X603, Y599*$B604/Параметры!Y$30)</f>
        <v>0</v>
      </c>
      <c r="Z603" s="311">
        <f ca="1">IF(AND($B604=0,Z$2&gt;1), Y603, Z599*$B604/Параметры!Z$30)</f>
        <v>0</v>
      </c>
      <c r="AA603" s="311">
        <f ca="1">IF(AND($B604=0,AA$2&gt;1), Z603, AA599*$B604/Параметры!AA$30)</f>
        <v>0</v>
      </c>
      <c r="AB603" s="311">
        <f ca="1">IF(AND($B604=0,AB$2&gt;1), AA603, AB599*$B604/Параметры!AB$30)</f>
        <v>0</v>
      </c>
      <c r="AC603" s="311">
        <f ca="1">IF(AND($B604=0,AC$2&gt;1), AB603, AC599*$B604/Параметры!AC$30)</f>
        <v>0</v>
      </c>
      <c r="AD603" s="311">
        <f ca="1">IF(AND($B604=0,AD$2&gt;1), AC603, AD599*$B604/Параметры!AD$30)</f>
        <v>0</v>
      </c>
      <c r="AE603" s="311">
        <f ca="1">IF(AND($B604=0,AE$2&gt;1), AD603, AE599*$B604/Параметры!AE$30)</f>
        <v>0</v>
      </c>
      <c r="AF603" s="311">
        <f ca="1">IF(AND($B604=0,AF$2&gt;1), AE603, AF599*$B604/Параметры!AF$30)</f>
        <v>0</v>
      </c>
      <c r="AG603" s="311">
        <f ca="1">IF(AND($B604=0,AG$2&gt;1), AF603, AG599*$B604/Параметры!AG$30)</f>
        <v>0</v>
      </c>
      <c r="AH603" s="311">
        <f ca="1">IF(AND($B604=0,AH$2&gt;1), AG603, AH599*$B604/Параметры!AH$30)</f>
        <v>0</v>
      </c>
      <c r="AI603" s="311">
        <f ca="1">IF(AND($B604=0,AI$2&gt;1), AH603, AI599*$B604/Параметры!AI$30)</f>
        <v>0</v>
      </c>
      <c r="AJ603" s="311">
        <f ca="1">IF(AND($B604=0,AJ$2&gt;1), AI603, AJ599*$B604/Параметры!AJ$30)</f>
        <v>0</v>
      </c>
      <c r="AK603" s="311">
        <f ca="1">IF(AND($B604=0,AK$2&gt;1), AJ603, AK599*$B604/Параметры!AK$30)</f>
        <v>0</v>
      </c>
      <c r="AL603" s="311">
        <f ca="1">IF(AND($B604=0,AL$2&gt;1), AK603, AL599*$B604/Параметры!AL$30)</f>
        <v>0</v>
      </c>
      <c r="AM603" s="311">
        <f ca="1">IF(AND($B604=0,AM$2&gt;1), AL603, AM599*$B604/Параметры!AM$30)</f>
        <v>0</v>
      </c>
      <c r="AN603" s="311">
        <f ca="1">IF(AND($B604=0,AN$2&gt;1), AM603, AN599*$B604/Параметры!AN$30)</f>
        <v>0</v>
      </c>
      <c r="AO603" s="311">
        <f ca="1">IF(AND($B604=0,AO$2&gt;1), AN603, AO599*$B604/Параметры!AO$30)</f>
        <v>0</v>
      </c>
      <c r="AP603" s="311">
        <f ca="1">IF(AND($B604=0,AP$2&gt;1), AO603, AP599*$B604/Параметры!AP$30)</f>
        <v>0</v>
      </c>
      <c r="AQ603" s="311">
        <f ca="1">IF(AND($B604=0,AQ$2&gt;1), AP603, AQ599*$B604/Параметры!AQ$30)</f>
        <v>0</v>
      </c>
      <c r="AR603" s="311">
        <f ca="1">IF(AND($B604=0,AR$2&gt;1), AQ603, AR599*$B604/Параметры!AR$30)</f>
        <v>0</v>
      </c>
      <c r="AS603" s="311">
        <f ca="1">IF(AND($B604=0,AS$2&gt;1), AR603, AS599*$B604/Параметры!AS$30)</f>
        <v>0</v>
      </c>
      <c r="AT603" s="311">
        <f ca="1">IF(AND($B604=0,AT$2&gt;1), AS603, AT599*$B604/Параметры!AT$30)</f>
        <v>0</v>
      </c>
      <c r="AU603" s="311">
        <f ca="1">IF(AND($B604=0,AU$2&gt;1), AT603, AU599*$B604/Параметры!AU$30)</f>
        <v>0</v>
      </c>
      <c r="AV603" s="311">
        <f ca="1">IF(AND($B604=0,AV$2&gt;1), AU603, AV599*$B604/Параметры!AV$30)</f>
        <v>0</v>
      </c>
      <c r="AW603" s="148"/>
      <c r="AX603" s="171"/>
    </row>
    <row r="604" spans="1:50" hidden="1" outlineLevel="1" x14ac:dyDescent="0.2">
      <c r="A604" s="206" t="str">
        <f ca="1">Language!A$782</f>
        <v>длительность производственного цикла</v>
      </c>
      <c r="B604" s="313">
        <v>0</v>
      </c>
      <c r="C604" s="124" t="str">
        <f ca="1">Language!$A$1446</f>
        <v>дней</v>
      </c>
      <c r="D604" s="66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71"/>
    </row>
    <row r="605" spans="1:50" hidden="1" outlineLevel="1" x14ac:dyDescent="0.2">
      <c r="A605" s="172" t="str">
        <f ca="1">Language!A$783</f>
        <v>списано на продажи</v>
      </c>
      <c r="B605" s="195"/>
      <c r="C605" s="124" t="str">
        <f t="shared" ca="1" si="2853"/>
        <v>тыс. руб.</v>
      </c>
      <c r="D605" s="66"/>
      <c r="F605" s="57" t="s">
        <v>753</v>
      </c>
      <c r="G605" s="45">
        <f t="shared" ref="G605:AV605" ca="1" si="2854">G599-G601-G603 + IF(G$2&gt;1, F601+F603, 0)</f>
        <v>5000</v>
      </c>
      <c r="H605" s="45">
        <f t="shared" ca="1" si="2854"/>
        <v>5073.3692308432965</v>
      </c>
      <c r="I605" s="45">
        <f t="shared" ca="1" si="2854"/>
        <v>5147.8150704935006</v>
      </c>
      <c r="J605" s="45">
        <f t="shared" ca="1" si="2854"/>
        <v>5223.3533169426282</v>
      </c>
      <c r="K605" s="45">
        <f t="shared" ca="1" si="2854"/>
        <v>5300.0000000000009</v>
      </c>
      <c r="L605" s="45">
        <f t="shared" ca="1" si="2854"/>
        <v>5377.771384693895</v>
      </c>
      <c r="M605" s="45">
        <f t="shared" ca="1" si="2854"/>
        <v>5456.6839747231115</v>
      </c>
      <c r="N605" s="45">
        <f t="shared" ca="1" si="2854"/>
        <v>5536.7545159591873</v>
      </c>
      <c r="O605" s="45">
        <f t="shared" ca="1" si="2854"/>
        <v>5618.0000000000018</v>
      </c>
      <c r="P605" s="45">
        <f t="shared" ca="1" si="2854"/>
        <v>5700.4376677755299</v>
      </c>
      <c r="Q605" s="45">
        <f t="shared" ca="1" si="2854"/>
        <v>5784.0850132064988</v>
      </c>
      <c r="R605" s="45">
        <f t="shared" ca="1" si="2854"/>
        <v>5868.9597869167383</v>
      </c>
      <c r="S605" s="45">
        <f t="shared" ca="1" si="2854"/>
        <v>5955.0800000000017</v>
      </c>
      <c r="T605" s="45">
        <f t="shared" ca="1" si="2854"/>
        <v>6042.4639278420618</v>
      </c>
      <c r="U605" s="45">
        <f t="shared" ca="1" si="2854"/>
        <v>6131.1301139988891</v>
      </c>
      <c r="V605" s="45">
        <f t="shared" ca="1" si="2854"/>
        <v>6221.097374131743</v>
      </c>
      <c r="W605" s="45">
        <f t="shared" ca="1" si="2854"/>
        <v>6312.3848000000025</v>
      </c>
      <c r="X605" s="45">
        <f t="shared" ca="1" si="2854"/>
        <v>6405.0117635125862</v>
      </c>
      <c r="Y605" s="45">
        <f t="shared" ca="1" si="2854"/>
        <v>6498.9979208388231</v>
      </c>
      <c r="Z605" s="45">
        <f t="shared" ca="1" si="2854"/>
        <v>6594.3632165796489</v>
      </c>
      <c r="AA605" s="45">
        <f t="shared" ca="1" si="2854"/>
        <v>6691.1278880000036</v>
      </c>
      <c r="AB605" s="45">
        <f t="shared" ca="1" si="2854"/>
        <v>6789.3124693233422</v>
      </c>
      <c r="AC605" s="45">
        <f t="shared" ca="1" si="2854"/>
        <v>6888.9377960891534</v>
      </c>
      <c r="AD605" s="45">
        <f t="shared" ca="1" si="2854"/>
        <v>6990.0250095744286</v>
      </c>
      <c r="AE605" s="45">
        <f t="shared" ca="1" si="2854"/>
        <v>7092.5955612800053</v>
      </c>
      <c r="AF605" s="45">
        <f t="shared" ca="1" si="2854"/>
        <v>7196.6712174827435</v>
      </c>
      <c r="AG605" s="45">
        <f t="shared" ca="1" si="2854"/>
        <v>7302.2740638545029</v>
      </c>
      <c r="AH605" s="45">
        <f t="shared" ca="1" si="2854"/>
        <v>7409.4265101488945</v>
      </c>
      <c r="AI605" s="45">
        <f t="shared" ca="1" si="2854"/>
        <v>7518.1512949568059</v>
      </c>
      <c r="AJ605" s="45">
        <f t="shared" ca="1" si="2854"/>
        <v>7628.4714905317087</v>
      </c>
      <c r="AK605" s="45">
        <f t="shared" ca="1" si="2854"/>
        <v>7740.4105076857741</v>
      </c>
      <c r="AL605" s="45">
        <f t="shared" ca="1" si="2854"/>
        <v>7853.9921007578296</v>
      </c>
      <c r="AM605" s="45">
        <f t="shared" ca="1" si="2854"/>
        <v>7969.2403726542152</v>
      </c>
      <c r="AN605" s="45">
        <f t="shared" ca="1" si="2854"/>
        <v>8086.1797799636124</v>
      </c>
      <c r="AO605" s="45">
        <f t="shared" ca="1" si="2854"/>
        <v>8204.835138146922</v>
      </c>
      <c r="AP605" s="45">
        <f t="shared" ca="1" si="2854"/>
        <v>8325.231626803301</v>
      </c>
      <c r="AQ605" s="45">
        <f t="shared" ca="1" si="2854"/>
        <v>8447.3947950134698</v>
      </c>
      <c r="AR605" s="45">
        <f t="shared" ca="1" si="2854"/>
        <v>8571.3505667614299</v>
      </c>
      <c r="AS605" s="45">
        <f t="shared" ca="1" si="2854"/>
        <v>8697.1252464357385</v>
      </c>
      <c r="AT605" s="45">
        <f t="shared" ca="1" si="2854"/>
        <v>8824.745524411499</v>
      </c>
      <c r="AU605" s="45">
        <f t="shared" ca="1" si="2854"/>
        <v>8954.2384827142778</v>
      </c>
      <c r="AV605" s="45">
        <f t="shared" ca="1" si="2854"/>
        <v>9085.6316007671157</v>
      </c>
      <c r="AW605" s="45"/>
      <c r="AX605" s="142">
        <f ca="1">SUM(G605:AW605)</f>
        <v>287515.12812181492</v>
      </c>
    </row>
    <row r="606" spans="1:50" hidden="1" outlineLevel="1" x14ac:dyDescent="0.2">
      <c r="A606" s="101" t="str">
        <f ca="1">Language!A$784</f>
        <v>кредиторская задолженность</v>
      </c>
      <c r="B606" s="188"/>
      <c r="C606" s="124" t="str">
        <f t="shared" ca="1" si="2853"/>
        <v>тыс. руб.</v>
      </c>
      <c r="D606" s="155"/>
      <c r="F606" s="57" t="s">
        <v>754</v>
      </c>
      <c r="G606" s="311">
        <f ca="1">IF(AND($B607=0,G$2&gt;1),F606,(G599+G600)*$B607/Параметры!G$30)</f>
        <v>0</v>
      </c>
      <c r="H606" s="311">
        <f ca="1">IF(AND($B607=0,H$2&gt;1),G606,(H599+H600)*$B607/Параметры!H$30)</f>
        <v>0</v>
      </c>
      <c r="I606" s="311">
        <f ca="1">IF(AND($B607=0,I$2&gt;1),H606,(I599+I600)*$B607/Параметры!I$30)</f>
        <v>0</v>
      </c>
      <c r="J606" s="311">
        <f ca="1">IF(AND($B607=0,J$2&gt;1),I606,(J599+J600)*$B607/Параметры!J$30)</f>
        <v>0</v>
      </c>
      <c r="K606" s="311">
        <f ca="1">IF(AND($B607=0,K$2&gt;1),J606,(K599+K600)*$B607/Параметры!K$30)</f>
        <v>0</v>
      </c>
      <c r="L606" s="311">
        <f ca="1">IF(AND($B607=0,L$2&gt;1),K606,(L599+L600)*$B607/Параметры!L$30)</f>
        <v>0</v>
      </c>
      <c r="M606" s="311">
        <f ca="1">IF(AND($B607=0,M$2&gt;1),L606,(M599+M600)*$B607/Параметры!M$30)</f>
        <v>0</v>
      </c>
      <c r="N606" s="311">
        <f ca="1">IF(AND($B607=0,N$2&gt;1),M606,(N599+N600)*$B607/Параметры!N$30)</f>
        <v>0</v>
      </c>
      <c r="O606" s="311">
        <f ca="1">IF(AND($B607=0,O$2&gt;1),N606,(O599+O600)*$B607/Параметры!O$30)</f>
        <v>0</v>
      </c>
      <c r="P606" s="311">
        <f ca="1">IF(AND($B607=0,P$2&gt;1),O606,(P599+P600)*$B607/Параметры!P$30)</f>
        <v>0</v>
      </c>
      <c r="Q606" s="311">
        <f ca="1">IF(AND($B607=0,Q$2&gt;1),P606,(Q599+Q600)*$B607/Параметры!Q$30)</f>
        <v>0</v>
      </c>
      <c r="R606" s="311">
        <f ca="1">IF(AND($B607=0,R$2&gt;1),Q606,(R599+R600)*$B607/Параметры!R$30)</f>
        <v>0</v>
      </c>
      <c r="S606" s="311">
        <f ca="1">IF(AND($B607=0,S$2&gt;1),R606,(S599+S600)*$B607/Параметры!S$30)</f>
        <v>0</v>
      </c>
      <c r="T606" s="311">
        <f ca="1">IF(AND($B607=0,T$2&gt;1),S606,(T599+T600)*$B607/Параметры!T$30)</f>
        <v>0</v>
      </c>
      <c r="U606" s="311">
        <f ca="1">IF(AND($B607=0,U$2&gt;1),T606,(U599+U600)*$B607/Параметры!U$30)</f>
        <v>0</v>
      </c>
      <c r="V606" s="311">
        <f ca="1">IF(AND($B607=0,V$2&gt;1),U606,(V599+V600)*$B607/Параметры!V$30)</f>
        <v>0</v>
      </c>
      <c r="W606" s="311">
        <f ca="1">IF(AND($B607=0,W$2&gt;1),V606,(W599+W600)*$B607/Параметры!W$30)</f>
        <v>0</v>
      </c>
      <c r="X606" s="311">
        <f ca="1">IF(AND($B607=0,X$2&gt;1),W606,(X599+X600)*$B607/Параметры!X$30)</f>
        <v>0</v>
      </c>
      <c r="Y606" s="311">
        <f ca="1">IF(AND($B607=0,Y$2&gt;1),X606,(Y599+Y600)*$B607/Параметры!Y$30)</f>
        <v>0</v>
      </c>
      <c r="Z606" s="311">
        <f ca="1">IF(AND($B607=0,Z$2&gt;1),Y606,(Z599+Z600)*$B607/Параметры!Z$30)</f>
        <v>0</v>
      </c>
      <c r="AA606" s="311">
        <f ca="1">IF(AND($B607=0,AA$2&gt;1),Z606,(AA599+AA600)*$B607/Параметры!AA$30)</f>
        <v>0</v>
      </c>
      <c r="AB606" s="311">
        <f ca="1">IF(AND($B607=0,AB$2&gt;1),AA606,(AB599+AB600)*$B607/Параметры!AB$30)</f>
        <v>0</v>
      </c>
      <c r="AC606" s="311">
        <f ca="1">IF(AND($B607=0,AC$2&gt;1),AB606,(AC599+AC600)*$B607/Параметры!AC$30)</f>
        <v>0</v>
      </c>
      <c r="AD606" s="311">
        <f ca="1">IF(AND($B607=0,AD$2&gt;1),AC606,(AD599+AD600)*$B607/Параметры!AD$30)</f>
        <v>0</v>
      </c>
      <c r="AE606" s="311">
        <f ca="1">IF(AND($B607=0,AE$2&gt;1),AD606,(AE599+AE600)*$B607/Параметры!AE$30)</f>
        <v>0</v>
      </c>
      <c r="AF606" s="311">
        <f ca="1">IF(AND($B607=0,AF$2&gt;1),AE606,(AF599+AF600)*$B607/Параметры!AF$30)</f>
        <v>0</v>
      </c>
      <c r="AG606" s="311">
        <f ca="1">IF(AND($B607=0,AG$2&gt;1),AF606,(AG599+AG600)*$B607/Параметры!AG$30)</f>
        <v>0</v>
      </c>
      <c r="AH606" s="311">
        <f ca="1">IF(AND($B607=0,AH$2&gt;1),AG606,(AH599+AH600)*$B607/Параметры!AH$30)</f>
        <v>0</v>
      </c>
      <c r="AI606" s="311">
        <f ca="1">IF(AND($B607=0,AI$2&gt;1),AH606,(AI599+AI600)*$B607/Параметры!AI$30)</f>
        <v>0</v>
      </c>
      <c r="AJ606" s="311">
        <f ca="1">IF(AND($B607=0,AJ$2&gt;1),AI606,(AJ599+AJ600)*$B607/Параметры!AJ$30)</f>
        <v>0</v>
      </c>
      <c r="AK606" s="311">
        <f ca="1">IF(AND($B607=0,AK$2&gt;1),AJ606,(AK599+AK600)*$B607/Параметры!AK$30)</f>
        <v>0</v>
      </c>
      <c r="AL606" s="311">
        <f ca="1">IF(AND($B607=0,AL$2&gt;1),AK606,(AL599+AL600)*$B607/Параметры!AL$30)</f>
        <v>0</v>
      </c>
      <c r="AM606" s="311">
        <f ca="1">IF(AND($B607=0,AM$2&gt;1),AL606,(AM599+AM600)*$B607/Параметры!AM$30)</f>
        <v>0</v>
      </c>
      <c r="AN606" s="311">
        <f ca="1">IF(AND($B607=0,AN$2&gt;1),AM606,(AN599+AN600)*$B607/Параметры!AN$30)</f>
        <v>0</v>
      </c>
      <c r="AO606" s="311">
        <f ca="1">IF(AND($B607=0,AO$2&gt;1),AN606,(AO599+AO600)*$B607/Параметры!AO$30)</f>
        <v>0</v>
      </c>
      <c r="AP606" s="311">
        <f ca="1">IF(AND($B607=0,AP$2&gt;1),AO606,(AP599+AP600)*$B607/Параметры!AP$30)</f>
        <v>0</v>
      </c>
      <c r="AQ606" s="311">
        <f ca="1">IF(AND($B607=0,AQ$2&gt;1),AP606,(AQ599+AQ600)*$B607/Параметры!AQ$30)</f>
        <v>0</v>
      </c>
      <c r="AR606" s="311">
        <f ca="1">IF(AND($B607=0,AR$2&gt;1),AQ606,(AR599+AR600)*$B607/Параметры!AR$30)</f>
        <v>0</v>
      </c>
      <c r="AS606" s="311">
        <f ca="1">IF(AND($B607=0,AS$2&gt;1),AR606,(AS599+AS600)*$B607/Параметры!AS$30)</f>
        <v>0</v>
      </c>
      <c r="AT606" s="311">
        <f ca="1">IF(AND($B607=0,AT$2&gt;1),AS606,(AT599+AT600)*$B607/Параметры!AT$30)</f>
        <v>0</v>
      </c>
      <c r="AU606" s="311">
        <f ca="1">IF(AND($B607=0,AU$2&gt;1),AT606,(AU599+AU600)*$B607/Параметры!AU$30)</f>
        <v>0</v>
      </c>
      <c r="AV606" s="311">
        <f ca="1">IF(AND($B607=0,AV$2&gt;1),AU606,(AV599+AV600)*$B607/Параметры!AV$30)</f>
        <v>0</v>
      </c>
      <c r="AW606" s="168"/>
      <c r="AX606" s="87"/>
    </row>
    <row r="607" spans="1:50" hidden="1" outlineLevel="1" x14ac:dyDescent="0.2">
      <c r="A607" s="181" t="str">
        <f ca="1">Language!A$785</f>
        <v>период отсрочки платежа</v>
      </c>
      <c r="B607" s="320">
        <f>$B$648</f>
        <v>0</v>
      </c>
      <c r="C607" s="152" t="str">
        <f ca="1">Language!$A$1446</f>
        <v>дней</v>
      </c>
      <c r="D607" s="100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48"/>
      <c r="AX607" s="150"/>
    </row>
    <row r="608" spans="1:50" hidden="1" outlineLevel="1" x14ac:dyDescent="0.2">
      <c r="A608" s="101" t="str">
        <f ca="1">Language!A$786</f>
        <v>авансы уплаченные</v>
      </c>
      <c r="B608" s="188"/>
      <c r="C608" s="124" t="str">
        <f t="shared" ca="1" si="2853"/>
        <v>тыс. руб.</v>
      </c>
      <c r="D608" s="155"/>
      <c r="F608" s="57" t="s">
        <v>754</v>
      </c>
      <c r="G608" s="311">
        <f ca="1">IF(AND($B609=0,G$2&gt;1),F608,(OFFSET(G599,0,1)+OFFSET(G600,0,1))*$B609/Параметры!G$30)</f>
        <v>0</v>
      </c>
      <c r="H608" s="311">
        <f ca="1">IF(AND($B609=0,H$2&gt;1),G608,(OFFSET(H599,0,1)+OFFSET(H600,0,1))*$B609/Параметры!H$30)</f>
        <v>0</v>
      </c>
      <c r="I608" s="311">
        <f ca="1">IF(AND($B609=0,I$2&gt;1),H608,(OFFSET(I599,0,1)+OFFSET(I600,0,1))*$B609/Параметры!I$30)</f>
        <v>0</v>
      </c>
      <c r="J608" s="311">
        <f ca="1">IF(AND($B609=0,J$2&gt;1),I608,(OFFSET(J599,0,1)+OFFSET(J600,0,1))*$B609/Параметры!J$30)</f>
        <v>0</v>
      </c>
      <c r="K608" s="311">
        <f ca="1">IF(AND($B609=0,K$2&gt;1),J608,(OFFSET(K599,0,1)+OFFSET(K600,0,1))*$B609/Параметры!K$30)</f>
        <v>0</v>
      </c>
      <c r="L608" s="311">
        <f ca="1">IF(AND($B609=0,L$2&gt;1),K608,(OFFSET(L599,0,1)+OFFSET(L600,0,1))*$B609/Параметры!L$30)</f>
        <v>0</v>
      </c>
      <c r="M608" s="311">
        <f ca="1">IF(AND($B609=0,M$2&gt;1),L608,(OFFSET(M599,0,1)+OFFSET(M600,0,1))*$B609/Параметры!M$30)</f>
        <v>0</v>
      </c>
      <c r="N608" s="311">
        <f ca="1">IF(AND($B609=0,N$2&gt;1),M608,(OFFSET(N599,0,1)+OFFSET(N600,0,1))*$B609/Параметры!N$30)</f>
        <v>0</v>
      </c>
      <c r="O608" s="311">
        <f ca="1">IF(AND($B609=0,O$2&gt;1),N608,(OFFSET(O599,0,1)+OFFSET(O600,0,1))*$B609/Параметры!O$30)</f>
        <v>0</v>
      </c>
      <c r="P608" s="311">
        <f ca="1">IF(AND($B609=0,P$2&gt;1),O608,(OFFSET(P599,0,1)+OFFSET(P600,0,1))*$B609/Параметры!P$30)</f>
        <v>0</v>
      </c>
      <c r="Q608" s="311">
        <f ca="1">IF(AND($B609=0,Q$2&gt;1),P608,(OFFSET(Q599,0,1)+OFFSET(Q600,0,1))*$B609/Параметры!Q$30)</f>
        <v>0</v>
      </c>
      <c r="R608" s="311">
        <f ca="1">IF(AND($B609=0,R$2&gt;1),Q608,(OFFSET(R599,0,1)+OFFSET(R600,0,1))*$B609/Параметры!R$30)</f>
        <v>0</v>
      </c>
      <c r="S608" s="311">
        <f ca="1">IF(AND($B609=0,S$2&gt;1),R608,(OFFSET(S599,0,1)+OFFSET(S600,0,1))*$B609/Параметры!S$30)</f>
        <v>0</v>
      </c>
      <c r="T608" s="311">
        <f ca="1">IF(AND($B609=0,T$2&gt;1),S608,(OFFSET(T599,0,1)+OFFSET(T600,0,1))*$B609/Параметры!T$30)</f>
        <v>0</v>
      </c>
      <c r="U608" s="311">
        <f ca="1">IF(AND($B609=0,U$2&gt;1),T608,(OFFSET(U599,0,1)+OFFSET(U600,0,1))*$B609/Параметры!U$30)</f>
        <v>0</v>
      </c>
      <c r="V608" s="311">
        <f ca="1">IF(AND($B609=0,V$2&gt;1),U608,(OFFSET(V599,0,1)+OFFSET(V600,0,1))*$B609/Параметры!V$30)</f>
        <v>0</v>
      </c>
      <c r="W608" s="311">
        <f ca="1">IF(AND($B609=0,W$2&gt;1),V608,(OFFSET(W599,0,1)+OFFSET(W600,0,1))*$B609/Параметры!W$30)</f>
        <v>0</v>
      </c>
      <c r="X608" s="311">
        <f ca="1">IF(AND($B609=0,X$2&gt;1),W608,(OFFSET(X599,0,1)+OFFSET(X600,0,1))*$B609/Параметры!X$30)</f>
        <v>0</v>
      </c>
      <c r="Y608" s="311">
        <f ca="1">IF(AND($B609=0,Y$2&gt;1),X608,(OFFSET(Y599,0,1)+OFFSET(Y600,0,1))*$B609/Параметры!Y$30)</f>
        <v>0</v>
      </c>
      <c r="Z608" s="311">
        <f ca="1">IF(AND($B609=0,Z$2&gt;1),Y608,(OFFSET(Z599,0,1)+OFFSET(Z600,0,1))*$B609/Параметры!Z$30)</f>
        <v>0</v>
      </c>
      <c r="AA608" s="311">
        <f ca="1">IF(AND($B609=0,AA$2&gt;1),Z608,(OFFSET(AA599,0,1)+OFFSET(AA600,0,1))*$B609/Параметры!AA$30)</f>
        <v>0</v>
      </c>
      <c r="AB608" s="311">
        <f ca="1">IF(AND($B609=0,AB$2&gt;1),AA608,(OFFSET(AB599,0,1)+OFFSET(AB600,0,1))*$B609/Параметры!AB$30)</f>
        <v>0</v>
      </c>
      <c r="AC608" s="311">
        <f ca="1">IF(AND($B609=0,AC$2&gt;1),AB608,(OFFSET(AC599,0,1)+OFFSET(AC600,0,1))*$B609/Параметры!AC$30)</f>
        <v>0</v>
      </c>
      <c r="AD608" s="311">
        <f ca="1">IF(AND($B609=0,AD$2&gt;1),AC608,(OFFSET(AD599,0,1)+OFFSET(AD600,0,1))*$B609/Параметры!AD$30)</f>
        <v>0</v>
      </c>
      <c r="AE608" s="311">
        <f ca="1">IF(AND($B609=0,AE$2&gt;1),AD608,(OFFSET(AE599,0,1)+OFFSET(AE600,0,1))*$B609/Параметры!AE$30)</f>
        <v>0</v>
      </c>
      <c r="AF608" s="311">
        <f ca="1">IF(AND($B609=0,AF$2&gt;1),AE608,(OFFSET(AF599,0,1)+OFFSET(AF600,0,1))*$B609/Параметры!AF$30)</f>
        <v>0</v>
      </c>
      <c r="AG608" s="311">
        <f ca="1">IF(AND($B609=0,AG$2&gt;1),AF608,(OFFSET(AG599,0,1)+OFFSET(AG600,0,1))*$B609/Параметры!AG$30)</f>
        <v>0</v>
      </c>
      <c r="AH608" s="311">
        <f ca="1">IF(AND($B609=0,AH$2&gt;1),AG608,(OFFSET(AH599,0,1)+OFFSET(AH600,0,1))*$B609/Параметры!AH$30)</f>
        <v>0</v>
      </c>
      <c r="AI608" s="311">
        <f ca="1">IF(AND($B609=0,AI$2&gt;1),AH608,(OFFSET(AI599,0,1)+OFFSET(AI600,0,1))*$B609/Параметры!AI$30)</f>
        <v>0</v>
      </c>
      <c r="AJ608" s="311">
        <f ca="1">IF(AND($B609=0,AJ$2&gt;1),AI608,(OFFSET(AJ599,0,1)+OFFSET(AJ600,0,1))*$B609/Параметры!AJ$30)</f>
        <v>0</v>
      </c>
      <c r="AK608" s="311">
        <f ca="1">IF(AND($B609=0,AK$2&gt;1),AJ608,(OFFSET(AK599,0,1)+OFFSET(AK600,0,1))*$B609/Параметры!AK$30)</f>
        <v>0</v>
      </c>
      <c r="AL608" s="311">
        <f ca="1">IF(AND($B609=0,AL$2&gt;1),AK608,(OFFSET(AL599,0,1)+OFFSET(AL600,0,1))*$B609/Параметры!AL$30)</f>
        <v>0</v>
      </c>
      <c r="AM608" s="311">
        <f ca="1">IF(AND($B609=0,AM$2&gt;1),AL608,(OFFSET(AM599,0,1)+OFFSET(AM600,0,1))*$B609/Параметры!AM$30)</f>
        <v>0</v>
      </c>
      <c r="AN608" s="311">
        <f ca="1">IF(AND($B609=0,AN$2&gt;1),AM608,(OFFSET(AN599,0,1)+OFFSET(AN600,0,1))*$B609/Параметры!AN$30)</f>
        <v>0</v>
      </c>
      <c r="AO608" s="311">
        <f ca="1">IF(AND($B609=0,AO$2&gt;1),AN608,(OFFSET(AO599,0,1)+OFFSET(AO600,0,1))*$B609/Параметры!AO$30)</f>
        <v>0</v>
      </c>
      <c r="AP608" s="311">
        <f ca="1">IF(AND($B609=0,AP$2&gt;1),AO608,(OFFSET(AP599,0,1)+OFFSET(AP600,0,1))*$B609/Параметры!AP$30)</f>
        <v>0</v>
      </c>
      <c r="AQ608" s="311">
        <f ca="1">IF(AND($B609=0,AQ$2&gt;1),AP608,(OFFSET(AQ599,0,1)+OFFSET(AQ600,0,1))*$B609/Параметры!AQ$30)</f>
        <v>0</v>
      </c>
      <c r="AR608" s="311">
        <f ca="1">IF(AND($B609=0,AR$2&gt;1),AQ608,(OFFSET(AR599,0,1)+OFFSET(AR600,0,1))*$B609/Параметры!AR$30)</f>
        <v>0</v>
      </c>
      <c r="AS608" s="311">
        <f ca="1">IF(AND($B609=0,AS$2&gt;1),AR608,(OFFSET(AS599,0,1)+OFFSET(AS600,0,1))*$B609/Параметры!AS$30)</f>
        <v>0</v>
      </c>
      <c r="AT608" s="311">
        <f ca="1">IF(AND($B609=0,AT$2&gt;1),AS608,(OFFSET(AT599,0,1)+OFFSET(AT600,0,1))*$B609/Параметры!AT$30)</f>
        <v>0</v>
      </c>
      <c r="AU608" s="311">
        <f ca="1">IF(AND($B609=0,AU$2&gt;1),AT608,(OFFSET(AU599,0,1)+OFFSET(AU600,0,1))*$B609/Параметры!AU$30)</f>
        <v>0</v>
      </c>
      <c r="AV608" s="311">
        <f ca="1">IF(AND($B609=0,AV$2&gt;1),AU608,(OFFSET(AV599,0,1)+OFFSET(AV600,0,1))*$B609/Параметры!AV$30)</f>
        <v>0</v>
      </c>
      <c r="AW608" s="168"/>
      <c r="AX608" s="182"/>
    </row>
    <row r="609" spans="1:50" hidden="1" outlineLevel="1" x14ac:dyDescent="0.2">
      <c r="A609" s="181" t="str">
        <f ca="1">Language!A$787</f>
        <v>период предоплаты</v>
      </c>
      <c r="B609" s="320">
        <f>$B$654</f>
        <v>0</v>
      </c>
      <c r="C609" s="152" t="str">
        <f ca="1">Language!$A$1446</f>
        <v>дней</v>
      </c>
      <c r="D609" s="100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48"/>
      <c r="AX609" s="150"/>
    </row>
    <row r="610" spans="1:50" hidden="1" outlineLevel="1" x14ac:dyDescent="0.2">
      <c r="A610" s="172" t="str">
        <f ca="1">Language!A$788</f>
        <v>оплата постоянных издержек, с НДС</v>
      </c>
      <c r="C610" s="124" t="str">
        <f t="shared" ca="1" si="2853"/>
        <v>тыс. руб.</v>
      </c>
      <c r="D610" s="66"/>
      <c r="F610" s="57" t="s">
        <v>753</v>
      </c>
      <c r="G610" s="45">
        <f ca="1">G599+G600-IF(G$2=1,G606,G606-F606)+IF(G$2=1,G608,G608-F608)</f>
        <v>5900</v>
      </c>
      <c r="H610" s="45">
        <f t="shared" ref="H610:AV610" ca="1" si="2855">H599+H600-IF(H$2=1,H606,H606-G606)+IF(H$2=1,H608,H608-G608)</f>
        <v>5986.5756923950903</v>
      </c>
      <c r="I610" s="45">
        <f t="shared" ca="1" si="2855"/>
        <v>6074.4217831823307</v>
      </c>
      <c r="J610" s="45">
        <f t="shared" ca="1" si="2855"/>
        <v>6163.5569139923009</v>
      </c>
      <c r="K610" s="45">
        <f t="shared" ca="1" si="2855"/>
        <v>6254.0000000000009</v>
      </c>
      <c r="L610" s="45">
        <f t="shared" ca="1" si="2855"/>
        <v>6345.7702339387961</v>
      </c>
      <c r="M610" s="45">
        <f t="shared" ca="1" si="2855"/>
        <v>6438.8870901732716</v>
      </c>
      <c r="N610" s="45">
        <f t="shared" ca="1" si="2855"/>
        <v>6533.3703288318411</v>
      </c>
      <c r="O610" s="45">
        <f t="shared" ca="1" si="2855"/>
        <v>6629.2400000000016</v>
      </c>
      <c r="P610" s="45">
        <f t="shared" ca="1" si="2855"/>
        <v>6726.5164479751256</v>
      </c>
      <c r="Q610" s="45">
        <f t="shared" ca="1" si="2855"/>
        <v>6825.2203155836687</v>
      </c>
      <c r="R610" s="45">
        <f t="shared" ca="1" si="2855"/>
        <v>6925.3725485617506</v>
      </c>
      <c r="S610" s="45">
        <f t="shared" ca="1" si="2855"/>
        <v>7026.9944000000023</v>
      </c>
      <c r="T610" s="45">
        <f t="shared" ca="1" si="2855"/>
        <v>7130.1074348536331</v>
      </c>
      <c r="U610" s="45">
        <f t="shared" ca="1" si="2855"/>
        <v>7234.7335345186893</v>
      </c>
      <c r="V610" s="45">
        <f t="shared" ca="1" si="2855"/>
        <v>7340.8949014754562</v>
      </c>
      <c r="W610" s="45">
        <f t="shared" ca="1" si="2855"/>
        <v>7448.6140640000031</v>
      </c>
      <c r="X610" s="45">
        <f t="shared" ca="1" si="2855"/>
        <v>7557.9138809448514</v>
      </c>
      <c r="Y610" s="45">
        <f t="shared" ca="1" si="2855"/>
        <v>7668.8175465898112</v>
      </c>
      <c r="Z610" s="45">
        <f t="shared" ca="1" si="2855"/>
        <v>7781.3485955639853</v>
      </c>
      <c r="AA610" s="45">
        <f t="shared" ca="1" si="2855"/>
        <v>7895.5309078400041</v>
      </c>
      <c r="AB610" s="45">
        <f t="shared" ca="1" si="2855"/>
        <v>8011.3887138015434</v>
      </c>
      <c r="AC610" s="45">
        <f t="shared" ca="1" si="2855"/>
        <v>8128.9465993852009</v>
      </c>
      <c r="AD610" s="45">
        <f t="shared" ca="1" si="2855"/>
        <v>8248.2295112978263</v>
      </c>
      <c r="AE610" s="45">
        <f t="shared" ca="1" si="2855"/>
        <v>8369.2627623104054</v>
      </c>
      <c r="AF610" s="45">
        <f t="shared" ca="1" si="2855"/>
        <v>8492.0720366296373</v>
      </c>
      <c r="AG610" s="45">
        <f t="shared" ca="1" si="2855"/>
        <v>8616.6833953483128</v>
      </c>
      <c r="AH610" s="45">
        <f t="shared" ca="1" si="2855"/>
        <v>8743.1232819756951</v>
      </c>
      <c r="AI610" s="45">
        <f t="shared" ca="1" si="2855"/>
        <v>8871.418528049031</v>
      </c>
      <c r="AJ610" s="45">
        <f t="shared" ca="1" si="2855"/>
        <v>9001.5963588274171</v>
      </c>
      <c r="AK610" s="45">
        <f t="shared" ca="1" si="2855"/>
        <v>9133.6843990692141</v>
      </c>
      <c r="AL610" s="45">
        <f t="shared" ca="1" si="2855"/>
        <v>9267.7106788942383</v>
      </c>
      <c r="AM610" s="45">
        <f t="shared" ca="1" si="2855"/>
        <v>9403.7036397319735</v>
      </c>
      <c r="AN610" s="45">
        <f t="shared" ca="1" si="2855"/>
        <v>9541.6921403570632</v>
      </c>
      <c r="AO610" s="45">
        <f t="shared" ca="1" si="2855"/>
        <v>9681.705463013368</v>
      </c>
      <c r="AP610" s="45">
        <f t="shared" ca="1" si="2855"/>
        <v>9823.773319627895</v>
      </c>
      <c r="AQ610" s="45">
        <f t="shared" ca="1" si="2855"/>
        <v>9967.9258581158938</v>
      </c>
      <c r="AR610" s="45">
        <f t="shared" ca="1" si="2855"/>
        <v>10114.193668778487</v>
      </c>
      <c r="AS610" s="45">
        <f t="shared" ca="1" si="2855"/>
        <v>10262.607790794171</v>
      </c>
      <c r="AT610" s="45">
        <f t="shared" ca="1" si="2855"/>
        <v>10413.199718805568</v>
      </c>
      <c r="AU610" s="45">
        <f t="shared" ca="1" si="2855"/>
        <v>10566.001409602848</v>
      </c>
      <c r="AV610" s="45">
        <f t="shared" ca="1" si="2855"/>
        <v>10721.045288905196</v>
      </c>
      <c r="AW610" s="148"/>
      <c r="AX610" s="142">
        <f ca="1">SUM(G610:AW610)</f>
        <v>339267.85118374159</v>
      </c>
    </row>
    <row r="611" spans="1:50" x14ac:dyDescent="0.2">
      <c r="A611" s="98" t="str">
        <f ca="1">Language!A$789</f>
        <v>Всего постоянных издержек, с НДС</v>
      </c>
      <c r="C611" s="124" t="str">
        <f ca="1">CurName1</f>
        <v>тыс. руб.</v>
      </c>
      <c r="D611" s="66">
        <v>1</v>
      </c>
      <c r="F611" s="57" t="s">
        <v>753</v>
      </c>
      <c r="G611" s="143">
        <f t="shared" ref="G611:AV611" ca="1" si="2856">G572+G598+G585</f>
        <v>31388</v>
      </c>
      <c r="H611" s="143">
        <f t="shared" ca="1" si="2856"/>
        <v>31848.582683541877</v>
      </c>
      <c r="I611" s="143">
        <f t="shared" ca="1" si="2856"/>
        <v>32315.923886529999</v>
      </c>
      <c r="J611" s="143">
        <f t="shared" ca="1" si="2856"/>
        <v>32790.122782439037</v>
      </c>
      <c r="K611" s="143">
        <f t="shared" ca="1" si="2856"/>
        <v>33271.279999999999</v>
      </c>
      <c r="L611" s="143">
        <f t="shared" ca="1" si="2856"/>
        <v>33759.497644554394</v>
      </c>
      <c r="M611" s="143">
        <f t="shared" ca="1" si="2856"/>
        <v>34254.879319721796</v>
      </c>
      <c r="N611" s="143">
        <f t="shared" ca="1" si="2856"/>
        <v>34757.530149385384</v>
      </c>
      <c r="O611" s="143">
        <f t="shared" ca="1" si="2856"/>
        <v>35267.556799999998</v>
      </c>
      <c r="P611" s="143">
        <f t="shared" ca="1" si="2856"/>
        <v>35785.067503227663</v>
      </c>
      <c r="Q611" s="143">
        <f t="shared" ca="1" si="2856"/>
        <v>36310.172078905103</v>
      </c>
      <c r="R611" s="143">
        <f t="shared" ca="1" si="2856"/>
        <v>36842.981958348508</v>
      </c>
      <c r="S611" s="143">
        <f t="shared" ca="1" si="2856"/>
        <v>37383.610208000006</v>
      </c>
      <c r="T611" s="143">
        <f t="shared" ca="1" si="2856"/>
        <v>37932.171553421314</v>
      </c>
      <c r="U611" s="143">
        <f t="shared" ca="1" si="2856"/>
        <v>38488.782403639416</v>
      </c>
      <c r="V611" s="143">
        <f t="shared" ca="1" si="2856"/>
        <v>39053.56087584942</v>
      </c>
      <c r="W611" s="143">
        <f t="shared" ca="1" si="2856"/>
        <v>39626.626820480014</v>
      </c>
      <c r="X611" s="143">
        <f t="shared" ca="1" si="2856"/>
        <v>40208.101846626603</v>
      </c>
      <c r="Y611" s="143">
        <f t="shared" ca="1" si="2856"/>
        <v>40798.109347857782</v>
      </c>
      <c r="Z611" s="143">
        <f t="shared" ca="1" si="2856"/>
        <v>41396.77452840039</v>
      </c>
      <c r="AA611" s="143">
        <f t="shared" ca="1" si="2856"/>
        <v>42004.224429708811</v>
      </c>
      <c r="AB611" s="143">
        <f t="shared" ca="1" si="2856"/>
        <v>42620.587957424199</v>
      </c>
      <c r="AC611" s="143">
        <f t="shared" ca="1" si="2856"/>
        <v>43245.995908729259</v>
      </c>
      <c r="AD611" s="143">
        <f t="shared" ca="1" si="2856"/>
        <v>43880.581000104416</v>
      </c>
      <c r="AE611" s="143">
        <f t="shared" ca="1" si="2856"/>
        <v>44524.477895491342</v>
      </c>
      <c r="AF611" s="143">
        <f t="shared" ca="1" si="2856"/>
        <v>45177.823234869655</v>
      </c>
      <c r="AG611" s="143">
        <f t="shared" ca="1" si="2856"/>
        <v>45840.75566325301</v>
      </c>
      <c r="AH611" s="143">
        <f t="shared" ca="1" si="2856"/>
        <v>46513.415860110676</v>
      </c>
      <c r="AI611" s="143">
        <f t="shared" ca="1" si="2856"/>
        <v>47195.946569220825</v>
      </c>
      <c r="AJ611" s="143">
        <f t="shared" ca="1" si="2856"/>
        <v>47888.492628961838</v>
      </c>
      <c r="AK611" s="143">
        <f t="shared" ca="1" si="2856"/>
        <v>48591.201003048205</v>
      </c>
      <c r="AL611" s="143">
        <f t="shared" ca="1" si="2856"/>
        <v>49304.220811717329</v>
      </c>
      <c r="AM611" s="143">
        <f t="shared" ca="1" si="2856"/>
        <v>50027.703363374079</v>
      </c>
      <c r="AN611" s="143">
        <f t="shared" ca="1" si="2856"/>
        <v>50761.802186699555</v>
      </c>
      <c r="AO611" s="143">
        <f t="shared" ca="1" si="2856"/>
        <v>51506.673063231094</v>
      </c>
      <c r="AP611" s="143">
        <f t="shared" ca="1" si="2856"/>
        <v>52262.474060420376</v>
      </c>
      <c r="AQ611" s="143">
        <f t="shared" ca="1" si="2856"/>
        <v>53029.365565176522</v>
      </c>
      <c r="AR611" s="143">
        <f t="shared" ca="1" si="2856"/>
        <v>53807.51031790152</v>
      </c>
      <c r="AS611" s="143">
        <f t="shared" ca="1" si="2856"/>
        <v>54597.073447024959</v>
      </c>
      <c r="AT611" s="143">
        <f t="shared" ca="1" si="2856"/>
        <v>55398.222504045596</v>
      </c>
      <c r="AU611" s="143">
        <f t="shared" ca="1" si="2856"/>
        <v>56211.127499087117</v>
      </c>
      <c r="AV611" s="143">
        <f t="shared" ca="1" si="2856"/>
        <v>57035.960936975614</v>
      </c>
      <c r="AW611" s="212"/>
      <c r="AX611" s="213">
        <f ca="1">SUM(G611:AW611)</f>
        <v>1804904.9682975046</v>
      </c>
    </row>
    <row r="612" spans="1:50" x14ac:dyDescent="0.2">
      <c r="A612" s="51"/>
      <c r="B612" s="51"/>
      <c r="C612" s="51"/>
      <c r="D612" s="68"/>
      <c r="E612" s="68" t="s">
        <v>782</v>
      </c>
      <c r="F612" s="68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112"/>
      <c r="AX612" s="149"/>
    </row>
    <row r="615" spans="1:50" s="64" customFormat="1" ht="25.5" customHeight="1" thickBot="1" x14ac:dyDescent="0.25">
      <c r="A615" s="118" t="str">
        <f ca="1">Language!A$790</f>
        <v>ОБОРОТНЫЙ КАПИТАЛ</v>
      </c>
      <c r="B615" s="119"/>
      <c r="C615" s="120"/>
      <c r="D615" s="121"/>
      <c r="E615" s="121" t="s">
        <v>989</v>
      </c>
      <c r="F615" s="121"/>
      <c r="G615" s="69" t="str">
        <f ca="1">Параметры!G$34</f>
        <v>4 кв. 2022</v>
      </c>
      <c r="H615" s="140" t="str">
        <f ca="1">Параметры!H$34</f>
        <v>1 кв. 2023</v>
      </c>
      <c r="I615" s="140" t="str">
        <f ca="1">Параметры!I$34</f>
        <v>2 кв. 2023</v>
      </c>
      <c r="J615" s="140" t="str">
        <f ca="1">Параметры!J$34</f>
        <v>3 кв. 2023</v>
      </c>
      <c r="K615" s="140" t="str">
        <f ca="1">Параметры!K$34</f>
        <v>4 кв. 2023</v>
      </c>
      <c r="L615" s="140" t="str">
        <f ca="1">Параметры!L$34</f>
        <v>1 кв. 2024</v>
      </c>
      <c r="M615" s="140" t="str">
        <f ca="1">Параметры!M$34</f>
        <v>2 кв. 2024</v>
      </c>
      <c r="N615" s="140" t="str">
        <f ca="1">Параметры!N$34</f>
        <v>3 кв. 2024</v>
      </c>
      <c r="O615" s="140" t="str">
        <f ca="1">Параметры!O$34</f>
        <v>4 кв. 2024</v>
      </c>
      <c r="P615" s="140" t="str">
        <f ca="1">Параметры!P$34</f>
        <v>1 кв. 2025</v>
      </c>
      <c r="Q615" s="140" t="str">
        <f ca="1">Параметры!Q$34</f>
        <v>2 кв. 2025</v>
      </c>
      <c r="R615" s="140" t="str">
        <f ca="1">Параметры!R$34</f>
        <v>3 кв. 2025</v>
      </c>
      <c r="S615" s="140" t="str">
        <f ca="1">Параметры!S$34</f>
        <v>4 кв. 2025</v>
      </c>
      <c r="T615" s="140" t="str">
        <f ca="1">Параметры!T$34</f>
        <v>1 кв. 2026</v>
      </c>
      <c r="U615" s="140" t="str">
        <f ca="1">Параметры!U$34</f>
        <v>2 кв. 2026</v>
      </c>
      <c r="V615" s="140" t="str">
        <f ca="1">Параметры!V$34</f>
        <v>3 кв. 2026</v>
      </c>
      <c r="W615" s="140" t="str">
        <f ca="1">Параметры!W$34</f>
        <v>4 кв. 2026</v>
      </c>
      <c r="X615" s="140" t="str">
        <f ca="1">Параметры!X$34</f>
        <v>1 кв. 2027</v>
      </c>
      <c r="Y615" s="140" t="str">
        <f ca="1">Параметры!Y$34</f>
        <v>2 кв. 2027</v>
      </c>
      <c r="Z615" s="140" t="str">
        <f ca="1">Параметры!Z$34</f>
        <v>3 кв. 2027</v>
      </c>
      <c r="AA615" s="140" t="str">
        <f ca="1">Параметры!AA$34</f>
        <v>4 кв. 2027</v>
      </c>
      <c r="AB615" s="140" t="str">
        <f ca="1">Параметры!AB$34</f>
        <v>1 кв. 2028</v>
      </c>
      <c r="AC615" s="140" t="str">
        <f ca="1">Параметры!AC$34</f>
        <v>2 кв. 2028</v>
      </c>
      <c r="AD615" s="140" t="str">
        <f ca="1">Параметры!AD$34</f>
        <v>3 кв. 2028</v>
      </c>
      <c r="AE615" s="140" t="str">
        <f ca="1">Параметры!AE$34</f>
        <v>4 кв. 2028</v>
      </c>
      <c r="AF615" s="140" t="str">
        <f ca="1">Параметры!AF$34</f>
        <v>1 кв. 2029</v>
      </c>
      <c r="AG615" s="140" t="str">
        <f ca="1">Параметры!AG$34</f>
        <v>2 кв. 2029</v>
      </c>
      <c r="AH615" s="140" t="str">
        <f ca="1">Параметры!AH$34</f>
        <v>3 кв. 2029</v>
      </c>
      <c r="AI615" s="140" t="str">
        <f ca="1">Параметры!AI$34</f>
        <v>4 кв. 2029</v>
      </c>
      <c r="AJ615" s="140" t="str">
        <f ca="1">Параметры!AJ$34</f>
        <v>1 кв. 2030</v>
      </c>
      <c r="AK615" s="140" t="str">
        <f ca="1">Параметры!AK$34</f>
        <v>2 кв. 2030</v>
      </c>
      <c r="AL615" s="140" t="str">
        <f ca="1">Параметры!AL$34</f>
        <v>3 кв. 2030</v>
      </c>
      <c r="AM615" s="140" t="str">
        <f ca="1">Параметры!AM$34</f>
        <v>4 кв. 2030</v>
      </c>
      <c r="AN615" s="140" t="str">
        <f ca="1">Параметры!AN$34</f>
        <v>1 кв. 2031</v>
      </c>
      <c r="AO615" s="140" t="str">
        <f ca="1">Параметры!AO$34</f>
        <v>2 кв. 2031</v>
      </c>
      <c r="AP615" s="140" t="str">
        <f ca="1">Параметры!AP$34</f>
        <v>3 кв. 2031</v>
      </c>
      <c r="AQ615" s="140" t="str">
        <f ca="1">Параметры!AQ$34</f>
        <v>4 кв. 2031</v>
      </c>
      <c r="AR615" s="140" t="str">
        <f ca="1">Параметры!AR$34</f>
        <v>1 кв. 2032</v>
      </c>
      <c r="AS615" s="140" t="str">
        <f ca="1">Параметры!AS$34</f>
        <v>2 кв. 2032</v>
      </c>
      <c r="AT615" s="140" t="str">
        <f ca="1">Параметры!AT$34</f>
        <v>3 кв. 2032</v>
      </c>
      <c r="AU615" s="140" t="str">
        <f ca="1">Параметры!AU$34</f>
        <v>4 кв. 2032</v>
      </c>
      <c r="AV615" s="140" t="str">
        <f ca="1">Параметры!AV$34</f>
        <v>1 кв. 2033</v>
      </c>
      <c r="AW615" s="140"/>
      <c r="AX615" s="141" t="str">
        <f ca="1">Language!$A$1445</f>
        <v>ИТОГО</v>
      </c>
    </row>
    <row r="616" spans="1:50" ht="13.5" thickTop="1" x14ac:dyDescent="0.2">
      <c r="A616" s="65"/>
      <c r="AW616" s="94"/>
    </row>
    <row r="617" spans="1:50" x14ac:dyDescent="0.2">
      <c r="A617" s="65" t="str">
        <f ca="1">Language!A$791</f>
        <v>Дебиторская задолженность</v>
      </c>
      <c r="B617" s="82"/>
      <c r="C617" s="146" t="str">
        <f ca="1">CurName1</f>
        <v>тыс. руб.</v>
      </c>
      <c r="F617" s="57" t="s">
        <v>754</v>
      </c>
      <c r="G617" s="138">
        <f ca="1">G619+G620</f>
        <v>101086.9005988742</v>
      </c>
      <c r="H617" s="138">
        <f t="shared" ref="H617:K617" ca="1" si="2857">H619+H620</f>
        <v>57934.054710756689</v>
      </c>
      <c r="I617" s="138">
        <f t="shared" ca="1" si="2857"/>
        <v>76441.022634688386</v>
      </c>
      <c r="J617" s="138">
        <f t="shared" ca="1" si="2857"/>
        <v>85815.277352432953</v>
      </c>
      <c r="K617" s="138">
        <f t="shared" ca="1" si="2857"/>
        <v>160127.73674455672</v>
      </c>
      <c r="L617" s="138">
        <f t="shared" ref="L617:M617" ca="1" si="2858">L619+L620</f>
        <v>100490.15243641476</v>
      </c>
      <c r="M617" s="138">
        <f t="shared" ca="1" si="2858"/>
        <v>109411.84443841374</v>
      </c>
      <c r="N617" s="138">
        <f t="shared" ref="N617:O617" ca="1" si="2859">N619+N620</f>
        <v>117265.71213077936</v>
      </c>
      <c r="O617" s="138">
        <f t="shared" ca="1" si="2859"/>
        <v>201290.75377557796</v>
      </c>
      <c r="P617" s="138">
        <f t="shared" ref="P617:Q617" ca="1" si="2860">P619+P620</f>
        <v>133598.6318713073</v>
      </c>
      <c r="Q617" s="138">
        <f t="shared" ca="1" si="2860"/>
        <v>141607.59855835559</v>
      </c>
      <c r="R617" s="138">
        <f t="shared" ref="R617:S617" ca="1" si="2861">R619+R620</f>
        <v>143685.52667591415</v>
      </c>
      <c r="S617" s="138">
        <f t="shared" ca="1" si="2861"/>
        <v>226316.04019046735</v>
      </c>
      <c r="T617" s="138">
        <f t="shared" ref="T617:U617" ca="1" si="2862">T619+T620</f>
        <v>147933.30392681336</v>
      </c>
      <c r="U617" s="138">
        <f t="shared" ca="1" si="2862"/>
        <v>157082.14823043774</v>
      </c>
      <c r="V617" s="138">
        <f t="shared" ref="V617:W617" ca="1" si="2863">V619+V620</f>
        <v>159387.14750941371</v>
      </c>
      <c r="W617" s="138">
        <f t="shared" ca="1" si="2863"/>
        <v>247079.38984464318</v>
      </c>
      <c r="X617" s="138">
        <f t="shared" ref="X617:Y617" ca="1" si="2864">X619+X620</f>
        <v>164099.1119983861</v>
      </c>
      <c r="Y617" s="138">
        <f t="shared" ca="1" si="2864"/>
        <v>166850.09318633619</v>
      </c>
      <c r="Z617" s="138">
        <f t="shared" ref="Z617:AA617" ca="1" si="2865">Z619+Z620</f>
        <v>169298.42578697891</v>
      </c>
      <c r="AA617" s="138">
        <f t="shared" ca="1" si="2865"/>
        <v>262257.30988607311</v>
      </c>
      <c r="AB617" s="138">
        <f t="shared" ref="AB617:AC617" ca="1" si="2866">AB619+AB620</f>
        <v>174303.39753540713</v>
      </c>
      <c r="AC617" s="138">
        <f t="shared" ca="1" si="2866"/>
        <v>180257.64407619697</v>
      </c>
      <c r="AD617" s="138">
        <f t="shared" ref="AD617:AE617" ca="1" si="2867">AD619+AD620</f>
        <v>182902.71701609602</v>
      </c>
      <c r="AE617" s="138">
        <f t="shared" ca="1" si="2867"/>
        <v>281489.70589446987</v>
      </c>
      <c r="AF617" s="138">
        <f t="shared" ref="AF617:AG617" ca="1" si="2868">AF619+AF620</f>
        <v>188309.8726179334</v>
      </c>
      <c r="AG617" s="138">
        <f t="shared" ca="1" si="2868"/>
        <v>191977.87249357783</v>
      </c>
      <c r="AH617" s="138">
        <f t="shared" ref="AH617:AI617" ca="1" si="2869">AH619+AH620</f>
        <v>194794.9262623351</v>
      </c>
      <c r="AI617" s="138">
        <f t="shared" ca="1" si="2869"/>
        <v>299310.60574249673</v>
      </c>
      <c r="AJ617" s="138">
        <f t="shared" ref="AJ617:AK617" ca="1" si="2870">AJ619+AJ620</f>
        <v>200553.65141378366</v>
      </c>
      <c r="AK617" s="138">
        <f t="shared" ca="1" si="2870"/>
        <v>203156.11759837778</v>
      </c>
      <c r="AL617" s="138">
        <f t="shared" ref="AL617:AM617" ca="1" si="2871">AL619+AL620</f>
        <v>206137.19921623846</v>
      </c>
      <c r="AM617" s="138">
        <f t="shared" ca="1" si="2871"/>
        <v>316918.75078679383</v>
      </c>
      <c r="AN617" s="138">
        <f t="shared" ref="AN617:AO617" ca="1" si="2872">AN619+AN620</f>
        <v>212231.23614293468</v>
      </c>
      <c r="AO617" s="138">
        <f t="shared" ca="1" si="2872"/>
        <v>215299.34490243575</v>
      </c>
      <c r="AP617" s="138">
        <f t="shared" ref="AP617:AQ617" ca="1" si="2873">AP619+AP620</f>
        <v>218458.61436974723</v>
      </c>
      <c r="AQ617" s="138">
        <f t="shared" ca="1" si="2873"/>
        <v>335886.37205202249</v>
      </c>
      <c r="AR617" s="138">
        <f t="shared" ref="AR617:AS617" ca="1" si="2874">AR619+AR620</f>
        <v>224916.90946634253</v>
      </c>
      <c r="AS617" s="138">
        <f t="shared" ca="1" si="2874"/>
        <v>219129.33690958816</v>
      </c>
      <c r="AT617" s="138">
        <f t="shared" ref="AT617:AU617" ca="1" si="2875">AT619+AT620</f>
        <v>222344.80709043978</v>
      </c>
      <c r="AU617" s="138">
        <f t="shared" ca="1" si="2875"/>
        <v>346682.91794172791</v>
      </c>
      <c r="AV617" s="138">
        <f t="shared" ref="AV617" ca="1" si="2876">AV619+AV620</f>
        <v>228917.98975722719</v>
      </c>
    </row>
    <row r="618" spans="1:50" collapsed="1" x14ac:dyDescent="0.2">
      <c r="A618" s="99" t="str">
        <f ca="1">Language!A$792</f>
        <v>средний период отсрочки платежа</v>
      </c>
      <c r="B618" s="320">
        <v>33</v>
      </c>
      <c r="C618" s="152" t="str">
        <f ca="1">Language!$A$1446</f>
        <v>дней</v>
      </c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</row>
    <row r="619" spans="1:50" s="94" customFormat="1" hidden="1" outlineLevel="1" x14ac:dyDescent="0.2">
      <c r="A619" s="179" t="str">
        <f ca="1">Language!A$793</f>
        <v>величина из плана продаж</v>
      </c>
      <c r="B619" s="179"/>
      <c r="C619" s="158" t="str">
        <f ca="1">CurName1</f>
        <v>тыс. руб.</v>
      </c>
      <c r="D619" s="114"/>
      <c r="E619" s="114"/>
      <c r="F619" s="57" t="s">
        <v>754</v>
      </c>
      <c r="G619" s="185">
        <f t="shared" ref="G619:AV619" ca="1" si="2877">G324</f>
        <v>101086.9005988742</v>
      </c>
      <c r="H619" s="185">
        <f t="shared" ca="1" si="2877"/>
        <v>57934.054710756689</v>
      </c>
      <c r="I619" s="185">
        <f t="shared" ca="1" si="2877"/>
        <v>76441.022634688386</v>
      </c>
      <c r="J619" s="185">
        <f t="shared" ca="1" si="2877"/>
        <v>85815.277352432953</v>
      </c>
      <c r="K619" s="185">
        <f t="shared" ca="1" si="2877"/>
        <v>160127.73674455672</v>
      </c>
      <c r="L619" s="185">
        <f t="shared" ca="1" si="2877"/>
        <v>100490.15243641476</v>
      </c>
      <c r="M619" s="185">
        <f t="shared" ca="1" si="2877"/>
        <v>109411.84443841374</v>
      </c>
      <c r="N619" s="185">
        <f t="shared" ca="1" si="2877"/>
        <v>117265.71213077936</v>
      </c>
      <c r="O619" s="185">
        <f t="shared" ca="1" si="2877"/>
        <v>201290.75377557796</v>
      </c>
      <c r="P619" s="185">
        <f t="shared" ca="1" si="2877"/>
        <v>133598.6318713073</v>
      </c>
      <c r="Q619" s="185">
        <f t="shared" ca="1" si="2877"/>
        <v>141607.59855835559</v>
      </c>
      <c r="R619" s="185">
        <f t="shared" ca="1" si="2877"/>
        <v>143685.52667591415</v>
      </c>
      <c r="S619" s="185">
        <f t="shared" ca="1" si="2877"/>
        <v>226316.04019046735</v>
      </c>
      <c r="T619" s="185">
        <f t="shared" ca="1" si="2877"/>
        <v>147933.30392681336</v>
      </c>
      <c r="U619" s="185">
        <f t="shared" ca="1" si="2877"/>
        <v>157082.14823043774</v>
      </c>
      <c r="V619" s="185">
        <f t="shared" ca="1" si="2877"/>
        <v>159387.14750941371</v>
      </c>
      <c r="W619" s="185">
        <f t="shared" ca="1" si="2877"/>
        <v>247079.38984464318</v>
      </c>
      <c r="X619" s="185">
        <f t="shared" ca="1" si="2877"/>
        <v>164099.1119983861</v>
      </c>
      <c r="Y619" s="185">
        <f t="shared" ca="1" si="2877"/>
        <v>166850.09318633619</v>
      </c>
      <c r="Z619" s="185">
        <f t="shared" ca="1" si="2877"/>
        <v>169298.42578697891</v>
      </c>
      <c r="AA619" s="185">
        <f t="shared" ca="1" si="2877"/>
        <v>262257.30988607311</v>
      </c>
      <c r="AB619" s="185">
        <f t="shared" ca="1" si="2877"/>
        <v>174303.39753540713</v>
      </c>
      <c r="AC619" s="185">
        <f t="shared" ca="1" si="2877"/>
        <v>180257.64407619697</v>
      </c>
      <c r="AD619" s="185">
        <f t="shared" ca="1" si="2877"/>
        <v>182902.71701609602</v>
      </c>
      <c r="AE619" s="185">
        <f t="shared" ca="1" si="2877"/>
        <v>281489.70589446987</v>
      </c>
      <c r="AF619" s="185">
        <f t="shared" ca="1" si="2877"/>
        <v>188309.8726179334</v>
      </c>
      <c r="AG619" s="185">
        <f t="shared" ca="1" si="2877"/>
        <v>191977.87249357783</v>
      </c>
      <c r="AH619" s="185">
        <f t="shared" ca="1" si="2877"/>
        <v>194794.9262623351</v>
      </c>
      <c r="AI619" s="185">
        <f t="shared" ca="1" si="2877"/>
        <v>299310.60574249673</v>
      </c>
      <c r="AJ619" s="185">
        <f t="shared" ca="1" si="2877"/>
        <v>200553.65141378366</v>
      </c>
      <c r="AK619" s="185">
        <f t="shared" ca="1" si="2877"/>
        <v>203156.11759837778</v>
      </c>
      <c r="AL619" s="185">
        <f t="shared" ca="1" si="2877"/>
        <v>206137.19921623846</v>
      </c>
      <c r="AM619" s="185">
        <f t="shared" ca="1" si="2877"/>
        <v>316918.75078679383</v>
      </c>
      <c r="AN619" s="185">
        <f t="shared" ca="1" si="2877"/>
        <v>212231.23614293468</v>
      </c>
      <c r="AO619" s="185">
        <f t="shared" ca="1" si="2877"/>
        <v>215299.34490243575</v>
      </c>
      <c r="AP619" s="185">
        <f t="shared" ca="1" si="2877"/>
        <v>218458.61436974723</v>
      </c>
      <c r="AQ619" s="185">
        <f t="shared" ca="1" si="2877"/>
        <v>335886.37205202249</v>
      </c>
      <c r="AR619" s="185">
        <f t="shared" ca="1" si="2877"/>
        <v>224916.90946634253</v>
      </c>
      <c r="AS619" s="185">
        <f t="shared" ca="1" si="2877"/>
        <v>219129.33690958816</v>
      </c>
      <c r="AT619" s="185">
        <f t="shared" ca="1" si="2877"/>
        <v>222344.80709043978</v>
      </c>
      <c r="AU619" s="185">
        <f t="shared" ca="1" si="2877"/>
        <v>346682.91794172791</v>
      </c>
      <c r="AV619" s="185">
        <f t="shared" ca="1" si="2877"/>
        <v>228917.98975722719</v>
      </c>
      <c r="AX619" s="160"/>
    </row>
    <row r="620" spans="1:50" s="94" customFormat="1" hidden="1" outlineLevel="1" x14ac:dyDescent="0.2">
      <c r="A620" s="179" t="str">
        <f ca="1">Language!A$794</f>
        <v>величина из стартового баланса</v>
      </c>
      <c r="B620" s="214">
        <f>Старт!B7</f>
        <v>110346</v>
      </c>
      <c r="C620" s="158" t="str">
        <f ca="1">CurName1</f>
        <v>тыс. руб.</v>
      </c>
      <c r="D620" s="114"/>
      <c r="E620" s="114"/>
      <c r="F620" s="57" t="s">
        <v>754</v>
      </c>
      <c r="G620" s="319"/>
      <c r="H620" s="319"/>
      <c r="I620" s="319"/>
      <c r="J620" s="319"/>
      <c r="K620" s="319"/>
      <c r="L620" s="319"/>
      <c r="M620" s="319"/>
      <c r="N620" s="319"/>
      <c r="O620" s="319"/>
      <c r="P620" s="319"/>
      <c r="Q620" s="319"/>
      <c r="R620" s="319"/>
      <c r="S620" s="319"/>
      <c r="T620" s="319"/>
      <c r="U620" s="319"/>
      <c r="V620" s="319"/>
      <c r="W620" s="319"/>
      <c r="X620" s="319"/>
      <c r="Y620" s="319"/>
      <c r="Z620" s="319"/>
      <c r="AA620" s="319"/>
      <c r="AB620" s="319"/>
      <c r="AC620" s="319"/>
      <c r="AD620" s="319"/>
      <c r="AE620" s="319"/>
      <c r="AF620" s="319"/>
      <c r="AG620" s="319"/>
      <c r="AH620" s="319"/>
      <c r="AI620" s="319"/>
      <c r="AJ620" s="319"/>
      <c r="AK620" s="319"/>
      <c r="AL620" s="319"/>
      <c r="AM620" s="319"/>
      <c r="AN620" s="319"/>
      <c r="AO620" s="319"/>
      <c r="AP620" s="319"/>
      <c r="AQ620" s="319"/>
      <c r="AR620" s="319"/>
      <c r="AS620" s="319"/>
      <c r="AT620" s="319"/>
      <c r="AU620" s="319"/>
      <c r="AV620" s="319"/>
      <c r="AX620" s="160"/>
    </row>
    <row r="621" spans="1:50" s="94" customFormat="1" hidden="1" outlineLevel="1" x14ac:dyDescent="0.2">
      <c r="A621" s="179" t="str">
        <f ca="1">Language!A$795</f>
        <v>влияние стартового баланса на денежные средства</v>
      </c>
      <c r="B621" s="179"/>
      <c r="C621" s="158" t="str">
        <f ca="1">CurName1</f>
        <v>тыс. руб.</v>
      </c>
      <c r="D621" s="114"/>
      <c r="E621" s="114"/>
      <c r="F621" s="57" t="s">
        <v>753</v>
      </c>
      <c r="G621" s="185">
        <f>IF(G$2=1,$B620-G620,F620-G620)</f>
        <v>110346</v>
      </c>
      <c r="H621" s="185">
        <f t="shared" ref="H621:AV621" si="2878">IF(H$2=1,$B620-H620,G620-H620)</f>
        <v>0</v>
      </c>
      <c r="I621" s="185">
        <f t="shared" si="2878"/>
        <v>0</v>
      </c>
      <c r="J621" s="185">
        <f t="shared" si="2878"/>
        <v>0</v>
      </c>
      <c r="K621" s="185">
        <f t="shared" si="2878"/>
        <v>0</v>
      </c>
      <c r="L621" s="185">
        <f t="shared" si="2878"/>
        <v>0</v>
      </c>
      <c r="M621" s="185">
        <f t="shared" si="2878"/>
        <v>0</v>
      </c>
      <c r="N621" s="185">
        <f t="shared" si="2878"/>
        <v>0</v>
      </c>
      <c r="O621" s="185">
        <f t="shared" si="2878"/>
        <v>0</v>
      </c>
      <c r="P621" s="185">
        <f t="shared" si="2878"/>
        <v>0</v>
      </c>
      <c r="Q621" s="185">
        <f t="shared" si="2878"/>
        <v>0</v>
      </c>
      <c r="R621" s="185">
        <f t="shared" si="2878"/>
        <v>0</v>
      </c>
      <c r="S621" s="185">
        <f t="shared" si="2878"/>
        <v>0</v>
      </c>
      <c r="T621" s="185">
        <f t="shared" si="2878"/>
        <v>0</v>
      </c>
      <c r="U621" s="185">
        <f t="shared" si="2878"/>
        <v>0</v>
      </c>
      <c r="V621" s="185">
        <f t="shared" si="2878"/>
        <v>0</v>
      </c>
      <c r="W621" s="185">
        <f t="shared" si="2878"/>
        <v>0</v>
      </c>
      <c r="X621" s="185">
        <f t="shared" si="2878"/>
        <v>0</v>
      </c>
      <c r="Y621" s="185">
        <f t="shared" si="2878"/>
        <v>0</v>
      </c>
      <c r="Z621" s="185">
        <f t="shared" si="2878"/>
        <v>0</v>
      </c>
      <c r="AA621" s="185">
        <f t="shared" si="2878"/>
        <v>0</v>
      </c>
      <c r="AB621" s="185">
        <f t="shared" si="2878"/>
        <v>0</v>
      </c>
      <c r="AC621" s="185">
        <f t="shared" si="2878"/>
        <v>0</v>
      </c>
      <c r="AD621" s="185">
        <f t="shared" si="2878"/>
        <v>0</v>
      </c>
      <c r="AE621" s="185">
        <f t="shared" si="2878"/>
        <v>0</v>
      </c>
      <c r="AF621" s="185">
        <f t="shared" si="2878"/>
        <v>0</v>
      </c>
      <c r="AG621" s="185">
        <f t="shared" si="2878"/>
        <v>0</v>
      </c>
      <c r="AH621" s="185">
        <f t="shared" si="2878"/>
        <v>0</v>
      </c>
      <c r="AI621" s="185">
        <f t="shared" si="2878"/>
        <v>0</v>
      </c>
      <c r="AJ621" s="185">
        <f t="shared" si="2878"/>
        <v>0</v>
      </c>
      <c r="AK621" s="185">
        <f t="shared" si="2878"/>
        <v>0</v>
      </c>
      <c r="AL621" s="185">
        <f t="shared" si="2878"/>
        <v>0</v>
      </c>
      <c r="AM621" s="185">
        <f t="shared" si="2878"/>
        <v>0</v>
      </c>
      <c r="AN621" s="185">
        <f t="shared" si="2878"/>
        <v>0</v>
      </c>
      <c r="AO621" s="185">
        <f t="shared" si="2878"/>
        <v>0</v>
      </c>
      <c r="AP621" s="185">
        <f t="shared" si="2878"/>
        <v>0</v>
      </c>
      <c r="AQ621" s="185">
        <f t="shared" si="2878"/>
        <v>0</v>
      </c>
      <c r="AR621" s="185">
        <f t="shared" si="2878"/>
        <v>0</v>
      </c>
      <c r="AS621" s="185">
        <f t="shared" si="2878"/>
        <v>0</v>
      </c>
      <c r="AT621" s="185">
        <f t="shared" si="2878"/>
        <v>0</v>
      </c>
      <c r="AU621" s="185">
        <f t="shared" si="2878"/>
        <v>0</v>
      </c>
      <c r="AV621" s="185">
        <f t="shared" si="2878"/>
        <v>0</v>
      </c>
      <c r="AX621" s="160"/>
    </row>
    <row r="622" spans="1:50" s="94" customFormat="1" x14ac:dyDescent="0.2">
      <c r="A622" s="65"/>
      <c r="B622" s="201"/>
      <c r="C622" s="162"/>
      <c r="D622" s="114"/>
      <c r="E622" s="114"/>
      <c r="F622" s="114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X622" s="160"/>
    </row>
    <row r="623" spans="1:50" x14ac:dyDescent="0.2">
      <c r="A623" s="65" t="str">
        <f ca="1">Language!A$796</f>
        <v>Авансы полученные</v>
      </c>
      <c r="B623" s="82"/>
      <c r="C623" s="152" t="str">
        <f ca="1">CurName1</f>
        <v>тыс. руб.</v>
      </c>
      <c r="F623" s="57" t="s">
        <v>754</v>
      </c>
      <c r="G623" s="138">
        <f ca="1">G625+G626</f>
        <v>0</v>
      </c>
      <c r="H623" s="138">
        <f t="shared" ref="H623:K623" ca="1" si="2879">H625+H626</f>
        <v>0</v>
      </c>
      <c r="I623" s="138">
        <f t="shared" ca="1" si="2879"/>
        <v>0</v>
      </c>
      <c r="J623" s="138">
        <f t="shared" ca="1" si="2879"/>
        <v>0</v>
      </c>
      <c r="K623" s="138">
        <f t="shared" ca="1" si="2879"/>
        <v>0</v>
      </c>
      <c r="L623" s="138">
        <f t="shared" ref="L623:M623" ca="1" si="2880">L625+L626</f>
        <v>0</v>
      </c>
      <c r="M623" s="138">
        <f t="shared" ca="1" si="2880"/>
        <v>0</v>
      </c>
      <c r="N623" s="138">
        <f t="shared" ref="N623:O623" ca="1" si="2881">N625+N626</f>
        <v>0</v>
      </c>
      <c r="O623" s="138">
        <f t="shared" ca="1" si="2881"/>
        <v>0</v>
      </c>
      <c r="P623" s="138">
        <f t="shared" ref="P623:Q623" ca="1" si="2882">P625+P626</f>
        <v>0</v>
      </c>
      <c r="Q623" s="138">
        <f t="shared" ca="1" si="2882"/>
        <v>0</v>
      </c>
      <c r="R623" s="138">
        <f t="shared" ref="R623:S623" ca="1" si="2883">R625+R626</f>
        <v>0</v>
      </c>
      <c r="S623" s="138">
        <f t="shared" ca="1" si="2883"/>
        <v>0</v>
      </c>
      <c r="T623" s="138">
        <f t="shared" ref="T623:U623" ca="1" si="2884">T625+T626</f>
        <v>0</v>
      </c>
      <c r="U623" s="138">
        <f t="shared" ca="1" si="2884"/>
        <v>0</v>
      </c>
      <c r="V623" s="138">
        <f t="shared" ref="V623:W623" ca="1" si="2885">V625+V626</f>
        <v>0</v>
      </c>
      <c r="W623" s="138">
        <f t="shared" ca="1" si="2885"/>
        <v>0</v>
      </c>
      <c r="X623" s="138">
        <f t="shared" ref="X623:Y623" ca="1" si="2886">X625+X626</f>
        <v>0</v>
      </c>
      <c r="Y623" s="138">
        <f t="shared" ca="1" si="2886"/>
        <v>0</v>
      </c>
      <c r="Z623" s="138">
        <f t="shared" ref="Z623:AA623" ca="1" si="2887">Z625+Z626</f>
        <v>0</v>
      </c>
      <c r="AA623" s="138">
        <f t="shared" ca="1" si="2887"/>
        <v>0</v>
      </c>
      <c r="AB623" s="138">
        <f t="shared" ref="AB623:AC623" ca="1" si="2888">AB625+AB626</f>
        <v>0</v>
      </c>
      <c r="AC623" s="138">
        <f t="shared" ca="1" si="2888"/>
        <v>0</v>
      </c>
      <c r="AD623" s="138">
        <f t="shared" ref="AD623:AE623" ca="1" si="2889">AD625+AD626</f>
        <v>0</v>
      </c>
      <c r="AE623" s="138">
        <f t="shared" ca="1" si="2889"/>
        <v>0</v>
      </c>
      <c r="AF623" s="138">
        <f t="shared" ref="AF623:AG623" ca="1" si="2890">AF625+AF626</f>
        <v>0</v>
      </c>
      <c r="AG623" s="138">
        <f t="shared" ca="1" si="2890"/>
        <v>0</v>
      </c>
      <c r="AH623" s="138">
        <f t="shared" ref="AH623:AI623" ca="1" si="2891">AH625+AH626</f>
        <v>0</v>
      </c>
      <c r="AI623" s="138">
        <f t="shared" ca="1" si="2891"/>
        <v>0</v>
      </c>
      <c r="AJ623" s="138">
        <f t="shared" ref="AJ623:AK623" ca="1" si="2892">AJ625+AJ626</f>
        <v>0</v>
      </c>
      <c r="AK623" s="138">
        <f t="shared" ca="1" si="2892"/>
        <v>0</v>
      </c>
      <c r="AL623" s="138">
        <f t="shared" ref="AL623:AM623" ca="1" si="2893">AL625+AL626</f>
        <v>0</v>
      </c>
      <c r="AM623" s="138">
        <f t="shared" ca="1" si="2893"/>
        <v>0</v>
      </c>
      <c r="AN623" s="138">
        <f t="shared" ref="AN623:AO623" ca="1" si="2894">AN625+AN626</f>
        <v>0</v>
      </c>
      <c r="AO623" s="138">
        <f t="shared" ca="1" si="2894"/>
        <v>0</v>
      </c>
      <c r="AP623" s="138">
        <f t="shared" ref="AP623:AQ623" ca="1" si="2895">AP625+AP626</f>
        <v>0</v>
      </c>
      <c r="AQ623" s="138">
        <f t="shared" ca="1" si="2895"/>
        <v>0</v>
      </c>
      <c r="AR623" s="138">
        <f t="shared" ref="AR623:AS623" ca="1" si="2896">AR625+AR626</f>
        <v>0</v>
      </c>
      <c r="AS623" s="138">
        <f t="shared" ca="1" si="2896"/>
        <v>0</v>
      </c>
      <c r="AT623" s="138">
        <f t="shared" ref="AT623:AU623" ca="1" si="2897">AT625+AT626</f>
        <v>0</v>
      </c>
      <c r="AU623" s="138">
        <f t="shared" ca="1" si="2897"/>
        <v>0</v>
      </c>
      <c r="AV623" s="138">
        <f t="shared" ref="AV623" ca="1" si="2898">AV625+AV626</f>
        <v>0</v>
      </c>
    </row>
    <row r="624" spans="1:50" collapsed="1" x14ac:dyDescent="0.2">
      <c r="A624" s="99" t="str">
        <f ca="1">Language!A$797</f>
        <v>средний период предоплаты</v>
      </c>
      <c r="B624" s="320">
        <v>0</v>
      </c>
      <c r="C624" s="152" t="str">
        <f ca="1">Language!$A$1446</f>
        <v>дней</v>
      </c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</row>
    <row r="625" spans="1:50" s="94" customFormat="1" hidden="1" outlineLevel="1" x14ac:dyDescent="0.2">
      <c r="A625" s="179" t="str">
        <f ca="1">Language!A$798</f>
        <v>величина из плана продаж</v>
      </c>
      <c r="B625" s="179"/>
      <c r="C625" s="158" t="str">
        <f ca="1">CurName1</f>
        <v>тыс. руб.</v>
      </c>
      <c r="D625" s="114"/>
      <c r="E625" s="114"/>
      <c r="F625" s="57" t="s">
        <v>754</v>
      </c>
      <c r="G625" s="185">
        <f t="shared" ref="G625:AV625" ca="1" si="2899">G325-G326</f>
        <v>0</v>
      </c>
      <c r="H625" s="185">
        <f t="shared" ca="1" si="2899"/>
        <v>0</v>
      </c>
      <c r="I625" s="185">
        <f t="shared" ca="1" si="2899"/>
        <v>0</v>
      </c>
      <c r="J625" s="185">
        <f t="shared" ca="1" si="2899"/>
        <v>0</v>
      </c>
      <c r="K625" s="185">
        <f t="shared" ca="1" si="2899"/>
        <v>0</v>
      </c>
      <c r="L625" s="185">
        <f t="shared" ca="1" si="2899"/>
        <v>0</v>
      </c>
      <c r="M625" s="185">
        <f t="shared" ca="1" si="2899"/>
        <v>0</v>
      </c>
      <c r="N625" s="185">
        <f t="shared" ca="1" si="2899"/>
        <v>0</v>
      </c>
      <c r="O625" s="185">
        <f t="shared" ca="1" si="2899"/>
        <v>0</v>
      </c>
      <c r="P625" s="185">
        <f t="shared" ca="1" si="2899"/>
        <v>0</v>
      </c>
      <c r="Q625" s="185">
        <f t="shared" ca="1" si="2899"/>
        <v>0</v>
      </c>
      <c r="R625" s="185">
        <f t="shared" ca="1" si="2899"/>
        <v>0</v>
      </c>
      <c r="S625" s="185">
        <f t="shared" ca="1" si="2899"/>
        <v>0</v>
      </c>
      <c r="T625" s="185">
        <f t="shared" ca="1" si="2899"/>
        <v>0</v>
      </c>
      <c r="U625" s="185">
        <f t="shared" ca="1" si="2899"/>
        <v>0</v>
      </c>
      <c r="V625" s="185">
        <f t="shared" ca="1" si="2899"/>
        <v>0</v>
      </c>
      <c r="W625" s="185">
        <f t="shared" ca="1" si="2899"/>
        <v>0</v>
      </c>
      <c r="X625" s="185">
        <f t="shared" ca="1" si="2899"/>
        <v>0</v>
      </c>
      <c r="Y625" s="185">
        <f t="shared" ca="1" si="2899"/>
        <v>0</v>
      </c>
      <c r="Z625" s="185">
        <f t="shared" ca="1" si="2899"/>
        <v>0</v>
      </c>
      <c r="AA625" s="185">
        <f t="shared" ca="1" si="2899"/>
        <v>0</v>
      </c>
      <c r="AB625" s="185">
        <f t="shared" ca="1" si="2899"/>
        <v>0</v>
      </c>
      <c r="AC625" s="185">
        <f t="shared" ca="1" si="2899"/>
        <v>0</v>
      </c>
      <c r="AD625" s="185">
        <f t="shared" ca="1" si="2899"/>
        <v>0</v>
      </c>
      <c r="AE625" s="185">
        <f t="shared" ca="1" si="2899"/>
        <v>0</v>
      </c>
      <c r="AF625" s="185">
        <f t="shared" ca="1" si="2899"/>
        <v>0</v>
      </c>
      <c r="AG625" s="185">
        <f t="shared" ca="1" si="2899"/>
        <v>0</v>
      </c>
      <c r="AH625" s="185">
        <f t="shared" ca="1" si="2899"/>
        <v>0</v>
      </c>
      <c r="AI625" s="185">
        <f t="shared" ca="1" si="2899"/>
        <v>0</v>
      </c>
      <c r="AJ625" s="185">
        <f t="shared" ca="1" si="2899"/>
        <v>0</v>
      </c>
      <c r="AK625" s="185">
        <f t="shared" ca="1" si="2899"/>
        <v>0</v>
      </c>
      <c r="AL625" s="185">
        <f t="shared" ca="1" si="2899"/>
        <v>0</v>
      </c>
      <c r="AM625" s="185">
        <f t="shared" ca="1" si="2899"/>
        <v>0</v>
      </c>
      <c r="AN625" s="185">
        <f t="shared" ca="1" si="2899"/>
        <v>0</v>
      </c>
      <c r="AO625" s="185">
        <f t="shared" ca="1" si="2899"/>
        <v>0</v>
      </c>
      <c r="AP625" s="185">
        <f t="shared" ca="1" si="2899"/>
        <v>0</v>
      </c>
      <c r="AQ625" s="185">
        <f t="shared" ca="1" si="2899"/>
        <v>0</v>
      </c>
      <c r="AR625" s="185">
        <f t="shared" ca="1" si="2899"/>
        <v>0</v>
      </c>
      <c r="AS625" s="185">
        <f t="shared" ca="1" si="2899"/>
        <v>0</v>
      </c>
      <c r="AT625" s="185">
        <f t="shared" ca="1" si="2899"/>
        <v>0</v>
      </c>
      <c r="AU625" s="185">
        <f t="shared" ca="1" si="2899"/>
        <v>0</v>
      </c>
      <c r="AV625" s="185">
        <f t="shared" ca="1" si="2899"/>
        <v>0</v>
      </c>
      <c r="AX625" s="160"/>
    </row>
    <row r="626" spans="1:50" s="94" customFormat="1" hidden="1" outlineLevel="1" x14ac:dyDescent="0.2">
      <c r="A626" s="179" t="str">
        <f ca="1">Language!A$799</f>
        <v>величина из стартового баланса</v>
      </c>
      <c r="B626" s="214">
        <f>Старт!B32</f>
        <v>0</v>
      </c>
      <c r="C626" s="158" t="str">
        <f ca="1">CurName1</f>
        <v>тыс. руб.</v>
      </c>
      <c r="D626" s="114"/>
      <c r="E626" s="114"/>
      <c r="F626" s="57" t="s">
        <v>754</v>
      </c>
      <c r="G626" s="319">
        <f>IF(G$2=1,$B626,F626)</f>
        <v>0</v>
      </c>
      <c r="H626" s="319">
        <f t="shared" ref="H626" si="2900">IF(H$2=1,$B626,G626)</f>
        <v>0</v>
      </c>
      <c r="I626" s="319">
        <f t="shared" ref="I626" si="2901">IF(I$2=1,$B626,H626)</f>
        <v>0</v>
      </c>
      <c r="J626" s="319">
        <f t="shared" ref="J626" si="2902">IF(J$2=1,$B626,I626)</f>
        <v>0</v>
      </c>
      <c r="K626" s="319">
        <f t="shared" ref="K626:AV626" si="2903">IF(K$2=1,$B626,J626)</f>
        <v>0</v>
      </c>
      <c r="L626" s="319">
        <f t="shared" si="2903"/>
        <v>0</v>
      </c>
      <c r="M626" s="319">
        <f t="shared" si="2903"/>
        <v>0</v>
      </c>
      <c r="N626" s="319">
        <f t="shared" si="2903"/>
        <v>0</v>
      </c>
      <c r="O626" s="319">
        <f t="shared" si="2903"/>
        <v>0</v>
      </c>
      <c r="P626" s="319">
        <f t="shared" si="2903"/>
        <v>0</v>
      </c>
      <c r="Q626" s="319">
        <f t="shared" si="2903"/>
        <v>0</v>
      </c>
      <c r="R626" s="319">
        <f t="shared" si="2903"/>
        <v>0</v>
      </c>
      <c r="S626" s="319">
        <f t="shared" si="2903"/>
        <v>0</v>
      </c>
      <c r="T626" s="319">
        <f t="shared" si="2903"/>
        <v>0</v>
      </c>
      <c r="U626" s="319">
        <f t="shared" si="2903"/>
        <v>0</v>
      </c>
      <c r="V626" s="319">
        <f t="shared" si="2903"/>
        <v>0</v>
      </c>
      <c r="W626" s="319">
        <f t="shared" si="2903"/>
        <v>0</v>
      </c>
      <c r="X626" s="319">
        <f t="shared" si="2903"/>
        <v>0</v>
      </c>
      <c r="Y626" s="319">
        <f t="shared" si="2903"/>
        <v>0</v>
      </c>
      <c r="Z626" s="319">
        <f t="shared" si="2903"/>
        <v>0</v>
      </c>
      <c r="AA626" s="319">
        <f t="shared" si="2903"/>
        <v>0</v>
      </c>
      <c r="AB626" s="319">
        <f t="shared" si="2903"/>
        <v>0</v>
      </c>
      <c r="AC626" s="319">
        <f t="shared" si="2903"/>
        <v>0</v>
      </c>
      <c r="AD626" s="319">
        <f t="shared" si="2903"/>
        <v>0</v>
      </c>
      <c r="AE626" s="319">
        <f t="shared" si="2903"/>
        <v>0</v>
      </c>
      <c r="AF626" s="319">
        <f t="shared" si="2903"/>
        <v>0</v>
      </c>
      <c r="AG626" s="319">
        <f t="shared" si="2903"/>
        <v>0</v>
      </c>
      <c r="AH626" s="319">
        <f t="shared" si="2903"/>
        <v>0</v>
      </c>
      <c r="AI626" s="319">
        <f t="shared" si="2903"/>
        <v>0</v>
      </c>
      <c r="AJ626" s="319">
        <f t="shared" si="2903"/>
        <v>0</v>
      </c>
      <c r="AK626" s="319">
        <f t="shared" si="2903"/>
        <v>0</v>
      </c>
      <c r="AL626" s="319">
        <f t="shared" si="2903"/>
        <v>0</v>
      </c>
      <c r="AM626" s="319">
        <f t="shared" si="2903"/>
        <v>0</v>
      </c>
      <c r="AN626" s="319">
        <f t="shared" si="2903"/>
        <v>0</v>
      </c>
      <c r="AO626" s="319">
        <f t="shared" si="2903"/>
        <v>0</v>
      </c>
      <c r="AP626" s="319">
        <f t="shared" si="2903"/>
        <v>0</v>
      </c>
      <c r="AQ626" s="319">
        <f t="shared" si="2903"/>
        <v>0</v>
      </c>
      <c r="AR626" s="319">
        <f t="shared" si="2903"/>
        <v>0</v>
      </c>
      <c r="AS626" s="319">
        <f t="shared" si="2903"/>
        <v>0</v>
      </c>
      <c r="AT626" s="319">
        <f t="shared" si="2903"/>
        <v>0</v>
      </c>
      <c r="AU626" s="319">
        <f t="shared" si="2903"/>
        <v>0</v>
      </c>
      <c r="AV626" s="319">
        <f t="shared" si="2903"/>
        <v>0</v>
      </c>
      <c r="AX626" s="160"/>
    </row>
    <row r="627" spans="1:50" s="94" customFormat="1" hidden="1" outlineLevel="1" x14ac:dyDescent="0.2">
      <c r="A627" s="179" t="str">
        <f ca="1">Language!A$800</f>
        <v>влияние стартового баланса на денежные средства</v>
      </c>
      <c r="B627" s="179"/>
      <c r="C627" s="158" t="str">
        <f ca="1">CurName1</f>
        <v>тыс. руб.</v>
      </c>
      <c r="D627" s="114"/>
      <c r="E627" s="114"/>
      <c r="F627" s="57" t="s">
        <v>753</v>
      </c>
      <c r="G627" s="185">
        <f>IF(G$2=1,G626-$B626,G626-F626)</f>
        <v>0</v>
      </c>
      <c r="H627" s="185">
        <f t="shared" ref="H627:AV627" si="2904">IF(H$2=1,H626-$B626,H626-G626)</f>
        <v>0</v>
      </c>
      <c r="I627" s="185">
        <f t="shared" si="2904"/>
        <v>0</v>
      </c>
      <c r="J627" s="185">
        <f t="shared" si="2904"/>
        <v>0</v>
      </c>
      <c r="K627" s="185">
        <f t="shared" si="2904"/>
        <v>0</v>
      </c>
      <c r="L627" s="185">
        <f t="shared" si="2904"/>
        <v>0</v>
      </c>
      <c r="M627" s="185">
        <f t="shared" si="2904"/>
        <v>0</v>
      </c>
      <c r="N627" s="185">
        <f t="shared" si="2904"/>
        <v>0</v>
      </c>
      <c r="O627" s="185">
        <f t="shared" si="2904"/>
        <v>0</v>
      </c>
      <c r="P627" s="185">
        <f t="shared" si="2904"/>
        <v>0</v>
      </c>
      <c r="Q627" s="185">
        <f t="shared" si="2904"/>
        <v>0</v>
      </c>
      <c r="R627" s="185">
        <f t="shared" si="2904"/>
        <v>0</v>
      </c>
      <c r="S627" s="185">
        <f t="shared" si="2904"/>
        <v>0</v>
      </c>
      <c r="T627" s="185">
        <f t="shared" si="2904"/>
        <v>0</v>
      </c>
      <c r="U627" s="185">
        <f t="shared" si="2904"/>
        <v>0</v>
      </c>
      <c r="V627" s="185">
        <f t="shared" si="2904"/>
        <v>0</v>
      </c>
      <c r="W627" s="185">
        <f t="shared" si="2904"/>
        <v>0</v>
      </c>
      <c r="X627" s="185">
        <f t="shared" si="2904"/>
        <v>0</v>
      </c>
      <c r="Y627" s="185">
        <f t="shared" si="2904"/>
        <v>0</v>
      </c>
      <c r="Z627" s="185">
        <f t="shared" si="2904"/>
        <v>0</v>
      </c>
      <c r="AA627" s="185">
        <f t="shared" si="2904"/>
        <v>0</v>
      </c>
      <c r="AB627" s="185">
        <f t="shared" si="2904"/>
        <v>0</v>
      </c>
      <c r="AC627" s="185">
        <f t="shared" si="2904"/>
        <v>0</v>
      </c>
      <c r="AD627" s="185">
        <f t="shared" si="2904"/>
        <v>0</v>
      </c>
      <c r="AE627" s="185">
        <f t="shared" si="2904"/>
        <v>0</v>
      </c>
      <c r="AF627" s="185">
        <f t="shared" si="2904"/>
        <v>0</v>
      </c>
      <c r="AG627" s="185">
        <f t="shared" si="2904"/>
        <v>0</v>
      </c>
      <c r="AH627" s="185">
        <f t="shared" si="2904"/>
        <v>0</v>
      </c>
      <c r="AI627" s="185">
        <f t="shared" si="2904"/>
        <v>0</v>
      </c>
      <c r="AJ627" s="185">
        <f t="shared" si="2904"/>
        <v>0</v>
      </c>
      <c r="AK627" s="185">
        <f t="shared" si="2904"/>
        <v>0</v>
      </c>
      <c r="AL627" s="185">
        <f t="shared" si="2904"/>
        <v>0</v>
      </c>
      <c r="AM627" s="185">
        <f t="shared" si="2904"/>
        <v>0</v>
      </c>
      <c r="AN627" s="185">
        <f t="shared" si="2904"/>
        <v>0</v>
      </c>
      <c r="AO627" s="185">
        <f t="shared" si="2904"/>
        <v>0</v>
      </c>
      <c r="AP627" s="185">
        <f t="shared" si="2904"/>
        <v>0</v>
      </c>
      <c r="AQ627" s="185">
        <f t="shared" si="2904"/>
        <v>0</v>
      </c>
      <c r="AR627" s="185">
        <f t="shared" si="2904"/>
        <v>0</v>
      </c>
      <c r="AS627" s="185">
        <f t="shared" si="2904"/>
        <v>0</v>
      </c>
      <c r="AT627" s="185">
        <f t="shared" si="2904"/>
        <v>0</v>
      </c>
      <c r="AU627" s="185">
        <f t="shared" si="2904"/>
        <v>0</v>
      </c>
      <c r="AV627" s="185">
        <f t="shared" si="2904"/>
        <v>0</v>
      </c>
      <c r="AX627" s="160"/>
    </row>
    <row r="628" spans="1:50" x14ac:dyDescent="0.2">
      <c r="A628" s="65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</row>
    <row r="629" spans="1:50" x14ac:dyDescent="0.2">
      <c r="A629" s="65" t="str">
        <f ca="1">Language!A$801</f>
        <v>Запасы материалов и комплектующих</v>
      </c>
      <c r="C629" s="152" t="str">
        <f ca="1">CurName1</f>
        <v>тыс. руб.</v>
      </c>
      <c r="F629" s="57" t="s">
        <v>754</v>
      </c>
      <c r="G629" s="138">
        <f ca="1">G631+G632</f>
        <v>474092</v>
      </c>
      <c r="H629" s="138">
        <f t="shared" ref="H629:K629" ca="1" si="2905">H631+H632</f>
        <v>474092</v>
      </c>
      <c r="I629" s="138">
        <f t="shared" ca="1" si="2905"/>
        <v>474092</v>
      </c>
      <c r="J629" s="138">
        <f t="shared" ca="1" si="2905"/>
        <v>474092</v>
      </c>
      <c r="K629" s="138">
        <f t="shared" ca="1" si="2905"/>
        <v>474092</v>
      </c>
      <c r="L629" s="138">
        <f t="shared" ref="L629:M629" ca="1" si="2906">L631+L632</f>
        <v>474092</v>
      </c>
      <c r="M629" s="138">
        <f t="shared" ca="1" si="2906"/>
        <v>474092</v>
      </c>
      <c r="N629" s="138">
        <f t="shared" ref="N629:O629" ca="1" si="2907">N631+N632</f>
        <v>474092</v>
      </c>
      <c r="O629" s="138">
        <f t="shared" ca="1" si="2907"/>
        <v>474092</v>
      </c>
      <c r="P629" s="138">
        <f t="shared" ref="P629:Q629" ca="1" si="2908">P631+P632</f>
        <v>474092</v>
      </c>
      <c r="Q629" s="138">
        <f t="shared" ca="1" si="2908"/>
        <v>474092</v>
      </c>
      <c r="R629" s="138">
        <f t="shared" ref="R629:S629" ca="1" si="2909">R631+R632</f>
        <v>474092</v>
      </c>
      <c r="S629" s="138">
        <f t="shared" ca="1" si="2909"/>
        <v>474092</v>
      </c>
      <c r="T629" s="138">
        <f t="shared" ref="T629:U629" ca="1" si="2910">T631+T632</f>
        <v>474092</v>
      </c>
      <c r="U629" s="138">
        <f t="shared" ca="1" si="2910"/>
        <v>474092</v>
      </c>
      <c r="V629" s="138">
        <f t="shared" ref="V629:W629" ca="1" si="2911">V631+V632</f>
        <v>474092</v>
      </c>
      <c r="W629" s="138">
        <f t="shared" ca="1" si="2911"/>
        <v>474092</v>
      </c>
      <c r="X629" s="138">
        <f t="shared" ref="X629:Y629" ca="1" si="2912">X631+X632</f>
        <v>474092</v>
      </c>
      <c r="Y629" s="138">
        <f t="shared" ca="1" si="2912"/>
        <v>474092</v>
      </c>
      <c r="Z629" s="138">
        <f t="shared" ref="Z629:AA629" ca="1" si="2913">Z631+Z632</f>
        <v>474092</v>
      </c>
      <c r="AA629" s="138">
        <f t="shared" ca="1" si="2913"/>
        <v>474092</v>
      </c>
      <c r="AB629" s="138">
        <f t="shared" ref="AB629:AC629" ca="1" si="2914">AB631+AB632</f>
        <v>474092</v>
      </c>
      <c r="AC629" s="138">
        <f t="shared" ca="1" si="2914"/>
        <v>474092</v>
      </c>
      <c r="AD629" s="138">
        <f t="shared" ref="AD629:AE629" ca="1" si="2915">AD631+AD632</f>
        <v>474092</v>
      </c>
      <c r="AE629" s="138">
        <f t="shared" ca="1" si="2915"/>
        <v>474092</v>
      </c>
      <c r="AF629" s="138">
        <f t="shared" ref="AF629:AG629" ca="1" si="2916">AF631+AF632</f>
        <v>474092</v>
      </c>
      <c r="AG629" s="138">
        <f t="shared" ca="1" si="2916"/>
        <v>474092</v>
      </c>
      <c r="AH629" s="138">
        <f t="shared" ref="AH629:AI629" ca="1" si="2917">AH631+AH632</f>
        <v>474092</v>
      </c>
      <c r="AI629" s="138">
        <f t="shared" ca="1" si="2917"/>
        <v>474092</v>
      </c>
      <c r="AJ629" s="138">
        <f t="shared" ref="AJ629:AK629" ca="1" si="2918">AJ631+AJ632</f>
        <v>474092</v>
      </c>
      <c r="AK629" s="138">
        <f t="shared" ca="1" si="2918"/>
        <v>474092</v>
      </c>
      <c r="AL629" s="138">
        <f t="shared" ref="AL629:AM629" ca="1" si="2919">AL631+AL632</f>
        <v>474092</v>
      </c>
      <c r="AM629" s="138">
        <f t="shared" ca="1" si="2919"/>
        <v>474092</v>
      </c>
      <c r="AN629" s="138">
        <f t="shared" ref="AN629:AO629" ca="1" si="2920">AN631+AN632</f>
        <v>474092</v>
      </c>
      <c r="AO629" s="138">
        <f t="shared" ca="1" si="2920"/>
        <v>474092</v>
      </c>
      <c r="AP629" s="138">
        <f t="shared" ref="AP629:AQ629" ca="1" si="2921">AP631+AP632</f>
        <v>474092</v>
      </c>
      <c r="AQ629" s="138">
        <f t="shared" ca="1" si="2921"/>
        <v>474092</v>
      </c>
      <c r="AR629" s="138">
        <f t="shared" ref="AR629:AS629" ca="1" si="2922">AR631+AR632</f>
        <v>474092</v>
      </c>
      <c r="AS629" s="138">
        <f t="shared" ca="1" si="2922"/>
        <v>474092</v>
      </c>
      <c r="AT629" s="138">
        <f t="shared" ref="AT629:AU629" ca="1" si="2923">AT631+AT632</f>
        <v>474092</v>
      </c>
      <c r="AU629" s="138">
        <f t="shared" ca="1" si="2923"/>
        <v>474092</v>
      </c>
      <c r="AV629" s="138">
        <f t="shared" ref="AV629" ca="1" si="2924">AV631+AV632</f>
        <v>474092</v>
      </c>
    </row>
    <row r="630" spans="1:50" collapsed="1" x14ac:dyDescent="0.2">
      <c r="A630" s="99" t="str">
        <f ca="1">Language!A$802</f>
        <v>средний период оборачиваемости</v>
      </c>
      <c r="B630" s="320">
        <v>0</v>
      </c>
      <c r="C630" s="152" t="str">
        <f ca="1">Language!$A$1446</f>
        <v>дней</v>
      </c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</row>
    <row r="631" spans="1:50" s="94" customFormat="1" hidden="1" outlineLevel="1" x14ac:dyDescent="0.2">
      <c r="A631" s="179" t="str">
        <f ca="1">Language!A$803</f>
        <v>величина из плана затрат</v>
      </c>
      <c r="B631" s="179"/>
      <c r="C631" s="158" t="str">
        <f ca="1">CurName1</f>
        <v>тыс. руб.</v>
      </c>
      <c r="D631" s="114"/>
      <c r="E631" s="114"/>
      <c r="F631" s="57" t="s">
        <v>754</v>
      </c>
      <c r="G631" s="185">
        <f t="shared" ref="G631:AV631" ca="1" si="2925">G455</f>
        <v>0</v>
      </c>
      <c r="H631" s="185">
        <f t="shared" ca="1" si="2925"/>
        <v>0</v>
      </c>
      <c r="I631" s="185">
        <f t="shared" ca="1" si="2925"/>
        <v>0</v>
      </c>
      <c r="J631" s="185">
        <f t="shared" ca="1" si="2925"/>
        <v>0</v>
      </c>
      <c r="K631" s="185">
        <f t="shared" ca="1" si="2925"/>
        <v>0</v>
      </c>
      <c r="L631" s="185">
        <f t="shared" ca="1" si="2925"/>
        <v>0</v>
      </c>
      <c r="M631" s="185">
        <f t="shared" ca="1" si="2925"/>
        <v>0</v>
      </c>
      <c r="N631" s="185">
        <f t="shared" ca="1" si="2925"/>
        <v>0</v>
      </c>
      <c r="O631" s="185">
        <f t="shared" ca="1" si="2925"/>
        <v>0</v>
      </c>
      <c r="P631" s="185">
        <f t="shared" ca="1" si="2925"/>
        <v>0</v>
      </c>
      <c r="Q631" s="185">
        <f t="shared" ca="1" si="2925"/>
        <v>0</v>
      </c>
      <c r="R631" s="185">
        <f t="shared" ca="1" si="2925"/>
        <v>0</v>
      </c>
      <c r="S631" s="185">
        <f t="shared" ca="1" si="2925"/>
        <v>0</v>
      </c>
      <c r="T631" s="185">
        <f t="shared" ca="1" si="2925"/>
        <v>0</v>
      </c>
      <c r="U631" s="185">
        <f t="shared" ca="1" si="2925"/>
        <v>0</v>
      </c>
      <c r="V631" s="185">
        <f t="shared" ca="1" si="2925"/>
        <v>0</v>
      </c>
      <c r="W631" s="185">
        <f t="shared" ca="1" si="2925"/>
        <v>0</v>
      </c>
      <c r="X631" s="185">
        <f t="shared" ca="1" si="2925"/>
        <v>0</v>
      </c>
      <c r="Y631" s="185">
        <f t="shared" ca="1" si="2925"/>
        <v>0</v>
      </c>
      <c r="Z631" s="185">
        <f t="shared" ca="1" si="2925"/>
        <v>0</v>
      </c>
      <c r="AA631" s="185">
        <f t="shared" ca="1" si="2925"/>
        <v>0</v>
      </c>
      <c r="AB631" s="185">
        <f t="shared" ca="1" si="2925"/>
        <v>0</v>
      </c>
      <c r="AC631" s="185">
        <f t="shared" ca="1" si="2925"/>
        <v>0</v>
      </c>
      <c r="AD631" s="185">
        <f t="shared" ca="1" si="2925"/>
        <v>0</v>
      </c>
      <c r="AE631" s="185">
        <f t="shared" ca="1" si="2925"/>
        <v>0</v>
      </c>
      <c r="AF631" s="185">
        <f t="shared" ca="1" si="2925"/>
        <v>0</v>
      </c>
      <c r="AG631" s="185">
        <f t="shared" ca="1" si="2925"/>
        <v>0</v>
      </c>
      <c r="AH631" s="185">
        <f t="shared" ca="1" si="2925"/>
        <v>0</v>
      </c>
      <c r="AI631" s="185">
        <f t="shared" ca="1" si="2925"/>
        <v>0</v>
      </c>
      <c r="AJ631" s="185">
        <f t="shared" ca="1" si="2925"/>
        <v>0</v>
      </c>
      <c r="AK631" s="185">
        <f t="shared" ca="1" si="2925"/>
        <v>0</v>
      </c>
      <c r="AL631" s="185">
        <f t="shared" ca="1" si="2925"/>
        <v>0</v>
      </c>
      <c r="AM631" s="185">
        <f t="shared" ca="1" si="2925"/>
        <v>0</v>
      </c>
      <c r="AN631" s="185">
        <f t="shared" ca="1" si="2925"/>
        <v>0</v>
      </c>
      <c r="AO631" s="185">
        <f t="shared" ca="1" si="2925"/>
        <v>0</v>
      </c>
      <c r="AP631" s="185">
        <f t="shared" ca="1" si="2925"/>
        <v>0</v>
      </c>
      <c r="AQ631" s="185">
        <f t="shared" ca="1" si="2925"/>
        <v>0</v>
      </c>
      <c r="AR631" s="185">
        <f t="shared" ca="1" si="2925"/>
        <v>0</v>
      </c>
      <c r="AS631" s="185">
        <f t="shared" ca="1" si="2925"/>
        <v>0</v>
      </c>
      <c r="AT631" s="185">
        <f t="shared" ca="1" si="2925"/>
        <v>0</v>
      </c>
      <c r="AU631" s="185">
        <f t="shared" ca="1" si="2925"/>
        <v>0</v>
      </c>
      <c r="AV631" s="185">
        <f t="shared" ca="1" si="2925"/>
        <v>0</v>
      </c>
      <c r="AX631" s="160"/>
    </row>
    <row r="632" spans="1:50" s="94" customFormat="1" hidden="1" outlineLevel="1" x14ac:dyDescent="0.2">
      <c r="A632" s="179" t="str">
        <f ca="1">Language!A$804</f>
        <v>величина из стартового баланса</v>
      </c>
      <c r="B632" s="214">
        <f>Старт!B11</f>
        <v>474092</v>
      </c>
      <c r="C632" s="158" t="str">
        <f ca="1">CurName1</f>
        <v>тыс. руб.</v>
      </c>
      <c r="D632" s="114"/>
      <c r="E632" s="114"/>
      <c r="F632" s="57" t="s">
        <v>754</v>
      </c>
      <c r="G632" s="319">
        <f>IF(G$2=1,$B632,F632)</f>
        <v>474092</v>
      </c>
      <c r="H632" s="319">
        <f t="shared" ref="H632" si="2926">IF(H$2=1,$B632,G632)</f>
        <v>474092</v>
      </c>
      <c r="I632" s="319">
        <f t="shared" ref="I632" si="2927">IF(I$2=1,$B632,H632)</f>
        <v>474092</v>
      </c>
      <c r="J632" s="319">
        <f t="shared" ref="J632" si="2928">IF(J$2=1,$B632,I632)</f>
        <v>474092</v>
      </c>
      <c r="K632" s="319">
        <f t="shared" ref="K632:AV632" si="2929">IF(K$2=1,$B632,J632)</f>
        <v>474092</v>
      </c>
      <c r="L632" s="319">
        <f t="shared" si="2929"/>
        <v>474092</v>
      </c>
      <c r="M632" s="319">
        <f t="shared" si="2929"/>
        <v>474092</v>
      </c>
      <c r="N632" s="319">
        <f t="shared" si="2929"/>
        <v>474092</v>
      </c>
      <c r="O632" s="319">
        <f t="shared" si="2929"/>
        <v>474092</v>
      </c>
      <c r="P632" s="319">
        <f t="shared" si="2929"/>
        <v>474092</v>
      </c>
      <c r="Q632" s="319">
        <f t="shared" si="2929"/>
        <v>474092</v>
      </c>
      <c r="R632" s="319">
        <f t="shared" si="2929"/>
        <v>474092</v>
      </c>
      <c r="S632" s="319">
        <f t="shared" si="2929"/>
        <v>474092</v>
      </c>
      <c r="T632" s="319">
        <f t="shared" si="2929"/>
        <v>474092</v>
      </c>
      <c r="U632" s="319">
        <f t="shared" si="2929"/>
        <v>474092</v>
      </c>
      <c r="V632" s="319">
        <f t="shared" si="2929"/>
        <v>474092</v>
      </c>
      <c r="W632" s="319">
        <f t="shared" si="2929"/>
        <v>474092</v>
      </c>
      <c r="X632" s="319">
        <f t="shared" si="2929"/>
        <v>474092</v>
      </c>
      <c r="Y632" s="319">
        <f t="shared" si="2929"/>
        <v>474092</v>
      </c>
      <c r="Z632" s="319">
        <f t="shared" si="2929"/>
        <v>474092</v>
      </c>
      <c r="AA632" s="319">
        <f t="shared" si="2929"/>
        <v>474092</v>
      </c>
      <c r="AB632" s="319">
        <f t="shared" si="2929"/>
        <v>474092</v>
      </c>
      <c r="AC632" s="319">
        <f t="shared" si="2929"/>
        <v>474092</v>
      </c>
      <c r="AD632" s="319">
        <f t="shared" si="2929"/>
        <v>474092</v>
      </c>
      <c r="AE632" s="319">
        <f t="shared" si="2929"/>
        <v>474092</v>
      </c>
      <c r="AF632" s="319">
        <f t="shared" si="2929"/>
        <v>474092</v>
      </c>
      <c r="AG632" s="319">
        <f t="shared" si="2929"/>
        <v>474092</v>
      </c>
      <c r="AH632" s="319">
        <f t="shared" si="2929"/>
        <v>474092</v>
      </c>
      <c r="AI632" s="319">
        <f t="shared" si="2929"/>
        <v>474092</v>
      </c>
      <c r="AJ632" s="319">
        <f t="shared" si="2929"/>
        <v>474092</v>
      </c>
      <c r="AK632" s="319">
        <f t="shared" si="2929"/>
        <v>474092</v>
      </c>
      <c r="AL632" s="319">
        <f t="shared" si="2929"/>
        <v>474092</v>
      </c>
      <c r="AM632" s="319">
        <f t="shared" si="2929"/>
        <v>474092</v>
      </c>
      <c r="AN632" s="319">
        <f t="shared" si="2929"/>
        <v>474092</v>
      </c>
      <c r="AO632" s="319">
        <f t="shared" si="2929"/>
        <v>474092</v>
      </c>
      <c r="AP632" s="319">
        <f t="shared" si="2929"/>
        <v>474092</v>
      </c>
      <c r="AQ632" s="319">
        <f t="shared" si="2929"/>
        <v>474092</v>
      </c>
      <c r="AR632" s="319">
        <f t="shared" si="2929"/>
        <v>474092</v>
      </c>
      <c r="AS632" s="319">
        <f t="shared" si="2929"/>
        <v>474092</v>
      </c>
      <c r="AT632" s="319">
        <f t="shared" si="2929"/>
        <v>474092</v>
      </c>
      <c r="AU632" s="319">
        <f t="shared" si="2929"/>
        <v>474092</v>
      </c>
      <c r="AV632" s="319">
        <f t="shared" si="2929"/>
        <v>474092</v>
      </c>
      <c r="AX632" s="160"/>
    </row>
    <row r="633" spans="1:50" s="94" customFormat="1" hidden="1" outlineLevel="1" x14ac:dyDescent="0.2">
      <c r="A633" s="179" t="str">
        <f ca="1">Language!A$805</f>
        <v>влияние стартового баланса на денежные средства</v>
      </c>
      <c r="B633" s="179"/>
      <c r="C633" s="158" t="str">
        <f ca="1">CurName1</f>
        <v>тыс. руб.</v>
      </c>
      <c r="D633" s="114"/>
      <c r="E633" s="114"/>
      <c r="F633" s="57" t="s">
        <v>753</v>
      </c>
      <c r="G633" s="185">
        <f>IF(G$2=1,$B632-G632,F632-G632)</f>
        <v>0</v>
      </c>
      <c r="H633" s="185">
        <f t="shared" ref="H633" si="2930">IF(H$2=1,$B632-H632,G632-H632)</f>
        <v>0</v>
      </c>
      <c r="I633" s="185">
        <f t="shared" ref="I633" si="2931">IF(I$2=1,$B632-I632,H632-I632)</f>
        <v>0</v>
      </c>
      <c r="J633" s="185">
        <f t="shared" ref="J633" si="2932">IF(J$2=1,$B632-J632,I632-J632)</f>
        <v>0</v>
      </c>
      <c r="K633" s="185">
        <f t="shared" ref="K633:AV633" si="2933">IF(K$2=1,$B632-K632,J632-K632)</f>
        <v>0</v>
      </c>
      <c r="L633" s="185">
        <f t="shared" si="2933"/>
        <v>0</v>
      </c>
      <c r="M633" s="185">
        <f t="shared" si="2933"/>
        <v>0</v>
      </c>
      <c r="N633" s="185">
        <f t="shared" si="2933"/>
        <v>0</v>
      </c>
      <c r="O633" s="185">
        <f t="shared" si="2933"/>
        <v>0</v>
      </c>
      <c r="P633" s="185">
        <f t="shared" si="2933"/>
        <v>0</v>
      </c>
      <c r="Q633" s="185">
        <f t="shared" si="2933"/>
        <v>0</v>
      </c>
      <c r="R633" s="185">
        <f t="shared" si="2933"/>
        <v>0</v>
      </c>
      <c r="S633" s="185">
        <f t="shared" si="2933"/>
        <v>0</v>
      </c>
      <c r="T633" s="185">
        <f t="shared" si="2933"/>
        <v>0</v>
      </c>
      <c r="U633" s="185">
        <f t="shared" si="2933"/>
        <v>0</v>
      </c>
      <c r="V633" s="185">
        <f t="shared" si="2933"/>
        <v>0</v>
      </c>
      <c r="W633" s="185">
        <f t="shared" si="2933"/>
        <v>0</v>
      </c>
      <c r="X633" s="185">
        <f t="shared" si="2933"/>
        <v>0</v>
      </c>
      <c r="Y633" s="185">
        <f t="shared" si="2933"/>
        <v>0</v>
      </c>
      <c r="Z633" s="185">
        <f t="shared" si="2933"/>
        <v>0</v>
      </c>
      <c r="AA633" s="185">
        <f t="shared" si="2933"/>
        <v>0</v>
      </c>
      <c r="AB633" s="185">
        <f t="shared" si="2933"/>
        <v>0</v>
      </c>
      <c r="AC633" s="185">
        <f t="shared" si="2933"/>
        <v>0</v>
      </c>
      <c r="AD633" s="185">
        <f t="shared" si="2933"/>
        <v>0</v>
      </c>
      <c r="AE633" s="185">
        <f t="shared" si="2933"/>
        <v>0</v>
      </c>
      <c r="AF633" s="185">
        <f t="shared" si="2933"/>
        <v>0</v>
      </c>
      <c r="AG633" s="185">
        <f t="shared" si="2933"/>
        <v>0</v>
      </c>
      <c r="AH633" s="185">
        <f t="shared" si="2933"/>
        <v>0</v>
      </c>
      <c r="AI633" s="185">
        <f t="shared" si="2933"/>
        <v>0</v>
      </c>
      <c r="AJ633" s="185">
        <f t="shared" si="2933"/>
        <v>0</v>
      </c>
      <c r="AK633" s="185">
        <f t="shared" si="2933"/>
        <v>0</v>
      </c>
      <c r="AL633" s="185">
        <f t="shared" si="2933"/>
        <v>0</v>
      </c>
      <c r="AM633" s="185">
        <f t="shared" si="2933"/>
        <v>0</v>
      </c>
      <c r="AN633" s="185">
        <f t="shared" si="2933"/>
        <v>0</v>
      </c>
      <c r="AO633" s="185">
        <f t="shared" si="2933"/>
        <v>0</v>
      </c>
      <c r="AP633" s="185">
        <f t="shared" si="2933"/>
        <v>0</v>
      </c>
      <c r="AQ633" s="185">
        <f t="shared" si="2933"/>
        <v>0</v>
      </c>
      <c r="AR633" s="185">
        <f t="shared" si="2933"/>
        <v>0</v>
      </c>
      <c r="AS633" s="185">
        <f t="shared" si="2933"/>
        <v>0</v>
      </c>
      <c r="AT633" s="185">
        <f t="shared" si="2933"/>
        <v>0</v>
      </c>
      <c r="AU633" s="185">
        <f t="shared" si="2933"/>
        <v>0</v>
      </c>
      <c r="AV633" s="185">
        <f t="shared" si="2933"/>
        <v>0</v>
      </c>
      <c r="AX633" s="160"/>
    </row>
    <row r="634" spans="1:50" s="94" customFormat="1" x14ac:dyDescent="0.2">
      <c r="A634" s="65"/>
      <c r="B634" s="201"/>
      <c r="C634" s="162"/>
      <c r="D634" s="114"/>
      <c r="E634" s="114"/>
      <c r="F634" s="114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X634" s="160"/>
    </row>
    <row r="635" spans="1:50" x14ac:dyDescent="0.2">
      <c r="A635" s="65" t="str">
        <f ca="1">Language!A$806</f>
        <v>Незавершенное производство</v>
      </c>
      <c r="C635" s="152" t="str">
        <f ca="1">CurName1</f>
        <v>тыс. руб.</v>
      </c>
      <c r="F635" s="57" t="s">
        <v>754</v>
      </c>
      <c r="G635" s="138">
        <f ca="1">G637+G638</f>
        <v>0</v>
      </c>
      <c r="H635" s="138">
        <f t="shared" ref="H635:K635" ca="1" si="2934">H637+H638</f>
        <v>0</v>
      </c>
      <c r="I635" s="138">
        <f t="shared" ca="1" si="2934"/>
        <v>0</v>
      </c>
      <c r="J635" s="138">
        <f t="shared" ca="1" si="2934"/>
        <v>0</v>
      </c>
      <c r="K635" s="138">
        <f t="shared" ca="1" si="2934"/>
        <v>0</v>
      </c>
      <c r="L635" s="138">
        <f t="shared" ref="L635:M635" ca="1" si="2935">L637+L638</f>
        <v>0</v>
      </c>
      <c r="M635" s="138">
        <f t="shared" ca="1" si="2935"/>
        <v>0</v>
      </c>
      <c r="N635" s="138">
        <f t="shared" ref="N635:O635" ca="1" si="2936">N637+N638</f>
        <v>0</v>
      </c>
      <c r="O635" s="138">
        <f t="shared" ca="1" si="2936"/>
        <v>0</v>
      </c>
      <c r="P635" s="138">
        <f t="shared" ref="P635:Q635" ca="1" si="2937">P637+P638</f>
        <v>0</v>
      </c>
      <c r="Q635" s="138">
        <f t="shared" ca="1" si="2937"/>
        <v>0</v>
      </c>
      <c r="R635" s="138">
        <f t="shared" ref="R635:S635" ca="1" si="2938">R637+R638</f>
        <v>0</v>
      </c>
      <c r="S635" s="138">
        <f t="shared" ca="1" si="2938"/>
        <v>0</v>
      </c>
      <c r="T635" s="138">
        <f t="shared" ref="T635:U635" ca="1" si="2939">T637+T638</f>
        <v>0</v>
      </c>
      <c r="U635" s="138">
        <f t="shared" ca="1" si="2939"/>
        <v>0</v>
      </c>
      <c r="V635" s="138">
        <f t="shared" ref="V635:W635" ca="1" si="2940">V637+V638</f>
        <v>0</v>
      </c>
      <c r="W635" s="138">
        <f t="shared" ca="1" si="2940"/>
        <v>0</v>
      </c>
      <c r="X635" s="138">
        <f t="shared" ref="X635:Y635" ca="1" si="2941">X637+X638</f>
        <v>0</v>
      </c>
      <c r="Y635" s="138">
        <f t="shared" ca="1" si="2941"/>
        <v>0</v>
      </c>
      <c r="Z635" s="138">
        <f t="shared" ref="Z635:AA635" ca="1" si="2942">Z637+Z638</f>
        <v>0</v>
      </c>
      <c r="AA635" s="138">
        <f t="shared" ca="1" si="2942"/>
        <v>0</v>
      </c>
      <c r="AB635" s="138">
        <f t="shared" ref="AB635:AC635" ca="1" si="2943">AB637+AB638</f>
        <v>0</v>
      </c>
      <c r="AC635" s="138">
        <f t="shared" ca="1" si="2943"/>
        <v>0</v>
      </c>
      <c r="AD635" s="138">
        <f t="shared" ref="AD635:AE635" ca="1" si="2944">AD637+AD638</f>
        <v>0</v>
      </c>
      <c r="AE635" s="138">
        <f t="shared" ca="1" si="2944"/>
        <v>0</v>
      </c>
      <c r="AF635" s="138">
        <f t="shared" ref="AF635:AG635" ca="1" si="2945">AF637+AF638</f>
        <v>0</v>
      </c>
      <c r="AG635" s="138">
        <f t="shared" ca="1" si="2945"/>
        <v>0</v>
      </c>
      <c r="AH635" s="138">
        <f t="shared" ref="AH635:AI635" ca="1" si="2946">AH637+AH638</f>
        <v>0</v>
      </c>
      <c r="AI635" s="138">
        <f t="shared" ca="1" si="2946"/>
        <v>0</v>
      </c>
      <c r="AJ635" s="138">
        <f t="shared" ref="AJ635:AK635" ca="1" si="2947">AJ637+AJ638</f>
        <v>0</v>
      </c>
      <c r="AK635" s="138">
        <f t="shared" ca="1" si="2947"/>
        <v>0</v>
      </c>
      <c r="AL635" s="138">
        <f t="shared" ref="AL635:AM635" ca="1" si="2948">AL637+AL638</f>
        <v>0</v>
      </c>
      <c r="AM635" s="138">
        <f t="shared" ca="1" si="2948"/>
        <v>0</v>
      </c>
      <c r="AN635" s="138">
        <f t="shared" ref="AN635:AO635" ca="1" si="2949">AN637+AN638</f>
        <v>0</v>
      </c>
      <c r="AO635" s="138">
        <f t="shared" ca="1" si="2949"/>
        <v>0</v>
      </c>
      <c r="AP635" s="138">
        <f t="shared" ref="AP635:AQ635" ca="1" si="2950">AP637+AP638</f>
        <v>0</v>
      </c>
      <c r="AQ635" s="138">
        <f t="shared" ca="1" si="2950"/>
        <v>0</v>
      </c>
      <c r="AR635" s="138">
        <f t="shared" ref="AR635:AS635" ca="1" si="2951">AR637+AR638</f>
        <v>0</v>
      </c>
      <c r="AS635" s="138">
        <f t="shared" ca="1" si="2951"/>
        <v>0</v>
      </c>
      <c r="AT635" s="138">
        <f t="shared" ref="AT635:AU635" ca="1" si="2952">AT637+AT638</f>
        <v>0</v>
      </c>
      <c r="AU635" s="138">
        <f t="shared" ca="1" si="2952"/>
        <v>0</v>
      </c>
      <c r="AV635" s="138">
        <f t="shared" ref="AV635" ca="1" si="2953">AV637+AV638</f>
        <v>0</v>
      </c>
    </row>
    <row r="636" spans="1:50" collapsed="1" x14ac:dyDescent="0.2">
      <c r="A636" s="99" t="str">
        <f ca="1">Language!A$807</f>
        <v>средний период оборачиваемости</v>
      </c>
      <c r="B636" s="320">
        <v>0</v>
      </c>
      <c r="C636" s="152" t="str">
        <f ca="1">Language!$A$1446</f>
        <v>дней</v>
      </c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</row>
    <row r="637" spans="1:50" s="94" customFormat="1" hidden="1" outlineLevel="1" x14ac:dyDescent="0.2">
      <c r="A637" s="179" t="str">
        <f ca="1">Language!A$808</f>
        <v>величина из плана затрат</v>
      </c>
      <c r="B637" s="179"/>
      <c r="C637" s="158" t="str">
        <f ca="1">CurName1</f>
        <v>тыс. руб.</v>
      </c>
      <c r="D637" s="114"/>
      <c r="E637" s="114"/>
      <c r="F637" s="57" t="s">
        <v>754</v>
      </c>
      <c r="G637" s="185">
        <f t="shared" ref="G637:AV637" ca="1" si="2954">G456+G481+G489+G497+G577+G603+G590</f>
        <v>0</v>
      </c>
      <c r="H637" s="185">
        <f t="shared" ca="1" si="2954"/>
        <v>0</v>
      </c>
      <c r="I637" s="185">
        <f t="shared" ca="1" si="2954"/>
        <v>0</v>
      </c>
      <c r="J637" s="185">
        <f t="shared" ca="1" si="2954"/>
        <v>0</v>
      </c>
      <c r="K637" s="185">
        <f t="shared" ca="1" si="2954"/>
        <v>0</v>
      </c>
      <c r="L637" s="185">
        <f t="shared" ca="1" si="2954"/>
        <v>0</v>
      </c>
      <c r="M637" s="185">
        <f t="shared" ca="1" si="2954"/>
        <v>0</v>
      </c>
      <c r="N637" s="185">
        <f t="shared" ca="1" si="2954"/>
        <v>0</v>
      </c>
      <c r="O637" s="185">
        <f t="shared" ca="1" si="2954"/>
        <v>0</v>
      </c>
      <c r="P637" s="185">
        <f t="shared" ca="1" si="2954"/>
        <v>0</v>
      </c>
      <c r="Q637" s="185">
        <f t="shared" ca="1" si="2954"/>
        <v>0</v>
      </c>
      <c r="R637" s="185">
        <f t="shared" ca="1" si="2954"/>
        <v>0</v>
      </c>
      <c r="S637" s="185">
        <f t="shared" ca="1" si="2954"/>
        <v>0</v>
      </c>
      <c r="T637" s="185">
        <f t="shared" ca="1" si="2954"/>
        <v>0</v>
      </c>
      <c r="U637" s="185">
        <f t="shared" ca="1" si="2954"/>
        <v>0</v>
      </c>
      <c r="V637" s="185">
        <f t="shared" ca="1" si="2954"/>
        <v>0</v>
      </c>
      <c r="W637" s="185">
        <f t="shared" ca="1" si="2954"/>
        <v>0</v>
      </c>
      <c r="X637" s="185">
        <f t="shared" ca="1" si="2954"/>
        <v>0</v>
      </c>
      <c r="Y637" s="185">
        <f t="shared" ca="1" si="2954"/>
        <v>0</v>
      </c>
      <c r="Z637" s="185">
        <f t="shared" ca="1" si="2954"/>
        <v>0</v>
      </c>
      <c r="AA637" s="185">
        <f t="shared" ca="1" si="2954"/>
        <v>0</v>
      </c>
      <c r="AB637" s="185">
        <f t="shared" ca="1" si="2954"/>
        <v>0</v>
      </c>
      <c r="AC637" s="185">
        <f t="shared" ca="1" si="2954"/>
        <v>0</v>
      </c>
      <c r="AD637" s="185">
        <f t="shared" ca="1" si="2954"/>
        <v>0</v>
      </c>
      <c r="AE637" s="185">
        <f t="shared" ca="1" si="2954"/>
        <v>0</v>
      </c>
      <c r="AF637" s="185">
        <f t="shared" ca="1" si="2954"/>
        <v>0</v>
      </c>
      <c r="AG637" s="185">
        <f t="shared" ca="1" si="2954"/>
        <v>0</v>
      </c>
      <c r="AH637" s="185">
        <f t="shared" ca="1" si="2954"/>
        <v>0</v>
      </c>
      <c r="AI637" s="185">
        <f t="shared" ca="1" si="2954"/>
        <v>0</v>
      </c>
      <c r="AJ637" s="185">
        <f t="shared" ca="1" si="2954"/>
        <v>0</v>
      </c>
      <c r="AK637" s="185">
        <f t="shared" ca="1" si="2954"/>
        <v>0</v>
      </c>
      <c r="AL637" s="185">
        <f t="shared" ca="1" si="2954"/>
        <v>0</v>
      </c>
      <c r="AM637" s="185">
        <f t="shared" ca="1" si="2954"/>
        <v>0</v>
      </c>
      <c r="AN637" s="185">
        <f t="shared" ca="1" si="2954"/>
        <v>0</v>
      </c>
      <c r="AO637" s="185">
        <f t="shared" ca="1" si="2954"/>
        <v>0</v>
      </c>
      <c r="AP637" s="185">
        <f t="shared" ca="1" si="2954"/>
        <v>0</v>
      </c>
      <c r="AQ637" s="185">
        <f t="shared" ca="1" si="2954"/>
        <v>0</v>
      </c>
      <c r="AR637" s="185">
        <f t="shared" ca="1" si="2954"/>
        <v>0</v>
      </c>
      <c r="AS637" s="185">
        <f t="shared" ca="1" si="2954"/>
        <v>0</v>
      </c>
      <c r="AT637" s="185">
        <f t="shared" ca="1" si="2954"/>
        <v>0</v>
      </c>
      <c r="AU637" s="185">
        <f t="shared" ca="1" si="2954"/>
        <v>0</v>
      </c>
      <c r="AV637" s="185">
        <f t="shared" ca="1" si="2954"/>
        <v>0</v>
      </c>
      <c r="AX637" s="160"/>
    </row>
    <row r="638" spans="1:50" s="94" customFormat="1" hidden="1" outlineLevel="1" x14ac:dyDescent="0.2">
      <c r="A638" s="179" t="str">
        <f ca="1">Language!A$809</f>
        <v>величина из стартового баланса</v>
      </c>
      <c r="B638" s="214">
        <f>Старт!B10</f>
        <v>0</v>
      </c>
      <c r="C638" s="158" t="str">
        <f ca="1">CurName1</f>
        <v>тыс. руб.</v>
      </c>
      <c r="D638" s="114"/>
      <c r="E638" s="114"/>
      <c r="F638" s="57" t="s">
        <v>754</v>
      </c>
      <c r="G638" s="319">
        <f>IF(G$2=1,$B638,F638)</f>
        <v>0</v>
      </c>
      <c r="H638" s="319">
        <f t="shared" ref="H638" si="2955">IF(H$2=1,$B638,G638)</f>
        <v>0</v>
      </c>
      <c r="I638" s="319">
        <f t="shared" ref="I638" si="2956">IF(I$2=1,$B638,H638)</f>
        <v>0</v>
      </c>
      <c r="J638" s="319">
        <f t="shared" ref="J638" si="2957">IF(J$2=1,$B638,I638)</f>
        <v>0</v>
      </c>
      <c r="K638" s="319">
        <f t="shared" ref="K638:AV638" si="2958">IF(K$2=1,$B638,J638)</f>
        <v>0</v>
      </c>
      <c r="L638" s="319">
        <f t="shared" si="2958"/>
        <v>0</v>
      </c>
      <c r="M638" s="319">
        <f t="shared" si="2958"/>
        <v>0</v>
      </c>
      <c r="N638" s="319">
        <f t="shared" si="2958"/>
        <v>0</v>
      </c>
      <c r="O638" s="319">
        <f t="shared" si="2958"/>
        <v>0</v>
      </c>
      <c r="P638" s="319">
        <f t="shared" si="2958"/>
        <v>0</v>
      </c>
      <c r="Q638" s="319">
        <f t="shared" si="2958"/>
        <v>0</v>
      </c>
      <c r="R638" s="319">
        <f t="shared" si="2958"/>
        <v>0</v>
      </c>
      <c r="S638" s="319">
        <f t="shared" si="2958"/>
        <v>0</v>
      </c>
      <c r="T638" s="319">
        <f t="shared" si="2958"/>
        <v>0</v>
      </c>
      <c r="U638" s="319">
        <f t="shared" si="2958"/>
        <v>0</v>
      </c>
      <c r="V638" s="319">
        <f t="shared" si="2958"/>
        <v>0</v>
      </c>
      <c r="W638" s="319">
        <f t="shared" si="2958"/>
        <v>0</v>
      </c>
      <c r="X638" s="319">
        <f t="shared" si="2958"/>
        <v>0</v>
      </c>
      <c r="Y638" s="319">
        <f t="shared" si="2958"/>
        <v>0</v>
      </c>
      <c r="Z638" s="319">
        <f t="shared" si="2958"/>
        <v>0</v>
      </c>
      <c r="AA638" s="319">
        <f t="shared" si="2958"/>
        <v>0</v>
      </c>
      <c r="AB638" s="319">
        <f t="shared" si="2958"/>
        <v>0</v>
      </c>
      <c r="AC638" s="319">
        <f t="shared" si="2958"/>
        <v>0</v>
      </c>
      <c r="AD638" s="319">
        <f t="shared" si="2958"/>
        <v>0</v>
      </c>
      <c r="AE638" s="319">
        <f t="shared" si="2958"/>
        <v>0</v>
      </c>
      <c r="AF638" s="319">
        <f t="shared" si="2958"/>
        <v>0</v>
      </c>
      <c r="AG638" s="319">
        <f t="shared" si="2958"/>
        <v>0</v>
      </c>
      <c r="AH638" s="319">
        <f t="shared" si="2958"/>
        <v>0</v>
      </c>
      <c r="AI638" s="319">
        <f t="shared" si="2958"/>
        <v>0</v>
      </c>
      <c r="AJ638" s="319">
        <f t="shared" si="2958"/>
        <v>0</v>
      </c>
      <c r="AK638" s="319">
        <f t="shared" si="2958"/>
        <v>0</v>
      </c>
      <c r="AL638" s="319">
        <f t="shared" si="2958"/>
        <v>0</v>
      </c>
      <c r="AM638" s="319">
        <f t="shared" si="2958"/>
        <v>0</v>
      </c>
      <c r="AN638" s="319">
        <f t="shared" si="2958"/>
        <v>0</v>
      </c>
      <c r="AO638" s="319">
        <f t="shared" si="2958"/>
        <v>0</v>
      </c>
      <c r="AP638" s="319">
        <f t="shared" si="2958"/>
        <v>0</v>
      </c>
      <c r="AQ638" s="319">
        <f t="shared" si="2958"/>
        <v>0</v>
      </c>
      <c r="AR638" s="319">
        <f t="shared" si="2958"/>
        <v>0</v>
      </c>
      <c r="AS638" s="319">
        <f t="shared" si="2958"/>
        <v>0</v>
      </c>
      <c r="AT638" s="319">
        <f t="shared" si="2958"/>
        <v>0</v>
      </c>
      <c r="AU638" s="319">
        <f t="shared" si="2958"/>
        <v>0</v>
      </c>
      <c r="AV638" s="319">
        <f t="shared" si="2958"/>
        <v>0</v>
      </c>
      <c r="AX638" s="160"/>
    </row>
    <row r="639" spans="1:50" s="94" customFormat="1" hidden="1" outlineLevel="1" x14ac:dyDescent="0.2">
      <c r="A639" s="179" t="str">
        <f ca="1">Language!A$810</f>
        <v>влияние стартового баланса на денежные средства</v>
      </c>
      <c r="B639" s="179"/>
      <c r="C639" s="158" t="str">
        <f ca="1">CurName1</f>
        <v>тыс. руб.</v>
      </c>
      <c r="D639" s="114"/>
      <c r="E639" s="114"/>
      <c r="F639" s="57" t="s">
        <v>753</v>
      </c>
      <c r="G639" s="185">
        <f>IF(G$2=1,$B638-G638,F638-G638)</f>
        <v>0</v>
      </c>
      <c r="H639" s="185">
        <f t="shared" ref="H639" si="2959">IF(H$2=1,$B638-H638,G638-H638)</f>
        <v>0</v>
      </c>
      <c r="I639" s="185">
        <f t="shared" ref="I639" si="2960">IF(I$2=1,$B638-I638,H638-I638)</f>
        <v>0</v>
      </c>
      <c r="J639" s="185">
        <f t="shared" ref="J639" si="2961">IF(J$2=1,$B638-J638,I638-J638)</f>
        <v>0</v>
      </c>
      <c r="K639" s="185">
        <f t="shared" ref="K639:AV639" si="2962">IF(K$2=1,$B638-K638,J638-K638)</f>
        <v>0</v>
      </c>
      <c r="L639" s="185">
        <f t="shared" si="2962"/>
        <v>0</v>
      </c>
      <c r="M639" s="185">
        <f t="shared" si="2962"/>
        <v>0</v>
      </c>
      <c r="N639" s="185">
        <f t="shared" si="2962"/>
        <v>0</v>
      </c>
      <c r="O639" s="185">
        <f t="shared" si="2962"/>
        <v>0</v>
      </c>
      <c r="P639" s="185">
        <f t="shared" si="2962"/>
        <v>0</v>
      </c>
      <c r="Q639" s="185">
        <f t="shared" si="2962"/>
        <v>0</v>
      </c>
      <c r="R639" s="185">
        <f t="shared" si="2962"/>
        <v>0</v>
      </c>
      <c r="S639" s="185">
        <f t="shared" si="2962"/>
        <v>0</v>
      </c>
      <c r="T639" s="185">
        <f t="shared" si="2962"/>
        <v>0</v>
      </c>
      <c r="U639" s="185">
        <f t="shared" si="2962"/>
        <v>0</v>
      </c>
      <c r="V639" s="185">
        <f t="shared" si="2962"/>
        <v>0</v>
      </c>
      <c r="W639" s="185">
        <f t="shared" si="2962"/>
        <v>0</v>
      </c>
      <c r="X639" s="185">
        <f t="shared" si="2962"/>
        <v>0</v>
      </c>
      <c r="Y639" s="185">
        <f t="shared" si="2962"/>
        <v>0</v>
      </c>
      <c r="Z639" s="185">
        <f t="shared" si="2962"/>
        <v>0</v>
      </c>
      <c r="AA639" s="185">
        <f t="shared" si="2962"/>
        <v>0</v>
      </c>
      <c r="AB639" s="185">
        <f t="shared" si="2962"/>
        <v>0</v>
      </c>
      <c r="AC639" s="185">
        <f t="shared" si="2962"/>
        <v>0</v>
      </c>
      <c r="AD639" s="185">
        <f t="shared" si="2962"/>
        <v>0</v>
      </c>
      <c r="AE639" s="185">
        <f t="shared" si="2962"/>
        <v>0</v>
      </c>
      <c r="AF639" s="185">
        <f t="shared" si="2962"/>
        <v>0</v>
      </c>
      <c r="AG639" s="185">
        <f t="shared" si="2962"/>
        <v>0</v>
      </c>
      <c r="AH639" s="185">
        <f t="shared" si="2962"/>
        <v>0</v>
      </c>
      <c r="AI639" s="185">
        <f t="shared" si="2962"/>
        <v>0</v>
      </c>
      <c r="AJ639" s="185">
        <f t="shared" si="2962"/>
        <v>0</v>
      </c>
      <c r="AK639" s="185">
        <f t="shared" si="2962"/>
        <v>0</v>
      </c>
      <c r="AL639" s="185">
        <f t="shared" si="2962"/>
        <v>0</v>
      </c>
      <c r="AM639" s="185">
        <f t="shared" si="2962"/>
        <v>0</v>
      </c>
      <c r="AN639" s="185">
        <f t="shared" si="2962"/>
        <v>0</v>
      </c>
      <c r="AO639" s="185">
        <f t="shared" si="2962"/>
        <v>0</v>
      </c>
      <c r="AP639" s="185">
        <f t="shared" si="2962"/>
        <v>0</v>
      </c>
      <c r="AQ639" s="185">
        <f t="shared" si="2962"/>
        <v>0</v>
      </c>
      <c r="AR639" s="185">
        <f t="shared" si="2962"/>
        <v>0</v>
      </c>
      <c r="AS639" s="185">
        <f t="shared" si="2962"/>
        <v>0</v>
      </c>
      <c r="AT639" s="185">
        <f t="shared" si="2962"/>
        <v>0</v>
      </c>
      <c r="AU639" s="185">
        <f t="shared" si="2962"/>
        <v>0</v>
      </c>
      <c r="AV639" s="185">
        <f t="shared" si="2962"/>
        <v>0</v>
      </c>
      <c r="AX639" s="160"/>
    </row>
    <row r="640" spans="1:50" s="94" customFormat="1" x14ac:dyDescent="0.2">
      <c r="A640" s="65"/>
      <c r="B640" s="201"/>
      <c r="C640" s="162"/>
      <c r="D640" s="114"/>
      <c r="E640" s="114"/>
      <c r="F640" s="114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X640" s="160"/>
    </row>
    <row r="641" spans="1:50" x14ac:dyDescent="0.2">
      <c r="A641" s="65" t="str">
        <f ca="1">Language!A$811</f>
        <v>Запасы готовой продукции</v>
      </c>
      <c r="C641" s="152" t="str">
        <f ca="1">CurName1</f>
        <v>тыс. руб.</v>
      </c>
      <c r="F641" s="57" t="s">
        <v>754</v>
      </c>
      <c r="G641" s="138">
        <f ca="1">G643+G644</f>
        <v>0</v>
      </c>
      <c r="H641" s="138">
        <f t="shared" ref="H641:K641" ca="1" si="2963">H643+H644</f>
        <v>0</v>
      </c>
      <c r="I641" s="138">
        <f t="shared" ca="1" si="2963"/>
        <v>0</v>
      </c>
      <c r="J641" s="138">
        <f t="shared" ca="1" si="2963"/>
        <v>0</v>
      </c>
      <c r="K641" s="138">
        <f t="shared" ca="1" si="2963"/>
        <v>0</v>
      </c>
      <c r="L641" s="138">
        <f t="shared" ref="L641:M641" ca="1" si="2964">L643+L644</f>
        <v>0</v>
      </c>
      <c r="M641" s="138">
        <f t="shared" ca="1" si="2964"/>
        <v>0</v>
      </c>
      <c r="N641" s="138">
        <f t="shared" ref="N641:O641" ca="1" si="2965">N643+N644</f>
        <v>0</v>
      </c>
      <c r="O641" s="138">
        <f t="shared" ca="1" si="2965"/>
        <v>0</v>
      </c>
      <c r="P641" s="138">
        <f t="shared" ref="P641:Q641" ca="1" si="2966">P643+P644</f>
        <v>0</v>
      </c>
      <c r="Q641" s="138">
        <f t="shared" ca="1" si="2966"/>
        <v>0</v>
      </c>
      <c r="R641" s="138">
        <f t="shared" ref="R641:S641" ca="1" si="2967">R643+R644</f>
        <v>0</v>
      </c>
      <c r="S641" s="138">
        <f t="shared" ca="1" si="2967"/>
        <v>0</v>
      </c>
      <c r="T641" s="138">
        <f t="shared" ref="T641:U641" ca="1" si="2968">T643+T644</f>
        <v>0</v>
      </c>
      <c r="U641" s="138">
        <f t="shared" ca="1" si="2968"/>
        <v>0</v>
      </c>
      <c r="V641" s="138">
        <f t="shared" ref="V641:W641" ca="1" si="2969">V643+V644</f>
        <v>0</v>
      </c>
      <c r="W641" s="138">
        <f t="shared" ca="1" si="2969"/>
        <v>0</v>
      </c>
      <c r="X641" s="138">
        <f t="shared" ref="X641:Y641" ca="1" si="2970">X643+X644</f>
        <v>0</v>
      </c>
      <c r="Y641" s="138">
        <f t="shared" ca="1" si="2970"/>
        <v>0</v>
      </c>
      <c r="Z641" s="138">
        <f t="shared" ref="Z641:AA641" ca="1" si="2971">Z643+Z644</f>
        <v>0</v>
      </c>
      <c r="AA641" s="138">
        <f t="shared" ca="1" si="2971"/>
        <v>0</v>
      </c>
      <c r="AB641" s="138">
        <f t="shared" ref="AB641:AC641" ca="1" si="2972">AB643+AB644</f>
        <v>0</v>
      </c>
      <c r="AC641" s="138">
        <f t="shared" ca="1" si="2972"/>
        <v>0</v>
      </c>
      <c r="AD641" s="138">
        <f t="shared" ref="AD641:AE641" ca="1" si="2973">AD643+AD644</f>
        <v>0</v>
      </c>
      <c r="AE641" s="138">
        <f t="shared" ca="1" si="2973"/>
        <v>0</v>
      </c>
      <c r="AF641" s="138">
        <f t="shared" ref="AF641:AG641" ca="1" si="2974">AF643+AF644</f>
        <v>0</v>
      </c>
      <c r="AG641" s="138">
        <f t="shared" ca="1" si="2974"/>
        <v>0</v>
      </c>
      <c r="AH641" s="138">
        <f t="shared" ref="AH641:AI641" ca="1" si="2975">AH643+AH644</f>
        <v>0</v>
      </c>
      <c r="AI641" s="138">
        <f t="shared" ca="1" si="2975"/>
        <v>0</v>
      </c>
      <c r="AJ641" s="138">
        <f t="shared" ref="AJ641:AK641" ca="1" si="2976">AJ643+AJ644</f>
        <v>0</v>
      </c>
      <c r="AK641" s="138">
        <f t="shared" ca="1" si="2976"/>
        <v>0</v>
      </c>
      <c r="AL641" s="138">
        <f t="shared" ref="AL641:AM641" ca="1" si="2977">AL643+AL644</f>
        <v>0</v>
      </c>
      <c r="AM641" s="138">
        <f t="shared" ca="1" si="2977"/>
        <v>0</v>
      </c>
      <c r="AN641" s="138">
        <f t="shared" ref="AN641:AO641" ca="1" si="2978">AN643+AN644</f>
        <v>0</v>
      </c>
      <c r="AO641" s="138">
        <f t="shared" ca="1" si="2978"/>
        <v>0</v>
      </c>
      <c r="AP641" s="138">
        <f t="shared" ref="AP641:AQ641" ca="1" si="2979">AP643+AP644</f>
        <v>0</v>
      </c>
      <c r="AQ641" s="138">
        <f t="shared" ca="1" si="2979"/>
        <v>0</v>
      </c>
      <c r="AR641" s="138">
        <f t="shared" ref="AR641:AS641" ca="1" si="2980">AR643+AR644</f>
        <v>0</v>
      </c>
      <c r="AS641" s="138">
        <f t="shared" ca="1" si="2980"/>
        <v>0</v>
      </c>
      <c r="AT641" s="138">
        <f t="shared" ref="AT641:AU641" ca="1" si="2981">AT643+AT644</f>
        <v>0</v>
      </c>
      <c r="AU641" s="138">
        <f t="shared" ca="1" si="2981"/>
        <v>0</v>
      </c>
      <c r="AV641" s="138">
        <f t="shared" ref="AV641" ca="1" si="2982">AV643+AV644</f>
        <v>0</v>
      </c>
    </row>
    <row r="642" spans="1:50" collapsed="1" x14ac:dyDescent="0.2">
      <c r="A642" s="99" t="str">
        <f ca="1">Language!A$812</f>
        <v>средний период оборачиваемости</v>
      </c>
      <c r="B642" s="320">
        <v>0</v>
      </c>
      <c r="C642" s="152" t="str">
        <f ca="1">Language!$A$1446</f>
        <v>дней</v>
      </c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</row>
    <row r="643" spans="1:50" s="94" customFormat="1" hidden="1" outlineLevel="1" x14ac:dyDescent="0.2">
      <c r="A643" s="179" t="str">
        <f ca="1">Language!A$813</f>
        <v>величина из плана затрат</v>
      </c>
      <c r="B643" s="179"/>
      <c r="C643" s="158" t="str">
        <f ca="1">CurName1</f>
        <v>тыс. руб.</v>
      </c>
      <c r="D643" s="114"/>
      <c r="E643" s="114"/>
      <c r="F643" s="57" t="s">
        <v>754</v>
      </c>
      <c r="G643" s="185">
        <f t="shared" ref="G643:AV643" ca="1" si="2983">G457+G479+G487+G495+G575+G601+G588</f>
        <v>0</v>
      </c>
      <c r="H643" s="185">
        <f t="shared" ca="1" si="2983"/>
        <v>0</v>
      </c>
      <c r="I643" s="185">
        <f t="shared" ca="1" si="2983"/>
        <v>0</v>
      </c>
      <c r="J643" s="185">
        <f t="shared" ca="1" si="2983"/>
        <v>0</v>
      </c>
      <c r="K643" s="185">
        <f t="shared" ca="1" si="2983"/>
        <v>0</v>
      </c>
      <c r="L643" s="185">
        <f t="shared" ca="1" si="2983"/>
        <v>0</v>
      </c>
      <c r="M643" s="185">
        <f t="shared" ca="1" si="2983"/>
        <v>0</v>
      </c>
      <c r="N643" s="185">
        <f t="shared" ca="1" si="2983"/>
        <v>0</v>
      </c>
      <c r="O643" s="185">
        <f t="shared" ca="1" si="2983"/>
        <v>0</v>
      </c>
      <c r="P643" s="185">
        <f t="shared" ca="1" si="2983"/>
        <v>0</v>
      </c>
      <c r="Q643" s="185">
        <f t="shared" ca="1" si="2983"/>
        <v>0</v>
      </c>
      <c r="R643" s="185">
        <f t="shared" ca="1" si="2983"/>
        <v>0</v>
      </c>
      <c r="S643" s="185">
        <f t="shared" ca="1" si="2983"/>
        <v>0</v>
      </c>
      <c r="T643" s="185">
        <f t="shared" ca="1" si="2983"/>
        <v>0</v>
      </c>
      <c r="U643" s="185">
        <f t="shared" ca="1" si="2983"/>
        <v>0</v>
      </c>
      <c r="V643" s="185">
        <f t="shared" ca="1" si="2983"/>
        <v>0</v>
      </c>
      <c r="W643" s="185">
        <f t="shared" ca="1" si="2983"/>
        <v>0</v>
      </c>
      <c r="X643" s="185">
        <f t="shared" ca="1" si="2983"/>
        <v>0</v>
      </c>
      <c r="Y643" s="185">
        <f t="shared" ca="1" si="2983"/>
        <v>0</v>
      </c>
      <c r="Z643" s="185">
        <f t="shared" ca="1" si="2983"/>
        <v>0</v>
      </c>
      <c r="AA643" s="185">
        <f t="shared" ca="1" si="2983"/>
        <v>0</v>
      </c>
      <c r="AB643" s="185">
        <f t="shared" ca="1" si="2983"/>
        <v>0</v>
      </c>
      <c r="AC643" s="185">
        <f t="shared" ca="1" si="2983"/>
        <v>0</v>
      </c>
      <c r="AD643" s="185">
        <f t="shared" ca="1" si="2983"/>
        <v>0</v>
      </c>
      <c r="AE643" s="185">
        <f t="shared" ca="1" si="2983"/>
        <v>0</v>
      </c>
      <c r="AF643" s="185">
        <f t="shared" ca="1" si="2983"/>
        <v>0</v>
      </c>
      <c r="AG643" s="185">
        <f t="shared" ca="1" si="2983"/>
        <v>0</v>
      </c>
      <c r="AH643" s="185">
        <f t="shared" ca="1" si="2983"/>
        <v>0</v>
      </c>
      <c r="AI643" s="185">
        <f t="shared" ca="1" si="2983"/>
        <v>0</v>
      </c>
      <c r="AJ643" s="185">
        <f t="shared" ca="1" si="2983"/>
        <v>0</v>
      </c>
      <c r="AK643" s="185">
        <f t="shared" ca="1" si="2983"/>
        <v>0</v>
      </c>
      <c r="AL643" s="185">
        <f t="shared" ca="1" si="2983"/>
        <v>0</v>
      </c>
      <c r="AM643" s="185">
        <f t="shared" ca="1" si="2983"/>
        <v>0</v>
      </c>
      <c r="AN643" s="185">
        <f t="shared" ca="1" si="2983"/>
        <v>0</v>
      </c>
      <c r="AO643" s="185">
        <f t="shared" ca="1" si="2983"/>
        <v>0</v>
      </c>
      <c r="AP643" s="185">
        <f t="shared" ca="1" si="2983"/>
        <v>0</v>
      </c>
      <c r="AQ643" s="185">
        <f t="shared" ca="1" si="2983"/>
        <v>0</v>
      </c>
      <c r="AR643" s="185">
        <f t="shared" ca="1" si="2983"/>
        <v>0</v>
      </c>
      <c r="AS643" s="185">
        <f t="shared" ca="1" si="2983"/>
        <v>0</v>
      </c>
      <c r="AT643" s="185">
        <f t="shared" ca="1" si="2983"/>
        <v>0</v>
      </c>
      <c r="AU643" s="185">
        <f t="shared" ca="1" si="2983"/>
        <v>0</v>
      </c>
      <c r="AV643" s="185">
        <f t="shared" ca="1" si="2983"/>
        <v>0</v>
      </c>
      <c r="AX643" s="160"/>
    </row>
    <row r="644" spans="1:50" s="94" customFormat="1" hidden="1" outlineLevel="1" x14ac:dyDescent="0.2">
      <c r="A644" s="179" t="str">
        <f ca="1">Language!A$814</f>
        <v>величина из стартового баланса</v>
      </c>
      <c r="B644" s="214">
        <f>Старт!B9</f>
        <v>0</v>
      </c>
      <c r="C644" s="158" t="str">
        <f ca="1">CurName1</f>
        <v>тыс. руб.</v>
      </c>
      <c r="D644" s="114"/>
      <c r="E644" s="114"/>
      <c r="F644" s="57" t="s">
        <v>754</v>
      </c>
      <c r="G644" s="319">
        <f>IF(G$2=1,$B644,F644)</f>
        <v>0</v>
      </c>
      <c r="H644" s="319">
        <f t="shared" ref="H644" si="2984">IF(H$2=1,$B644,G644)</f>
        <v>0</v>
      </c>
      <c r="I644" s="319">
        <f t="shared" ref="I644" si="2985">IF(I$2=1,$B644,H644)</f>
        <v>0</v>
      </c>
      <c r="J644" s="319">
        <f t="shared" ref="J644" si="2986">IF(J$2=1,$B644,I644)</f>
        <v>0</v>
      </c>
      <c r="K644" s="319">
        <f t="shared" ref="K644:AV644" si="2987">IF(K$2=1,$B644,J644)</f>
        <v>0</v>
      </c>
      <c r="L644" s="319">
        <f t="shared" si="2987"/>
        <v>0</v>
      </c>
      <c r="M644" s="319">
        <f t="shared" si="2987"/>
        <v>0</v>
      </c>
      <c r="N644" s="319">
        <f t="shared" si="2987"/>
        <v>0</v>
      </c>
      <c r="O644" s="319">
        <f t="shared" si="2987"/>
        <v>0</v>
      </c>
      <c r="P644" s="319">
        <f t="shared" si="2987"/>
        <v>0</v>
      </c>
      <c r="Q644" s="319">
        <f t="shared" si="2987"/>
        <v>0</v>
      </c>
      <c r="R644" s="319">
        <f t="shared" si="2987"/>
        <v>0</v>
      </c>
      <c r="S644" s="319">
        <f t="shared" si="2987"/>
        <v>0</v>
      </c>
      <c r="T644" s="319">
        <f t="shared" si="2987"/>
        <v>0</v>
      </c>
      <c r="U644" s="319">
        <f t="shared" si="2987"/>
        <v>0</v>
      </c>
      <c r="V644" s="319">
        <f t="shared" si="2987"/>
        <v>0</v>
      </c>
      <c r="W644" s="319">
        <f t="shared" si="2987"/>
        <v>0</v>
      </c>
      <c r="X644" s="319">
        <f t="shared" si="2987"/>
        <v>0</v>
      </c>
      <c r="Y644" s="319">
        <f t="shared" si="2987"/>
        <v>0</v>
      </c>
      <c r="Z644" s="319">
        <f t="shared" si="2987"/>
        <v>0</v>
      </c>
      <c r="AA644" s="319">
        <f t="shared" si="2987"/>
        <v>0</v>
      </c>
      <c r="AB644" s="319">
        <f t="shared" si="2987"/>
        <v>0</v>
      </c>
      <c r="AC644" s="319">
        <f t="shared" si="2987"/>
        <v>0</v>
      </c>
      <c r="AD644" s="319">
        <f t="shared" si="2987"/>
        <v>0</v>
      </c>
      <c r="AE644" s="319">
        <f t="shared" si="2987"/>
        <v>0</v>
      </c>
      <c r="AF644" s="319">
        <f t="shared" si="2987"/>
        <v>0</v>
      </c>
      <c r="AG644" s="319">
        <f t="shared" si="2987"/>
        <v>0</v>
      </c>
      <c r="AH644" s="319">
        <f t="shared" si="2987"/>
        <v>0</v>
      </c>
      <c r="AI644" s="319">
        <f t="shared" si="2987"/>
        <v>0</v>
      </c>
      <c r="AJ644" s="319">
        <f t="shared" si="2987"/>
        <v>0</v>
      </c>
      <c r="AK644" s="319">
        <f t="shared" si="2987"/>
        <v>0</v>
      </c>
      <c r="AL644" s="319">
        <f t="shared" si="2987"/>
        <v>0</v>
      </c>
      <c r="AM644" s="319">
        <f t="shared" si="2987"/>
        <v>0</v>
      </c>
      <c r="AN644" s="319">
        <f t="shared" si="2987"/>
        <v>0</v>
      </c>
      <c r="AO644" s="319">
        <f t="shared" si="2987"/>
        <v>0</v>
      </c>
      <c r="AP644" s="319">
        <f t="shared" si="2987"/>
        <v>0</v>
      </c>
      <c r="AQ644" s="319">
        <f t="shared" si="2987"/>
        <v>0</v>
      </c>
      <c r="AR644" s="319">
        <f t="shared" si="2987"/>
        <v>0</v>
      </c>
      <c r="AS644" s="319">
        <f t="shared" si="2987"/>
        <v>0</v>
      </c>
      <c r="AT644" s="319">
        <f t="shared" si="2987"/>
        <v>0</v>
      </c>
      <c r="AU644" s="319">
        <f t="shared" si="2987"/>
        <v>0</v>
      </c>
      <c r="AV644" s="319">
        <f t="shared" si="2987"/>
        <v>0</v>
      </c>
      <c r="AX644" s="160"/>
    </row>
    <row r="645" spans="1:50" s="94" customFormat="1" hidden="1" outlineLevel="1" x14ac:dyDescent="0.2">
      <c r="A645" s="179" t="str">
        <f ca="1">Language!A$815</f>
        <v>влияние стартового баланса на денежные средства</v>
      </c>
      <c r="B645" s="179"/>
      <c r="C645" s="158" t="str">
        <f ca="1">CurName1</f>
        <v>тыс. руб.</v>
      </c>
      <c r="D645" s="114"/>
      <c r="E645" s="114"/>
      <c r="F645" s="57" t="s">
        <v>753</v>
      </c>
      <c r="G645" s="185">
        <f>IF(G$2=1,$B644-G644,F644-G644)</f>
        <v>0</v>
      </c>
      <c r="H645" s="185">
        <f t="shared" ref="H645" si="2988">IF(H$2=1,$B644-H644,G644-H644)</f>
        <v>0</v>
      </c>
      <c r="I645" s="185">
        <f t="shared" ref="I645" si="2989">IF(I$2=1,$B644-I644,H644-I644)</f>
        <v>0</v>
      </c>
      <c r="J645" s="185">
        <f t="shared" ref="J645" si="2990">IF(J$2=1,$B644-J644,I644-J644)</f>
        <v>0</v>
      </c>
      <c r="K645" s="185">
        <f t="shared" ref="K645:AV645" si="2991">IF(K$2=1,$B644-K644,J644-K644)</f>
        <v>0</v>
      </c>
      <c r="L645" s="185">
        <f t="shared" si="2991"/>
        <v>0</v>
      </c>
      <c r="M645" s="185">
        <f t="shared" si="2991"/>
        <v>0</v>
      </c>
      <c r="N645" s="185">
        <f t="shared" si="2991"/>
        <v>0</v>
      </c>
      <c r="O645" s="185">
        <f t="shared" si="2991"/>
        <v>0</v>
      </c>
      <c r="P645" s="185">
        <f t="shared" si="2991"/>
        <v>0</v>
      </c>
      <c r="Q645" s="185">
        <f t="shared" si="2991"/>
        <v>0</v>
      </c>
      <c r="R645" s="185">
        <f t="shared" si="2991"/>
        <v>0</v>
      </c>
      <c r="S645" s="185">
        <f t="shared" si="2991"/>
        <v>0</v>
      </c>
      <c r="T645" s="185">
        <f t="shared" si="2991"/>
        <v>0</v>
      </c>
      <c r="U645" s="185">
        <f t="shared" si="2991"/>
        <v>0</v>
      </c>
      <c r="V645" s="185">
        <f t="shared" si="2991"/>
        <v>0</v>
      </c>
      <c r="W645" s="185">
        <f t="shared" si="2991"/>
        <v>0</v>
      </c>
      <c r="X645" s="185">
        <f t="shared" si="2991"/>
        <v>0</v>
      </c>
      <c r="Y645" s="185">
        <f t="shared" si="2991"/>
        <v>0</v>
      </c>
      <c r="Z645" s="185">
        <f t="shared" si="2991"/>
        <v>0</v>
      </c>
      <c r="AA645" s="185">
        <f t="shared" si="2991"/>
        <v>0</v>
      </c>
      <c r="AB645" s="185">
        <f t="shared" si="2991"/>
        <v>0</v>
      </c>
      <c r="AC645" s="185">
        <f t="shared" si="2991"/>
        <v>0</v>
      </c>
      <c r="AD645" s="185">
        <f t="shared" si="2991"/>
        <v>0</v>
      </c>
      <c r="AE645" s="185">
        <f t="shared" si="2991"/>
        <v>0</v>
      </c>
      <c r="AF645" s="185">
        <f t="shared" si="2991"/>
        <v>0</v>
      </c>
      <c r="AG645" s="185">
        <f t="shared" si="2991"/>
        <v>0</v>
      </c>
      <c r="AH645" s="185">
        <f t="shared" si="2991"/>
        <v>0</v>
      </c>
      <c r="AI645" s="185">
        <f t="shared" si="2991"/>
        <v>0</v>
      </c>
      <c r="AJ645" s="185">
        <f t="shared" si="2991"/>
        <v>0</v>
      </c>
      <c r="AK645" s="185">
        <f t="shared" si="2991"/>
        <v>0</v>
      </c>
      <c r="AL645" s="185">
        <f t="shared" si="2991"/>
        <v>0</v>
      </c>
      <c r="AM645" s="185">
        <f t="shared" si="2991"/>
        <v>0</v>
      </c>
      <c r="AN645" s="185">
        <f t="shared" si="2991"/>
        <v>0</v>
      </c>
      <c r="AO645" s="185">
        <f t="shared" si="2991"/>
        <v>0</v>
      </c>
      <c r="AP645" s="185">
        <f t="shared" si="2991"/>
        <v>0</v>
      </c>
      <c r="AQ645" s="185">
        <f t="shared" si="2991"/>
        <v>0</v>
      </c>
      <c r="AR645" s="185">
        <f t="shared" si="2991"/>
        <v>0</v>
      </c>
      <c r="AS645" s="185">
        <f t="shared" si="2991"/>
        <v>0</v>
      </c>
      <c r="AT645" s="185">
        <f t="shared" si="2991"/>
        <v>0</v>
      </c>
      <c r="AU645" s="185">
        <f t="shared" si="2991"/>
        <v>0</v>
      </c>
      <c r="AV645" s="185">
        <f t="shared" si="2991"/>
        <v>0</v>
      </c>
      <c r="AX645" s="160"/>
    </row>
    <row r="646" spans="1:50" x14ac:dyDescent="0.2">
      <c r="A646" s="65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</row>
    <row r="647" spans="1:50" x14ac:dyDescent="0.2">
      <c r="A647" s="65" t="str">
        <f ca="1">Language!A$816</f>
        <v>Кредиторская задолженность перед поставщиками</v>
      </c>
      <c r="C647" s="152" t="str">
        <f ca="1">CurName1</f>
        <v>тыс. руб.</v>
      </c>
      <c r="F647" s="57" t="s">
        <v>754</v>
      </c>
      <c r="G647" s="138">
        <f ca="1">G649+G650</f>
        <v>60339</v>
      </c>
      <c r="H647" s="138">
        <f t="shared" ref="H647:K647" ca="1" si="2992">H649+H650</f>
        <v>60339</v>
      </c>
      <c r="I647" s="138">
        <f t="shared" ca="1" si="2992"/>
        <v>60339</v>
      </c>
      <c r="J647" s="138">
        <f t="shared" ca="1" si="2992"/>
        <v>60339</v>
      </c>
      <c r="K647" s="138">
        <f t="shared" ca="1" si="2992"/>
        <v>60339</v>
      </c>
      <c r="L647" s="138">
        <f t="shared" ref="L647:M647" ca="1" si="2993">L649+L650</f>
        <v>60339</v>
      </c>
      <c r="M647" s="138">
        <f t="shared" ca="1" si="2993"/>
        <v>60339</v>
      </c>
      <c r="N647" s="138">
        <f t="shared" ref="N647:O647" ca="1" si="2994">N649+N650</f>
        <v>60339</v>
      </c>
      <c r="O647" s="138">
        <f t="shared" ca="1" si="2994"/>
        <v>60339</v>
      </c>
      <c r="P647" s="138">
        <f t="shared" ref="P647:Q647" ca="1" si="2995">P649+P650</f>
        <v>60339</v>
      </c>
      <c r="Q647" s="138">
        <f t="shared" ca="1" si="2995"/>
        <v>60339</v>
      </c>
      <c r="R647" s="138">
        <f t="shared" ref="R647:S647" ca="1" si="2996">R649+R650</f>
        <v>60339</v>
      </c>
      <c r="S647" s="138">
        <f t="shared" ca="1" si="2996"/>
        <v>60339</v>
      </c>
      <c r="T647" s="138">
        <f t="shared" ref="T647:U647" ca="1" si="2997">T649+T650</f>
        <v>60339</v>
      </c>
      <c r="U647" s="138">
        <f t="shared" ca="1" si="2997"/>
        <v>60339</v>
      </c>
      <c r="V647" s="138">
        <f t="shared" ref="V647:W647" ca="1" si="2998">V649+V650</f>
        <v>60339</v>
      </c>
      <c r="W647" s="138">
        <f t="shared" ca="1" si="2998"/>
        <v>60339</v>
      </c>
      <c r="X647" s="138">
        <f t="shared" ref="X647:Y647" ca="1" si="2999">X649+X650</f>
        <v>60339</v>
      </c>
      <c r="Y647" s="138">
        <f t="shared" ca="1" si="2999"/>
        <v>60339</v>
      </c>
      <c r="Z647" s="138">
        <f t="shared" ref="Z647:AA647" ca="1" si="3000">Z649+Z650</f>
        <v>60339</v>
      </c>
      <c r="AA647" s="138">
        <f t="shared" ca="1" si="3000"/>
        <v>60339</v>
      </c>
      <c r="AB647" s="138">
        <f t="shared" ref="AB647:AC647" ca="1" si="3001">AB649+AB650</f>
        <v>60339</v>
      </c>
      <c r="AC647" s="138">
        <f t="shared" ca="1" si="3001"/>
        <v>60339</v>
      </c>
      <c r="AD647" s="138">
        <f t="shared" ref="AD647:AE647" ca="1" si="3002">AD649+AD650</f>
        <v>60339</v>
      </c>
      <c r="AE647" s="138">
        <f t="shared" ca="1" si="3002"/>
        <v>60339</v>
      </c>
      <c r="AF647" s="138">
        <f t="shared" ref="AF647:AG647" ca="1" si="3003">AF649+AF650</f>
        <v>60339</v>
      </c>
      <c r="AG647" s="138">
        <f t="shared" ca="1" si="3003"/>
        <v>60339</v>
      </c>
      <c r="AH647" s="138">
        <f t="shared" ref="AH647:AI647" ca="1" si="3004">AH649+AH650</f>
        <v>60339</v>
      </c>
      <c r="AI647" s="138">
        <f t="shared" ca="1" si="3004"/>
        <v>60339</v>
      </c>
      <c r="AJ647" s="138">
        <f t="shared" ref="AJ647:AK647" ca="1" si="3005">AJ649+AJ650</f>
        <v>60339</v>
      </c>
      <c r="AK647" s="138">
        <f t="shared" ca="1" si="3005"/>
        <v>60339</v>
      </c>
      <c r="AL647" s="138">
        <f t="shared" ref="AL647:AM647" ca="1" si="3006">AL649+AL650</f>
        <v>60339</v>
      </c>
      <c r="AM647" s="138">
        <f t="shared" ca="1" si="3006"/>
        <v>60339</v>
      </c>
      <c r="AN647" s="138">
        <f t="shared" ref="AN647:AO647" ca="1" si="3007">AN649+AN650</f>
        <v>60339</v>
      </c>
      <c r="AO647" s="138">
        <f t="shared" ca="1" si="3007"/>
        <v>60339</v>
      </c>
      <c r="AP647" s="138">
        <f t="shared" ref="AP647:AQ647" ca="1" si="3008">AP649+AP650</f>
        <v>60339</v>
      </c>
      <c r="AQ647" s="138">
        <f t="shared" ca="1" si="3008"/>
        <v>60339</v>
      </c>
      <c r="AR647" s="138">
        <f t="shared" ref="AR647:AS647" ca="1" si="3009">AR649+AR650</f>
        <v>60339</v>
      </c>
      <c r="AS647" s="138">
        <f t="shared" ca="1" si="3009"/>
        <v>60339</v>
      </c>
      <c r="AT647" s="138">
        <f t="shared" ref="AT647:AU647" ca="1" si="3010">AT649+AT650</f>
        <v>60339</v>
      </c>
      <c r="AU647" s="138">
        <f t="shared" ca="1" si="3010"/>
        <v>60339</v>
      </c>
      <c r="AV647" s="138">
        <f t="shared" ref="AV647" ca="1" si="3011">AV649+AV650</f>
        <v>60339</v>
      </c>
    </row>
    <row r="648" spans="1:50" collapsed="1" x14ac:dyDescent="0.2">
      <c r="A648" s="99" t="str">
        <f ca="1">Language!A$817</f>
        <v>средний период отсрочки платежа</v>
      </c>
      <c r="B648" s="320">
        <v>0</v>
      </c>
      <c r="C648" s="152" t="str">
        <f ca="1">Language!$A$1446</f>
        <v>дней</v>
      </c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</row>
    <row r="649" spans="1:50" s="94" customFormat="1" hidden="1" outlineLevel="1" x14ac:dyDescent="0.2">
      <c r="A649" s="179" t="str">
        <f ca="1">Language!A$818</f>
        <v>величина из плана затрат</v>
      </c>
      <c r="B649" s="179"/>
      <c r="C649" s="158" t="str">
        <f ca="1">CurName1</f>
        <v>тыс. руб.</v>
      </c>
      <c r="D649" s="114"/>
      <c r="E649" s="114"/>
      <c r="F649" s="57" t="s">
        <v>754</v>
      </c>
      <c r="G649" s="185">
        <f t="shared" ref="G649:AV649" ca="1" si="3012">G458+G580+G606+G593</f>
        <v>0</v>
      </c>
      <c r="H649" s="185">
        <f t="shared" ca="1" si="3012"/>
        <v>0</v>
      </c>
      <c r="I649" s="185">
        <f t="shared" ca="1" si="3012"/>
        <v>0</v>
      </c>
      <c r="J649" s="185">
        <f t="shared" ca="1" si="3012"/>
        <v>0</v>
      </c>
      <c r="K649" s="185">
        <f t="shared" ca="1" si="3012"/>
        <v>0</v>
      </c>
      <c r="L649" s="185">
        <f t="shared" ca="1" si="3012"/>
        <v>0</v>
      </c>
      <c r="M649" s="185">
        <f t="shared" ca="1" si="3012"/>
        <v>0</v>
      </c>
      <c r="N649" s="185">
        <f t="shared" ca="1" si="3012"/>
        <v>0</v>
      </c>
      <c r="O649" s="185">
        <f t="shared" ca="1" si="3012"/>
        <v>0</v>
      </c>
      <c r="P649" s="185">
        <f t="shared" ca="1" si="3012"/>
        <v>0</v>
      </c>
      <c r="Q649" s="185">
        <f t="shared" ca="1" si="3012"/>
        <v>0</v>
      </c>
      <c r="R649" s="185">
        <f t="shared" ca="1" si="3012"/>
        <v>0</v>
      </c>
      <c r="S649" s="185">
        <f t="shared" ca="1" si="3012"/>
        <v>0</v>
      </c>
      <c r="T649" s="185">
        <f t="shared" ca="1" si="3012"/>
        <v>0</v>
      </c>
      <c r="U649" s="185">
        <f t="shared" ca="1" si="3012"/>
        <v>0</v>
      </c>
      <c r="V649" s="185">
        <f t="shared" ca="1" si="3012"/>
        <v>0</v>
      </c>
      <c r="W649" s="185">
        <f t="shared" ca="1" si="3012"/>
        <v>0</v>
      </c>
      <c r="X649" s="185">
        <f t="shared" ca="1" si="3012"/>
        <v>0</v>
      </c>
      <c r="Y649" s="185">
        <f t="shared" ca="1" si="3012"/>
        <v>0</v>
      </c>
      <c r="Z649" s="185">
        <f t="shared" ca="1" si="3012"/>
        <v>0</v>
      </c>
      <c r="AA649" s="185">
        <f t="shared" ca="1" si="3012"/>
        <v>0</v>
      </c>
      <c r="AB649" s="185">
        <f t="shared" ca="1" si="3012"/>
        <v>0</v>
      </c>
      <c r="AC649" s="185">
        <f t="shared" ca="1" si="3012"/>
        <v>0</v>
      </c>
      <c r="AD649" s="185">
        <f t="shared" ca="1" si="3012"/>
        <v>0</v>
      </c>
      <c r="AE649" s="185">
        <f t="shared" ca="1" si="3012"/>
        <v>0</v>
      </c>
      <c r="AF649" s="185">
        <f t="shared" ca="1" si="3012"/>
        <v>0</v>
      </c>
      <c r="AG649" s="185">
        <f t="shared" ca="1" si="3012"/>
        <v>0</v>
      </c>
      <c r="AH649" s="185">
        <f t="shared" ca="1" si="3012"/>
        <v>0</v>
      </c>
      <c r="AI649" s="185">
        <f t="shared" ca="1" si="3012"/>
        <v>0</v>
      </c>
      <c r="AJ649" s="185">
        <f t="shared" ca="1" si="3012"/>
        <v>0</v>
      </c>
      <c r="AK649" s="185">
        <f t="shared" ca="1" si="3012"/>
        <v>0</v>
      </c>
      <c r="AL649" s="185">
        <f t="shared" ca="1" si="3012"/>
        <v>0</v>
      </c>
      <c r="AM649" s="185">
        <f t="shared" ca="1" si="3012"/>
        <v>0</v>
      </c>
      <c r="AN649" s="185">
        <f t="shared" ca="1" si="3012"/>
        <v>0</v>
      </c>
      <c r="AO649" s="185">
        <f t="shared" ca="1" si="3012"/>
        <v>0</v>
      </c>
      <c r="AP649" s="185">
        <f t="shared" ca="1" si="3012"/>
        <v>0</v>
      </c>
      <c r="AQ649" s="185">
        <f t="shared" ca="1" si="3012"/>
        <v>0</v>
      </c>
      <c r="AR649" s="185">
        <f t="shared" ca="1" si="3012"/>
        <v>0</v>
      </c>
      <c r="AS649" s="185">
        <f t="shared" ca="1" si="3012"/>
        <v>0</v>
      </c>
      <c r="AT649" s="185">
        <f t="shared" ca="1" si="3012"/>
        <v>0</v>
      </c>
      <c r="AU649" s="185">
        <f t="shared" ca="1" si="3012"/>
        <v>0</v>
      </c>
      <c r="AV649" s="185">
        <f t="shared" ca="1" si="3012"/>
        <v>0</v>
      </c>
      <c r="AX649" s="160"/>
    </row>
    <row r="650" spans="1:50" s="94" customFormat="1" hidden="1" outlineLevel="1" x14ac:dyDescent="0.2">
      <c r="A650" s="179" t="str">
        <f ca="1">Language!A$819</f>
        <v>величина из стартового баланса</v>
      </c>
      <c r="B650" s="214">
        <f>Старт!B28</f>
        <v>60339</v>
      </c>
      <c r="C650" s="158" t="str">
        <f ca="1">CurName1</f>
        <v>тыс. руб.</v>
      </c>
      <c r="D650" s="114"/>
      <c r="E650" s="114"/>
      <c r="F650" s="57" t="s">
        <v>754</v>
      </c>
      <c r="G650" s="319">
        <f>IF(G$2=1,$B650,F650)</f>
        <v>60339</v>
      </c>
      <c r="H650" s="319">
        <f t="shared" ref="H650" si="3013">IF(H$2=1,$B650,G650)</f>
        <v>60339</v>
      </c>
      <c r="I650" s="319">
        <f t="shared" ref="I650" si="3014">IF(I$2=1,$B650,H650)</f>
        <v>60339</v>
      </c>
      <c r="J650" s="319">
        <f t="shared" ref="J650" si="3015">IF(J$2=1,$B650,I650)</f>
        <v>60339</v>
      </c>
      <c r="K650" s="319">
        <f t="shared" ref="K650:AV650" si="3016">IF(K$2=1,$B650,J650)</f>
        <v>60339</v>
      </c>
      <c r="L650" s="319">
        <f t="shared" si="3016"/>
        <v>60339</v>
      </c>
      <c r="M650" s="319">
        <f t="shared" si="3016"/>
        <v>60339</v>
      </c>
      <c r="N650" s="319">
        <f t="shared" si="3016"/>
        <v>60339</v>
      </c>
      <c r="O650" s="319">
        <f t="shared" si="3016"/>
        <v>60339</v>
      </c>
      <c r="P650" s="319">
        <f t="shared" si="3016"/>
        <v>60339</v>
      </c>
      <c r="Q650" s="319">
        <f t="shared" si="3016"/>
        <v>60339</v>
      </c>
      <c r="R650" s="319">
        <f t="shared" si="3016"/>
        <v>60339</v>
      </c>
      <c r="S650" s="319">
        <f t="shared" si="3016"/>
        <v>60339</v>
      </c>
      <c r="T650" s="319">
        <f t="shared" si="3016"/>
        <v>60339</v>
      </c>
      <c r="U650" s="319">
        <f t="shared" si="3016"/>
        <v>60339</v>
      </c>
      <c r="V650" s="319">
        <f t="shared" si="3016"/>
        <v>60339</v>
      </c>
      <c r="W650" s="319">
        <f t="shared" si="3016"/>
        <v>60339</v>
      </c>
      <c r="X650" s="319">
        <f t="shared" si="3016"/>
        <v>60339</v>
      </c>
      <c r="Y650" s="319">
        <f t="shared" si="3016"/>
        <v>60339</v>
      </c>
      <c r="Z650" s="319">
        <f t="shared" si="3016"/>
        <v>60339</v>
      </c>
      <c r="AA650" s="319">
        <f t="shared" si="3016"/>
        <v>60339</v>
      </c>
      <c r="AB650" s="319">
        <f t="shared" si="3016"/>
        <v>60339</v>
      </c>
      <c r="AC650" s="319">
        <f t="shared" si="3016"/>
        <v>60339</v>
      </c>
      <c r="AD650" s="319">
        <f t="shared" si="3016"/>
        <v>60339</v>
      </c>
      <c r="AE650" s="319">
        <f t="shared" si="3016"/>
        <v>60339</v>
      </c>
      <c r="AF650" s="319">
        <f t="shared" si="3016"/>
        <v>60339</v>
      </c>
      <c r="AG650" s="319">
        <f t="shared" si="3016"/>
        <v>60339</v>
      </c>
      <c r="AH650" s="319">
        <f t="shared" si="3016"/>
        <v>60339</v>
      </c>
      <c r="AI650" s="319">
        <f t="shared" si="3016"/>
        <v>60339</v>
      </c>
      <c r="AJ650" s="319">
        <f t="shared" si="3016"/>
        <v>60339</v>
      </c>
      <c r="AK650" s="319">
        <f t="shared" si="3016"/>
        <v>60339</v>
      </c>
      <c r="AL650" s="319">
        <f t="shared" si="3016"/>
        <v>60339</v>
      </c>
      <c r="AM650" s="319">
        <f t="shared" si="3016"/>
        <v>60339</v>
      </c>
      <c r="AN650" s="319">
        <f t="shared" si="3016"/>
        <v>60339</v>
      </c>
      <c r="AO650" s="319">
        <f t="shared" si="3016"/>
        <v>60339</v>
      </c>
      <c r="AP650" s="319">
        <f t="shared" si="3016"/>
        <v>60339</v>
      </c>
      <c r="AQ650" s="319">
        <f t="shared" si="3016"/>
        <v>60339</v>
      </c>
      <c r="AR650" s="319">
        <f t="shared" si="3016"/>
        <v>60339</v>
      </c>
      <c r="AS650" s="319">
        <f t="shared" si="3016"/>
        <v>60339</v>
      </c>
      <c r="AT650" s="319">
        <f t="shared" si="3016"/>
        <v>60339</v>
      </c>
      <c r="AU650" s="319">
        <f t="shared" si="3016"/>
        <v>60339</v>
      </c>
      <c r="AV650" s="319">
        <f t="shared" si="3016"/>
        <v>60339</v>
      </c>
      <c r="AX650" s="160"/>
    </row>
    <row r="651" spans="1:50" s="94" customFormat="1" hidden="1" outlineLevel="1" x14ac:dyDescent="0.2">
      <c r="A651" s="179" t="str">
        <f ca="1">Language!A$820</f>
        <v>влияние стартового баланса на денежные средства</v>
      </c>
      <c r="B651" s="179"/>
      <c r="C651" s="158" t="str">
        <f ca="1">CurName1</f>
        <v>тыс. руб.</v>
      </c>
      <c r="D651" s="114"/>
      <c r="E651" s="114"/>
      <c r="F651" s="57" t="s">
        <v>753</v>
      </c>
      <c r="G651" s="185">
        <f>IF(G$2=1,G650-$B650,G650-F650)</f>
        <v>0</v>
      </c>
      <c r="H651" s="185">
        <f t="shared" ref="H651" si="3017">IF(H$2=1,H650-$B650,H650-G650)</f>
        <v>0</v>
      </c>
      <c r="I651" s="185">
        <f t="shared" ref="I651" si="3018">IF(I$2=1,I650-$B650,I650-H650)</f>
        <v>0</v>
      </c>
      <c r="J651" s="185">
        <f t="shared" ref="J651" si="3019">IF(J$2=1,J650-$B650,J650-I650)</f>
        <v>0</v>
      </c>
      <c r="K651" s="185">
        <f t="shared" ref="K651:AV651" si="3020">IF(K$2=1,K650-$B650,K650-J650)</f>
        <v>0</v>
      </c>
      <c r="L651" s="185">
        <f t="shared" si="3020"/>
        <v>0</v>
      </c>
      <c r="M651" s="185">
        <f t="shared" si="3020"/>
        <v>0</v>
      </c>
      <c r="N651" s="185">
        <f t="shared" si="3020"/>
        <v>0</v>
      </c>
      <c r="O651" s="185">
        <f t="shared" si="3020"/>
        <v>0</v>
      </c>
      <c r="P651" s="185">
        <f t="shared" si="3020"/>
        <v>0</v>
      </c>
      <c r="Q651" s="185">
        <f t="shared" si="3020"/>
        <v>0</v>
      </c>
      <c r="R651" s="185">
        <f t="shared" si="3020"/>
        <v>0</v>
      </c>
      <c r="S651" s="185">
        <f t="shared" si="3020"/>
        <v>0</v>
      </c>
      <c r="T651" s="185">
        <f t="shared" si="3020"/>
        <v>0</v>
      </c>
      <c r="U651" s="185">
        <f t="shared" si="3020"/>
        <v>0</v>
      </c>
      <c r="V651" s="185">
        <f t="shared" si="3020"/>
        <v>0</v>
      </c>
      <c r="W651" s="185">
        <f t="shared" si="3020"/>
        <v>0</v>
      </c>
      <c r="X651" s="185">
        <f t="shared" si="3020"/>
        <v>0</v>
      </c>
      <c r="Y651" s="185">
        <f t="shared" si="3020"/>
        <v>0</v>
      </c>
      <c r="Z651" s="185">
        <f t="shared" si="3020"/>
        <v>0</v>
      </c>
      <c r="AA651" s="185">
        <f t="shared" si="3020"/>
        <v>0</v>
      </c>
      <c r="AB651" s="185">
        <f t="shared" si="3020"/>
        <v>0</v>
      </c>
      <c r="AC651" s="185">
        <f t="shared" si="3020"/>
        <v>0</v>
      </c>
      <c r="AD651" s="185">
        <f t="shared" si="3020"/>
        <v>0</v>
      </c>
      <c r="AE651" s="185">
        <f t="shared" si="3020"/>
        <v>0</v>
      </c>
      <c r="AF651" s="185">
        <f t="shared" si="3020"/>
        <v>0</v>
      </c>
      <c r="AG651" s="185">
        <f t="shared" si="3020"/>
        <v>0</v>
      </c>
      <c r="AH651" s="185">
        <f t="shared" si="3020"/>
        <v>0</v>
      </c>
      <c r="AI651" s="185">
        <f t="shared" si="3020"/>
        <v>0</v>
      </c>
      <c r="AJ651" s="185">
        <f t="shared" si="3020"/>
        <v>0</v>
      </c>
      <c r="AK651" s="185">
        <f t="shared" si="3020"/>
        <v>0</v>
      </c>
      <c r="AL651" s="185">
        <f t="shared" si="3020"/>
        <v>0</v>
      </c>
      <c r="AM651" s="185">
        <f t="shared" si="3020"/>
        <v>0</v>
      </c>
      <c r="AN651" s="185">
        <f t="shared" si="3020"/>
        <v>0</v>
      </c>
      <c r="AO651" s="185">
        <f t="shared" si="3020"/>
        <v>0</v>
      </c>
      <c r="AP651" s="185">
        <f t="shared" si="3020"/>
        <v>0</v>
      </c>
      <c r="AQ651" s="185">
        <f t="shared" si="3020"/>
        <v>0</v>
      </c>
      <c r="AR651" s="185">
        <f t="shared" si="3020"/>
        <v>0</v>
      </c>
      <c r="AS651" s="185">
        <f t="shared" si="3020"/>
        <v>0</v>
      </c>
      <c r="AT651" s="185">
        <f t="shared" si="3020"/>
        <v>0</v>
      </c>
      <c r="AU651" s="185">
        <f t="shared" si="3020"/>
        <v>0</v>
      </c>
      <c r="AV651" s="185">
        <f t="shared" si="3020"/>
        <v>0</v>
      </c>
      <c r="AX651" s="160"/>
    </row>
    <row r="652" spans="1:50" s="94" customFormat="1" x14ac:dyDescent="0.2">
      <c r="A652" s="65"/>
      <c r="B652" s="201"/>
      <c r="C652" s="162"/>
      <c r="D652" s="114"/>
      <c r="E652" s="114"/>
      <c r="F652" s="114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X652" s="160"/>
    </row>
    <row r="653" spans="1:50" x14ac:dyDescent="0.2">
      <c r="A653" s="65" t="str">
        <f ca="1">Language!A$821</f>
        <v>Авансы уплаченные</v>
      </c>
      <c r="C653" s="152" t="str">
        <f ca="1">CurName1</f>
        <v>тыс. руб.</v>
      </c>
      <c r="F653" s="57" t="s">
        <v>754</v>
      </c>
      <c r="G653" s="138">
        <f ca="1">G655+G656</f>
        <v>0</v>
      </c>
      <c r="H653" s="138">
        <f t="shared" ref="H653:K653" ca="1" si="3021">H655+H656</f>
        <v>0</v>
      </c>
      <c r="I653" s="138">
        <f t="shared" ca="1" si="3021"/>
        <v>0</v>
      </c>
      <c r="J653" s="138">
        <f t="shared" ca="1" si="3021"/>
        <v>0</v>
      </c>
      <c r="K653" s="138">
        <f t="shared" ca="1" si="3021"/>
        <v>0</v>
      </c>
      <c r="L653" s="138">
        <f t="shared" ref="L653:M653" ca="1" si="3022">L655+L656</f>
        <v>0</v>
      </c>
      <c r="M653" s="138">
        <f t="shared" ca="1" si="3022"/>
        <v>0</v>
      </c>
      <c r="N653" s="138">
        <f t="shared" ref="N653:O653" ca="1" si="3023">N655+N656</f>
        <v>0</v>
      </c>
      <c r="O653" s="138">
        <f t="shared" ca="1" si="3023"/>
        <v>0</v>
      </c>
      <c r="P653" s="138">
        <f t="shared" ref="P653:Q653" ca="1" si="3024">P655+P656</f>
        <v>0</v>
      </c>
      <c r="Q653" s="138">
        <f t="shared" ca="1" si="3024"/>
        <v>0</v>
      </c>
      <c r="R653" s="138">
        <f t="shared" ref="R653:S653" ca="1" si="3025">R655+R656</f>
        <v>0</v>
      </c>
      <c r="S653" s="138">
        <f t="shared" ca="1" si="3025"/>
        <v>0</v>
      </c>
      <c r="T653" s="138">
        <f t="shared" ref="T653:U653" ca="1" si="3026">T655+T656</f>
        <v>0</v>
      </c>
      <c r="U653" s="138">
        <f t="shared" ca="1" si="3026"/>
        <v>0</v>
      </c>
      <c r="V653" s="138">
        <f t="shared" ref="V653:W653" ca="1" si="3027">V655+V656</f>
        <v>0</v>
      </c>
      <c r="W653" s="138">
        <f t="shared" ca="1" si="3027"/>
        <v>0</v>
      </c>
      <c r="X653" s="138">
        <f t="shared" ref="X653:Y653" ca="1" si="3028">X655+X656</f>
        <v>0</v>
      </c>
      <c r="Y653" s="138">
        <f t="shared" ca="1" si="3028"/>
        <v>0</v>
      </c>
      <c r="Z653" s="138">
        <f t="shared" ref="Z653:AA653" ca="1" si="3029">Z655+Z656</f>
        <v>0</v>
      </c>
      <c r="AA653" s="138">
        <f t="shared" ca="1" si="3029"/>
        <v>0</v>
      </c>
      <c r="AB653" s="138">
        <f t="shared" ref="AB653:AC653" ca="1" si="3030">AB655+AB656</f>
        <v>0</v>
      </c>
      <c r="AC653" s="138">
        <f t="shared" ca="1" si="3030"/>
        <v>0</v>
      </c>
      <c r="AD653" s="138">
        <f t="shared" ref="AD653:AE653" ca="1" si="3031">AD655+AD656</f>
        <v>0</v>
      </c>
      <c r="AE653" s="138">
        <f t="shared" ca="1" si="3031"/>
        <v>0</v>
      </c>
      <c r="AF653" s="138">
        <f t="shared" ref="AF653:AG653" ca="1" si="3032">AF655+AF656</f>
        <v>0</v>
      </c>
      <c r="AG653" s="138">
        <f t="shared" ca="1" si="3032"/>
        <v>0</v>
      </c>
      <c r="AH653" s="138">
        <f t="shared" ref="AH653:AI653" ca="1" si="3033">AH655+AH656</f>
        <v>0</v>
      </c>
      <c r="AI653" s="138">
        <f t="shared" ca="1" si="3033"/>
        <v>0</v>
      </c>
      <c r="AJ653" s="138">
        <f t="shared" ref="AJ653:AK653" ca="1" si="3034">AJ655+AJ656</f>
        <v>0</v>
      </c>
      <c r="AK653" s="138">
        <f t="shared" ca="1" si="3034"/>
        <v>0</v>
      </c>
      <c r="AL653" s="138">
        <f t="shared" ref="AL653:AM653" ca="1" si="3035">AL655+AL656</f>
        <v>0</v>
      </c>
      <c r="AM653" s="138">
        <f t="shared" ca="1" si="3035"/>
        <v>0</v>
      </c>
      <c r="AN653" s="138">
        <f t="shared" ref="AN653:AO653" ca="1" si="3036">AN655+AN656</f>
        <v>0</v>
      </c>
      <c r="AO653" s="138">
        <f t="shared" ca="1" si="3036"/>
        <v>0</v>
      </c>
      <c r="AP653" s="138">
        <f t="shared" ref="AP653:AQ653" ca="1" si="3037">AP655+AP656</f>
        <v>0</v>
      </c>
      <c r="AQ653" s="138">
        <f t="shared" ca="1" si="3037"/>
        <v>0</v>
      </c>
      <c r="AR653" s="138">
        <f t="shared" ref="AR653:AS653" ca="1" si="3038">AR655+AR656</f>
        <v>0</v>
      </c>
      <c r="AS653" s="138">
        <f t="shared" ca="1" si="3038"/>
        <v>0</v>
      </c>
      <c r="AT653" s="138">
        <f t="shared" ref="AT653:AU653" ca="1" si="3039">AT655+AT656</f>
        <v>0</v>
      </c>
      <c r="AU653" s="138">
        <f t="shared" ca="1" si="3039"/>
        <v>0</v>
      </c>
      <c r="AV653" s="138">
        <f t="shared" ref="AV653" ca="1" si="3040">AV655+AV656</f>
        <v>0</v>
      </c>
    </row>
    <row r="654" spans="1:50" collapsed="1" x14ac:dyDescent="0.2">
      <c r="A654" s="99" t="str">
        <f ca="1">Language!A$822</f>
        <v>средний период предоплаты</v>
      </c>
      <c r="B654" s="320">
        <v>0</v>
      </c>
      <c r="C654" s="152" t="str">
        <f ca="1">Language!$A$1446</f>
        <v>дней</v>
      </c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</row>
    <row r="655" spans="1:50" s="94" customFormat="1" hidden="1" outlineLevel="1" x14ac:dyDescent="0.2">
      <c r="A655" s="179" t="str">
        <f ca="1">Language!A$823</f>
        <v>величина из плана затрат</v>
      </c>
      <c r="B655" s="179"/>
      <c r="C655" s="158" t="str">
        <f ca="1">CurName1</f>
        <v>тыс. руб.</v>
      </c>
      <c r="D655" s="114"/>
      <c r="E655" s="114"/>
      <c r="F655" s="57" t="s">
        <v>754</v>
      </c>
      <c r="G655" s="185">
        <f t="shared" ref="G655:AV655" ca="1" si="3041">G459+G582+G608+G595</f>
        <v>0</v>
      </c>
      <c r="H655" s="185">
        <f t="shared" ca="1" si="3041"/>
        <v>0</v>
      </c>
      <c r="I655" s="185">
        <f t="shared" ca="1" si="3041"/>
        <v>0</v>
      </c>
      <c r="J655" s="185">
        <f t="shared" ca="1" si="3041"/>
        <v>0</v>
      </c>
      <c r="K655" s="185">
        <f t="shared" ca="1" si="3041"/>
        <v>0</v>
      </c>
      <c r="L655" s="185">
        <f t="shared" ca="1" si="3041"/>
        <v>0</v>
      </c>
      <c r="M655" s="185">
        <f t="shared" ca="1" si="3041"/>
        <v>0</v>
      </c>
      <c r="N655" s="185">
        <f t="shared" ca="1" si="3041"/>
        <v>0</v>
      </c>
      <c r="O655" s="185">
        <f t="shared" ca="1" si="3041"/>
        <v>0</v>
      </c>
      <c r="P655" s="185">
        <f t="shared" ca="1" si="3041"/>
        <v>0</v>
      </c>
      <c r="Q655" s="185">
        <f t="shared" ca="1" si="3041"/>
        <v>0</v>
      </c>
      <c r="R655" s="185">
        <f t="shared" ca="1" si="3041"/>
        <v>0</v>
      </c>
      <c r="S655" s="185">
        <f t="shared" ca="1" si="3041"/>
        <v>0</v>
      </c>
      <c r="T655" s="185">
        <f t="shared" ca="1" si="3041"/>
        <v>0</v>
      </c>
      <c r="U655" s="185">
        <f t="shared" ca="1" si="3041"/>
        <v>0</v>
      </c>
      <c r="V655" s="185">
        <f t="shared" ca="1" si="3041"/>
        <v>0</v>
      </c>
      <c r="W655" s="185">
        <f t="shared" ca="1" si="3041"/>
        <v>0</v>
      </c>
      <c r="X655" s="185">
        <f t="shared" ca="1" si="3041"/>
        <v>0</v>
      </c>
      <c r="Y655" s="185">
        <f t="shared" ca="1" si="3041"/>
        <v>0</v>
      </c>
      <c r="Z655" s="185">
        <f t="shared" ca="1" si="3041"/>
        <v>0</v>
      </c>
      <c r="AA655" s="185">
        <f t="shared" ca="1" si="3041"/>
        <v>0</v>
      </c>
      <c r="AB655" s="185">
        <f t="shared" ca="1" si="3041"/>
        <v>0</v>
      </c>
      <c r="AC655" s="185">
        <f t="shared" ca="1" si="3041"/>
        <v>0</v>
      </c>
      <c r="AD655" s="185">
        <f t="shared" ca="1" si="3041"/>
        <v>0</v>
      </c>
      <c r="AE655" s="185">
        <f t="shared" ca="1" si="3041"/>
        <v>0</v>
      </c>
      <c r="AF655" s="185">
        <f t="shared" ca="1" si="3041"/>
        <v>0</v>
      </c>
      <c r="AG655" s="185">
        <f t="shared" ca="1" si="3041"/>
        <v>0</v>
      </c>
      <c r="AH655" s="185">
        <f t="shared" ca="1" si="3041"/>
        <v>0</v>
      </c>
      <c r="AI655" s="185">
        <f t="shared" ca="1" si="3041"/>
        <v>0</v>
      </c>
      <c r="AJ655" s="185">
        <f t="shared" ca="1" si="3041"/>
        <v>0</v>
      </c>
      <c r="AK655" s="185">
        <f t="shared" ca="1" si="3041"/>
        <v>0</v>
      </c>
      <c r="AL655" s="185">
        <f t="shared" ca="1" si="3041"/>
        <v>0</v>
      </c>
      <c r="AM655" s="185">
        <f t="shared" ca="1" si="3041"/>
        <v>0</v>
      </c>
      <c r="AN655" s="185">
        <f t="shared" ca="1" si="3041"/>
        <v>0</v>
      </c>
      <c r="AO655" s="185">
        <f t="shared" ca="1" si="3041"/>
        <v>0</v>
      </c>
      <c r="AP655" s="185">
        <f t="shared" ca="1" si="3041"/>
        <v>0</v>
      </c>
      <c r="AQ655" s="185">
        <f t="shared" ca="1" si="3041"/>
        <v>0</v>
      </c>
      <c r="AR655" s="185">
        <f t="shared" ca="1" si="3041"/>
        <v>0</v>
      </c>
      <c r="AS655" s="185">
        <f t="shared" ca="1" si="3041"/>
        <v>0</v>
      </c>
      <c r="AT655" s="185">
        <f t="shared" ca="1" si="3041"/>
        <v>0</v>
      </c>
      <c r="AU655" s="185">
        <f t="shared" ca="1" si="3041"/>
        <v>0</v>
      </c>
      <c r="AV655" s="185">
        <f t="shared" ca="1" si="3041"/>
        <v>0</v>
      </c>
      <c r="AX655" s="160"/>
    </row>
    <row r="656" spans="1:50" s="94" customFormat="1" hidden="1" outlineLevel="1" x14ac:dyDescent="0.2">
      <c r="A656" s="179" t="str">
        <f ca="1">Language!A$824</f>
        <v>величина из стартового баланса</v>
      </c>
      <c r="B656" s="214">
        <f>Старт!B8</f>
        <v>0</v>
      </c>
      <c r="C656" s="158" t="str">
        <f ca="1">CurName1</f>
        <v>тыс. руб.</v>
      </c>
      <c r="D656" s="114"/>
      <c r="E656" s="114"/>
      <c r="F656" s="57" t="s">
        <v>754</v>
      </c>
      <c r="G656" s="319">
        <f>IF(G$2=1,$B656,F656)</f>
        <v>0</v>
      </c>
      <c r="H656" s="319">
        <f t="shared" ref="H656" si="3042">IF(H$2=1,$B656,G656)</f>
        <v>0</v>
      </c>
      <c r="I656" s="319">
        <f t="shared" ref="I656" si="3043">IF(I$2=1,$B656,H656)</f>
        <v>0</v>
      </c>
      <c r="J656" s="319">
        <f t="shared" ref="J656" si="3044">IF(J$2=1,$B656,I656)</f>
        <v>0</v>
      </c>
      <c r="K656" s="319">
        <f t="shared" ref="K656:AV656" si="3045">IF(K$2=1,$B656,J656)</f>
        <v>0</v>
      </c>
      <c r="L656" s="319">
        <f t="shared" si="3045"/>
        <v>0</v>
      </c>
      <c r="M656" s="319">
        <f t="shared" si="3045"/>
        <v>0</v>
      </c>
      <c r="N656" s="319">
        <f t="shared" si="3045"/>
        <v>0</v>
      </c>
      <c r="O656" s="319">
        <f t="shared" si="3045"/>
        <v>0</v>
      </c>
      <c r="P656" s="319">
        <f t="shared" si="3045"/>
        <v>0</v>
      </c>
      <c r="Q656" s="319">
        <f t="shared" si="3045"/>
        <v>0</v>
      </c>
      <c r="R656" s="319">
        <f t="shared" si="3045"/>
        <v>0</v>
      </c>
      <c r="S656" s="319">
        <f t="shared" si="3045"/>
        <v>0</v>
      </c>
      <c r="T656" s="319">
        <f t="shared" si="3045"/>
        <v>0</v>
      </c>
      <c r="U656" s="319">
        <f t="shared" si="3045"/>
        <v>0</v>
      </c>
      <c r="V656" s="319">
        <f t="shared" si="3045"/>
        <v>0</v>
      </c>
      <c r="W656" s="319">
        <f t="shared" si="3045"/>
        <v>0</v>
      </c>
      <c r="X656" s="319">
        <f t="shared" si="3045"/>
        <v>0</v>
      </c>
      <c r="Y656" s="319">
        <f t="shared" si="3045"/>
        <v>0</v>
      </c>
      <c r="Z656" s="319">
        <f t="shared" si="3045"/>
        <v>0</v>
      </c>
      <c r="AA656" s="319">
        <f t="shared" si="3045"/>
        <v>0</v>
      </c>
      <c r="AB656" s="319">
        <f t="shared" si="3045"/>
        <v>0</v>
      </c>
      <c r="AC656" s="319">
        <f t="shared" si="3045"/>
        <v>0</v>
      </c>
      <c r="AD656" s="319">
        <f t="shared" si="3045"/>
        <v>0</v>
      </c>
      <c r="AE656" s="319">
        <f t="shared" si="3045"/>
        <v>0</v>
      </c>
      <c r="AF656" s="319">
        <f t="shared" si="3045"/>
        <v>0</v>
      </c>
      <c r="AG656" s="319">
        <f t="shared" si="3045"/>
        <v>0</v>
      </c>
      <c r="AH656" s="319">
        <f t="shared" si="3045"/>
        <v>0</v>
      </c>
      <c r="AI656" s="319">
        <f t="shared" si="3045"/>
        <v>0</v>
      </c>
      <c r="AJ656" s="319">
        <f t="shared" si="3045"/>
        <v>0</v>
      </c>
      <c r="AK656" s="319">
        <f t="shared" si="3045"/>
        <v>0</v>
      </c>
      <c r="AL656" s="319">
        <f t="shared" si="3045"/>
        <v>0</v>
      </c>
      <c r="AM656" s="319">
        <f t="shared" si="3045"/>
        <v>0</v>
      </c>
      <c r="AN656" s="319">
        <f t="shared" si="3045"/>
        <v>0</v>
      </c>
      <c r="AO656" s="319">
        <f t="shared" si="3045"/>
        <v>0</v>
      </c>
      <c r="AP656" s="319">
        <f t="shared" si="3045"/>
        <v>0</v>
      </c>
      <c r="AQ656" s="319">
        <f t="shared" si="3045"/>
        <v>0</v>
      </c>
      <c r="AR656" s="319">
        <f t="shared" si="3045"/>
        <v>0</v>
      </c>
      <c r="AS656" s="319">
        <f t="shared" si="3045"/>
        <v>0</v>
      </c>
      <c r="AT656" s="319">
        <f t="shared" si="3045"/>
        <v>0</v>
      </c>
      <c r="AU656" s="319">
        <f t="shared" si="3045"/>
        <v>0</v>
      </c>
      <c r="AV656" s="319">
        <f t="shared" si="3045"/>
        <v>0</v>
      </c>
      <c r="AX656" s="160"/>
    </row>
    <row r="657" spans="1:50" s="94" customFormat="1" hidden="1" outlineLevel="1" x14ac:dyDescent="0.2">
      <c r="A657" s="179" t="str">
        <f ca="1">Language!A$825</f>
        <v>влияние стартового баланса на денежные средства</v>
      </c>
      <c r="B657" s="179"/>
      <c r="C657" s="158" t="str">
        <f ca="1">CurName1</f>
        <v>тыс. руб.</v>
      </c>
      <c r="D657" s="114"/>
      <c r="E657" s="114"/>
      <c r="F657" s="57" t="s">
        <v>753</v>
      </c>
      <c r="G657" s="185">
        <f>IF(G$2=1,$B656-G656,F656-G656)</f>
        <v>0</v>
      </c>
      <c r="H657" s="185">
        <f t="shared" ref="H657" si="3046">IF(H$2=1,$B656-H656,G656-H656)</f>
        <v>0</v>
      </c>
      <c r="I657" s="185">
        <f t="shared" ref="I657" si="3047">IF(I$2=1,$B656-I656,H656-I656)</f>
        <v>0</v>
      </c>
      <c r="J657" s="185">
        <f t="shared" ref="J657" si="3048">IF(J$2=1,$B656-J656,I656-J656)</f>
        <v>0</v>
      </c>
      <c r="K657" s="185">
        <f t="shared" ref="K657:AV657" si="3049">IF(K$2=1,$B656-K656,J656-K656)</f>
        <v>0</v>
      </c>
      <c r="L657" s="185">
        <f t="shared" si="3049"/>
        <v>0</v>
      </c>
      <c r="M657" s="185">
        <f t="shared" si="3049"/>
        <v>0</v>
      </c>
      <c r="N657" s="185">
        <f t="shared" si="3049"/>
        <v>0</v>
      </c>
      <c r="O657" s="185">
        <f t="shared" si="3049"/>
        <v>0</v>
      </c>
      <c r="P657" s="185">
        <f t="shared" si="3049"/>
        <v>0</v>
      </c>
      <c r="Q657" s="185">
        <f t="shared" si="3049"/>
        <v>0</v>
      </c>
      <c r="R657" s="185">
        <f t="shared" si="3049"/>
        <v>0</v>
      </c>
      <c r="S657" s="185">
        <f t="shared" si="3049"/>
        <v>0</v>
      </c>
      <c r="T657" s="185">
        <f t="shared" si="3049"/>
        <v>0</v>
      </c>
      <c r="U657" s="185">
        <f t="shared" si="3049"/>
        <v>0</v>
      </c>
      <c r="V657" s="185">
        <f t="shared" si="3049"/>
        <v>0</v>
      </c>
      <c r="W657" s="185">
        <f t="shared" si="3049"/>
        <v>0</v>
      </c>
      <c r="X657" s="185">
        <f t="shared" si="3049"/>
        <v>0</v>
      </c>
      <c r="Y657" s="185">
        <f t="shared" si="3049"/>
        <v>0</v>
      </c>
      <c r="Z657" s="185">
        <f t="shared" si="3049"/>
        <v>0</v>
      </c>
      <c r="AA657" s="185">
        <f t="shared" si="3049"/>
        <v>0</v>
      </c>
      <c r="AB657" s="185">
        <f t="shared" si="3049"/>
        <v>0</v>
      </c>
      <c r="AC657" s="185">
        <f t="shared" si="3049"/>
        <v>0</v>
      </c>
      <c r="AD657" s="185">
        <f t="shared" si="3049"/>
        <v>0</v>
      </c>
      <c r="AE657" s="185">
        <f t="shared" si="3049"/>
        <v>0</v>
      </c>
      <c r="AF657" s="185">
        <f t="shared" si="3049"/>
        <v>0</v>
      </c>
      <c r="AG657" s="185">
        <f t="shared" si="3049"/>
        <v>0</v>
      </c>
      <c r="AH657" s="185">
        <f t="shared" si="3049"/>
        <v>0</v>
      </c>
      <c r="AI657" s="185">
        <f t="shared" si="3049"/>
        <v>0</v>
      </c>
      <c r="AJ657" s="185">
        <f t="shared" si="3049"/>
        <v>0</v>
      </c>
      <c r="AK657" s="185">
        <f t="shared" si="3049"/>
        <v>0</v>
      </c>
      <c r="AL657" s="185">
        <f t="shared" si="3049"/>
        <v>0</v>
      </c>
      <c r="AM657" s="185">
        <f t="shared" si="3049"/>
        <v>0</v>
      </c>
      <c r="AN657" s="185">
        <f t="shared" si="3049"/>
        <v>0</v>
      </c>
      <c r="AO657" s="185">
        <f t="shared" si="3049"/>
        <v>0</v>
      </c>
      <c r="AP657" s="185">
        <f t="shared" si="3049"/>
        <v>0</v>
      </c>
      <c r="AQ657" s="185">
        <f t="shared" si="3049"/>
        <v>0</v>
      </c>
      <c r="AR657" s="185">
        <f t="shared" si="3049"/>
        <v>0</v>
      </c>
      <c r="AS657" s="185">
        <f t="shared" si="3049"/>
        <v>0</v>
      </c>
      <c r="AT657" s="185">
        <f t="shared" si="3049"/>
        <v>0</v>
      </c>
      <c r="AU657" s="185">
        <f t="shared" si="3049"/>
        <v>0</v>
      </c>
      <c r="AV657" s="185">
        <f t="shared" si="3049"/>
        <v>0</v>
      </c>
      <c r="AX657" s="160"/>
    </row>
    <row r="658" spans="1:50" x14ac:dyDescent="0.2">
      <c r="A658" s="99"/>
      <c r="B658" s="201"/>
      <c r="C658" s="152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</row>
    <row r="659" spans="1:50" x14ac:dyDescent="0.2">
      <c r="A659" s="65" t="str">
        <f ca="1">Language!A$826</f>
        <v>Задолженность по заработной плате</v>
      </c>
      <c r="C659" s="152" t="str">
        <f ca="1">CurName1</f>
        <v>тыс. руб.</v>
      </c>
      <c r="F659" s="57" t="s">
        <v>754</v>
      </c>
      <c r="G659" s="138">
        <f ca="1">G661+G662</f>
        <v>3570</v>
      </c>
      <c r="H659" s="138">
        <f t="shared" ref="H659:K659" ca="1" si="3050">H661+H662</f>
        <v>3622.3856308221139</v>
      </c>
      <c r="I659" s="138">
        <f t="shared" ca="1" si="3050"/>
        <v>4410.6479523988328</v>
      </c>
      <c r="J659" s="138">
        <f t="shared" ca="1" si="3050"/>
        <v>4475.3691219564435</v>
      </c>
      <c r="K659" s="138">
        <f t="shared" ca="1" si="3050"/>
        <v>4541.04</v>
      </c>
      <c r="L659" s="138">
        <f t="shared" ref="L659:M659" ca="1" si="3051">L661+L662</f>
        <v>4607.6745224057286</v>
      </c>
      <c r="M659" s="138">
        <f t="shared" ca="1" si="3051"/>
        <v>5156.5663561133397</v>
      </c>
      <c r="N659" s="138">
        <f t="shared" ref="N659:O659" ca="1" si="3052">N661+N662</f>
        <v>5232.2330175814304</v>
      </c>
      <c r="O659" s="138">
        <f t="shared" ca="1" si="3052"/>
        <v>5309.01</v>
      </c>
      <c r="P659" s="138">
        <f t="shared" ref="P659:Q659" ca="1" si="3053">P661+P662</f>
        <v>5386.9135960478743</v>
      </c>
      <c r="Q659" s="138">
        <f t="shared" ca="1" si="3053"/>
        <v>5465.9603374801391</v>
      </c>
      <c r="R659" s="138">
        <f t="shared" ref="R659:S659" ca="1" si="3054">R661+R662</f>
        <v>5546.1669986363167</v>
      </c>
      <c r="S659" s="138">
        <f t="shared" ca="1" si="3054"/>
        <v>5627.5506000000005</v>
      </c>
      <c r="T659" s="138">
        <f t="shared" ref="T659:U659" ca="1" si="3055">T661+T662</f>
        <v>5710.1284118107469</v>
      </c>
      <c r="U659" s="138">
        <f t="shared" ca="1" si="3055"/>
        <v>5793.9179577289487</v>
      </c>
      <c r="V659" s="138">
        <f t="shared" ref="V659:W659" ca="1" si="3056">V661+V662</f>
        <v>5878.9370185544949</v>
      </c>
      <c r="W659" s="138">
        <f t="shared" ca="1" si="3056"/>
        <v>5965.2036360000002</v>
      </c>
      <c r="X659" s="138">
        <f t="shared" ref="X659:Y659" ca="1" si="3057">X661+X662</f>
        <v>6052.7361165193915</v>
      </c>
      <c r="Y659" s="138">
        <f t="shared" ca="1" si="3057"/>
        <v>6141.5530351926855</v>
      </c>
      <c r="Z659" s="138">
        <f t="shared" ref="Z659:AA659" ca="1" si="3058">Z661+Z662</f>
        <v>6231.6732396677671</v>
      </c>
      <c r="AA659" s="138">
        <f t="shared" ca="1" si="3058"/>
        <v>6323.1158541600016</v>
      </c>
      <c r="AB659" s="138">
        <f t="shared" ref="AB659:AC659" ca="1" si="3059">AB661+AB662</f>
        <v>6415.9002835105557</v>
      </c>
      <c r="AC659" s="138">
        <f t="shared" ca="1" si="3059"/>
        <v>6510.0462173042479</v>
      </c>
      <c r="AD659" s="138">
        <f t="shared" ref="AD659:AE659" ca="1" si="3060">AD661+AD662</f>
        <v>6605.5736340478325</v>
      </c>
      <c r="AE659" s="138">
        <f t="shared" ca="1" si="3060"/>
        <v>6702.502805409601</v>
      </c>
      <c r="AF659" s="138">
        <f t="shared" ref="AF659:AG659" ca="1" si="3061">AF661+AF662</f>
        <v>6800.8543005211895</v>
      </c>
      <c r="AG659" s="138">
        <f t="shared" ca="1" si="3061"/>
        <v>6900.6489903425017</v>
      </c>
      <c r="AH659" s="138">
        <f t="shared" ref="AH659:AI659" ca="1" si="3062">AH661+AH662</f>
        <v>7001.9080520907028</v>
      </c>
      <c r="AI659" s="138">
        <f t="shared" ca="1" si="3062"/>
        <v>7104.6529737341798</v>
      </c>
      <c r="AJ659" s="138">
        <f t="shared" ref="AJ659:AK659" ca="1" si="3063">AJ661+AJ662</f>
        <v>7208.905558552462</v>
      </c>
      <c r="AK659" s="138">
        <f t="shared" ca="1" si="3063"/>
        <v>7314.6879297630539</v>
      </c>
      <c r="AL659" s="138">
        <f t="shared" ref="AL659:AM659" ca="1" si="3064">AL661+AL662</f>
        <v>7422.022535216146</v>
      </c>
      <c r="AM659" s="138">
        <f t="shared" ca="1" si="3064"/>
        <v>7530.9321521582306</v>
      </c>
      <c r="AN659" s="138">
        <f t="shared" ref="AN659:AO659" ca="1" si="3065">AN661+AN662</f>
        <v>7641.4398920656104</v>
      </c>
      <c r="AO659" s="138">
        <f t="shared" ca="1" si="3065"/>
        <v>7753.5692055488371</v>
      </c>
      <c r="AP659" s="138">
        <f t="shared" ref="AP659:AQ659" ca="1" si="3066">AP661+AP662</f>
        <v>7867.3438873291143</v>
      </c>
      <c r="AQ659" s="138">
        <f t="shared" ca="1" si="3066"/>
        <v>7982.7880812877247</v>
      </c>
      <c r="AR659" s="138">
        <f t="shared" ref="AR659:AS659" ca="1" si="3067">AR661+AR662</f>
        <v>8099.9262855895486</v>
      </c>
      <c r="AS659" s="138">
        <f t="shared" ca="1" si="3067"/>
        <v>8218.7833578817699</v>
      </c>
      <c r="AT659" s="138">
        <f t="shared" ref="AT659:AU659" ca="1" si="3068">AT661+AT662</f>
        <v>8339.3845205688631</v>
      </c>
      <c r="AU659" s="138">
        <f t="shared" ca="1" si="3068"/>
        <v>8461.755366164989</v>
      </c>
      <c r="AV659" s="138">
        <f t="shared" ref="AV659" ca="1" si="3069">AV661+AV662</f>
        <v>8585.9218627249211</v>
      </c>
    </row>
    <row r="660" spans="1:50" collapsed="1" x14ac:dyDescent="0.2">
      <c r="A660" s="99" t="str">
        <f ca="1">Language!A$827</f>
        <v>средний период оборачиваемости</v>
      </c>
      <c r="B660" s="320">
        <v>15</v>
      </c>
      <c r="C660" s="152" t="str">
        <f ca="1">Language!$A$1446</f>
        <v>дней</v>
      </c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</row>
    <row r="661" spans="1:50" s="94" customFormat="1" hidden="1" outlineLevel="1" x14ac:dyDescent="0.2">
      <c r="A661" s="179" t="str">
        <f ca="1">Language!A$828</f>
        <v>величина из плана затрат</v>
      </c>
      <c r="B661" s="179"/>
      <c r="C661" s="158" t="str">
        <f ca="1">CurName1</f>
        <v>тыс. руб.</v>
      </c>
      <c r="D661" s="114"/>
      <c r="E661" s="114"/>
      <c r="F661" s="57" t="s">
        <v>754</v>
      </c>
      <c r="G661" s="185">
        <f t="shared" ref="G661:AV661" ca="1" si="3070">G504</f>
        <v>3570</v>
      </c>
      <c r="H661" s="185">
        <f t="shared" ca="1" si="3070"/>
        <v>3622.3856308221139</v>
      </c>
      <c r="I661" s="185">
        <f t="shared" ca="1" si="3070"/>
        <v>4410.6479523988328</v>
      </c>
      <c r="J661" s="185">
        <f t="shared" ca="1" si="3070"/>
        <v>4475.3691219564435</v>
      </c>
      <c r="K661" s="185">
        <f t="shared" ca="1" si="3070"/>
        <v>4541.04</v>
      </c>
      <c r="L661" s="185">
        <f t="shared" ca="1" si="3070"/>
        <v>4607.6745224057286</v>
      </c>
      <c r="M661" s="185">
        <f t="shared" ca="1" si="3070"/>
        <v>5156.5663561133397</v>
      </c>
      <c r="N661" s="185">
        <f t="shared" ca="1" si="3070"/>
        <v>5232.2330175814304</v>
      </c>
      <c r="O661" s="185">
        <f t="shared" ca="1" si="3070"/>
        <v>5309.01</v>
      </c>
      <c r="P661" s="185">
        <f t="shared" ca="1" si="3070"/>
        <v>5386.9135960478743</v>
      </c>
      <c r="Q661" s="185">
        <f t="shared" ca="1" si="3070"/>
        <v>5465.9603374801391</v>
      </c>
      <c r="R661" s="185">
        <f t="shared" ca="1" si="3070"/>
        <v>5546.1669986363167</v>
      </c>
      <c r="S661" s="185">
        <f t="shared" ca="1" si="3070"/>
        <v>5627.5506000000005</v>
      </c>
      <c r="T661" s="185">
        <f t="shared" ca="1" si="3070"/>
        <v>5710.1284118107469</v>
      </c>
      <c r="U661" s="185">
        <f t="shared" ca="1" si="3070"/>
        <v>5793.9179577289487</v>
      </c>
      <c r="V661" s="185">
        <f t="shared" ca="1" si="3070"/>
        <v>5878.9370185544949</v>
      </c>
      <c r="W661" s="185">
        <f t="shared" ca="1" si="3070"/>
        <v>5965.2036360000002</v>
      </c>
      <c r="X661" s="185">
        <f t="shared" ca="1" si="3070"/>
        <v>6052.7361165193915</v>
      </c>
      <c r="Y661" s="185">
        <f t="shared" ca="1" si="3070"/>
        <v>6141.5530351926855</v>
      </c>
      <c r="Z661" s="185">
        <f t="shared" ca="1" si="3070"/>
        <v>6231.6732396677671</v>
      </c>
      <c r="AA661" s="185">
        <f t="shared" ca="1" si="3070"/>
        <v>6323.1158541600016</v>
      </c>
      <c r="AB661" s="185">
        <f t="shared" ca="1" si="3070"/>
        <v>6415.9002835105557</v>
      </c>
      <c r="AC661" s="185">
        <f t="shared" ca="1" si="3070"/>
        <v>6510.0462173042479</v>
      </c>
      <c r="AD661" s="185">
        <f t="shared" ca="1" si="3070"/>
        <v>6605.5736340478325</v>
      </c>
      <c r="AE661" s="185">
        <f t="shared" ca="1" si="3070"/>
        <v>6702.502805409601</v>
      </c>
      <c r="AF661" s="185">
        <f t="shared" ca="1" si="3070"/>
        <v>6800.8543005211895</v>
      </c>
      <c r="AG661" s="185">
        <f t="shared" ca="1" si="3070"/>
        <v>6900.6489903425017</v>
      </c>
      <c r="AH661" s="185">
        <f t="shared" ca="1" si="3070"/>
        <v>7001.9080520907028</v>
      </c>
      <c r="AI661" s="185">
        <f t="shared" ca="1" si="3070"/>
        <v>7104.6529737341798</v>
      </c>
      <c r="AJ661" s="185">
        <f t="shared" ca="1" si="3070"/>
        <v>7208.905558552462</v>
      </c>
      <c r="AK661" s="185">
        <f t="shared" ca="1" si="3070"/>
        <v>7314.6879297630539</v>
      </c>
      <c r="AL661" s="185">
        <f t="shared" ca="1" si="3070"/>
        <v>7422.022535216146</v>
      </c>
      <c r="AM661" s="185">
        <f t="shared" ca="1" si="3070"/>
        <v>7530.9321521582306</v>
      </c>
      <c r="AN661" s="185">
        <f t="shared" ca="1" si="3070"/>
        <v>7641.4398920656104</v>
      </c>
      <c r="AO661" s="185">
        <f t="shared" ca="1" si="3070"/>
        <v>7753.5692055488371</v>
      </c>
      <c r="AP661" s="185">
        <f t="shared" ca="1" si="3070"/>
        <v>7867.3438873291143</v>
      </c>
      <c r="AQ661" s="185">
        <f t="shared" ca="1" si="3070"/>
        <v>7982.7880812877247</v>
      </c>
      <c r="AR661" s="185">
        <f t="shared" ca="1" si="3070"/>
        <v>8099.9262855895486</v>
      </c>
      <c r="AS661" s="185">
        <f t="shared" ca="1" si="3070"/>
        <v>8218.7833578817699</v>
      </c>
      <c r="AT661" s="185">
        <f t="shared" ca="1" si="3070"/>
        <v>8339.3845205688631</v>
      </c>
      <c r="AU661" s="185">
        <f t="shared" ca="1" si="3070"/>
        <v>8461.755366164989</v>
      </c>
      <c r="AV661" s="185">
        <f t="shared" ca="1" si="3070"/>
        <v>8585.9218627249211</v>
      </c>
      <c r="AX661" s="160"/>
    </row>
    <row r="662" spans="1:50" s="94" customFormat="1" hidden="1" outlineLevel="1" x14ac:dyDescent="0.2">
      <c r="A662" s="179" t="str">
        <f ca="1">Language!A$829</f>
        <v>величина из стартового баланса</v>
      </c>
      <c r="B662" s="214">
        <f>Старт!B31</f>
        <v>0</v>
      </c>
      <c r="C662" s="158" t="str">
        <f ca="1">CurName1</f>
        <v>тыс. руб.</v>
      </c>
      <c r="D662" s="114"/>
      <c r="E662" s="114"/>
      <c r="F662" s="57" t="s">
        <v>754</v>
      </c>
      <c r="G662" s="319">
        <f>IF(G$2=1,$B662,F662)</f>
        <v>0</v>
      </c>
      <c r="H662" s="319">
        <f t="shared" ref="H662" si="3071">IF(H$2=1,$B662,G662)</f>
        <v>0</v>
      </c>
      <c r="I662" s="319">
        <f t="shared" ref="I662" si="3072">IF(I$2=1,$B662,H662)</f>
        <v>0</v>
      </c>
      <c r="J662" s="319">
        <f t="shared" ref="J662" si="3073">IF(J$2=1,$B662,I662)</f>
        <v>0</v>
      </c>
      <c r="K662" s="319">
        <f t="shared" ref="K662:AV662" si="3074">IF(K$2=1,$B662,J662)</f>
        <v>0</v>
      </c>
      <c r="L662" s="319">
        <f t="shared" si="3074"/>
        <v>0</v>
      </c>
      <c r="M662" s="319">
        <f t="shared" si="3074"/>
        <v>0</v>
      </c>
      <c r="N662" s="319">
        <f t="shared" si="3074"/>
        <v>0</v>
      </c>
      <c r="O662" s="319">
        <f t="shared" si="3074"/>
        <v>0</v>
      </c>
      <c r="P662" s="319">
        <f t="shared" si="3074"/>
        <v>0</v>
      </c>
      <c r="Q662" s="319">
        <f t="shared" si="3074"/>
        <v>0</v>
      </c>
      <c r="R662" s="319">
        <f t="shared" si="3074"/>
        <v>0</v>
      </c>
      <c r="S662" s="319">
        <f t="shared" si="3074"/>
        <v>0</v>
      </c>
      <c r="T662" s="319">
        <f t="shared" si="3074"/>
        <v>0</v>
      </c>
      <c r="U662" s="319">
        <f t="shared" si="3074"/>
        <v>0</v>
      </c>
      <c r="V662" s="319">
        <f t="shared" si="3074"/>
        <v>0</v>
      </c>
      <c r="W662" s="319">
        <f t="shared" si="3074"/>
        <v>0</v>
      </c>
      <c r="X662" s="319">
        <f t="shared" si="3074"/>
        <v>0</v>
      </c>
      <c r="Y662" s="319">
        <f t="shared" si="3074"/>
        <v>0</v>
      </c>
      <c r="Z662" s="319">
        <f t="shared" si="3074"/>
        <v>0</v>
      </c>
      <c r="AA662" s="319">
        <f t="shared" si="3074"/>
        <v>0</v>
      </c>
      <c r="AB662" s="319">
        <f t="shared" si="3074"/>
        <v>0</v>
      </c>
      <c r="AC662" s="319">
        <f t="shared" si="3074"/>
        <v>0</v>
      </c>
      <c r="AD662" s="319">
        <f t="shared" si="3074"/>
        <v>0</v>
      </c>
      <c r="AE662" s="319">
        <f t="shared" si="3074"/>
        <v>0</v>
      </c>
      <c r="AF662" s="319">
        <f t="shared" si="3074"/>
        <v>0</v>
      </c>
      <c r="AG662" s="319">
        <f t="shared" si="3074"/>
        <v>0</v>
      </c>
      <c r="AH662" s="319">
        <f t="shared" si="3074"/>
        <v>0</v>
      </c>
      <c r="AI662" s="319">
        <f t="shared" si="3074"/>
        <v>0</v>
      </c>
      <c r="AJ662" s="319">
        <f t="shared" si="3074"/>
        <v>0</v>
      </c>
      <c r="AK662" s="319">
        <f t="shared" si="3074"/>
        <v>0</v>
      </c>
      <c r="AL662" s="319">
        <f t="shared" si="3074"/>
        <v>0</v>
      </c>
      <c r="AM662" s="319">
        <f t="shared" si="3074"/>
        <v>0</v>
      </c>
      <c r="AN662" s="319">
        <f t="shared" si="3074"/>
        <v>0</v>
      </c>
      <c r="AO662" s="319">
        <f t="shared" si="3074"/>
        <v>0</v>
      </c>
      <c r="AP662" s="319">
        <f t="shared" si="3074"/>
        <v>0</v>
      </c>
      <c r="AQ662" s="319">
        <f t="shared" si="3074"/>
        <v>0</v>
      </c>
      <c r="AR662" s="319">
        <f t="shared" si="3074"/>
        <v>0</v>
      </c>
      <c r="AS662" s="319">
        <f t="shared" si="3074"/>
        <v>0</v>
      </c>
      <c r="AT662" s="319">
        <f t="shared" si="3074"/>
        <v>0</v>
      </c>
      <c r="AU662" s="319">
        <f t="shared" si="3074"/>
        <v>0</v>
      </c>
      <c r="AV662" s="319">
        <f t="shared" si="3074"/>
        <v>0</v>
      </c>
      <c r="AX662" s="160"/>
    </row>
    <row r="663" spans="1:50" s="94" customFormat="1" hidden="1" outlineLevel="1" x14ac:dyDescent="0.2">
      <c r="A663" s="179" t="str">
        <f ca="1">Language!A$830</f>
        <v>влияние стартового баланса на денежные средства</v>
      </c>
      <c r="B663" s="179"/>
      <c r="C663" s="158" t="str">
        <f ca="1">CurName1</f>
        <v>тыс. руб.</v>
      </c>
      <c r="D663" s="114"/>
      <c r="E663" s="114"/>
      <c r="F663" s="57" t="s">
        <v>753</v>
      </c>
      <c r="G663" s="185">
        <f>IF(G$2=1,G662-$B662,G662-F662)</f>
        <v>0</v>
      </c>
      <c r="H663" s="185">
        <f t="shared" ref="H663" si="3075">IF(H$2=1,H662-$B662,H662-G662)</f>
        <v>0</v>
      </c>
      <c r="I663" s="185">
        <f t="shared" ref="I663" si="3076">IF(I$2=1,I662-$B662,I662-H662)</f>
        <v>0</v>
      </c>
      <c r="J663" s="185">
        <f t="shared" ref="J663" si="3077">IF(J$2=1,J662-$B662,J662-I662)</f>
        <v>0</v>
      </c>
      <c r="K663" s="185">
        <f t="shared" ref="K663:AV663" si="3078">IF(K$2=1,K662-$B662,K662-J662)</f>
        <v>0</v>
      </c>
      <c r="L663" s="185">
        <f t="shared" si="3078"/>
        <v>0</v>
      </c>
      <c r="M663" s="185">
        <f t="shared" si="3078"/>
        <v>0</v>
      </c>
      <c r="N663" s="185">
        <f t="shared" si="3078"/>
        <v>0</v>
      </c>
      <c r="O663" s="185">
        <f t="shared" si="3078"/>
        <v>0</v>
      </c>
      <c r="P663" s="185">
        <f t="shared" si="3078"/>
        <v>0</v>
      </c>
      <c r="Q663" s="185">
        <f t="shared" si="3078"/>
        <v>0</v>
      </c>
      <c r="R663" s="185">
        <f t="shared" si="3078"/>
        <v>0</v>
      </c>
      <c r="S663" s="185">
        <f t="shared" si="3078"/>
        <v>0</v>
      </c>
      <c r="T663" s="185">
        <f t="shared" si="3078"/>
        <v>0</v>
      </c>
      <c r="U663" s="185">
        <f t="shared" si="3078"/>
        <v>0</v>
      </c>
      <c r="V663" s="185">
        <f t="shared" si="3078"/>
        <v>0</v>
      </c>
      <c r="W663" s="185">
        <f t="shared" si="3078"/>
        <v>0</v>
      </c>
      <c r="X663" s="185">
        <f t="shared" si="3078"/>
        <v>0</v>
      </c>
      <c r="Y663" s="185">
        <f t="shared" si="3078"/>
        <v>0</v>
      </c>
      <c r="Z663" s="185">
        <f t="shared" si="3078"/>
        <v>0</v>
      </c>
      <c r="AA663" s="185">
        <f t="shared" si="3078"/>
        <v>0</v>
      </c>
      <c r="AB663" s="185">
        <f t="shared" si="3078"/>
        <v>0</v>
      </c>
      <c r="AC663" s="185">
        <f t="shared" si="3078"/>
        <v>0</v>
      </c>
      <c r="AD663" s="185">
        <f t="shared" si="3078"/>
        <v>0</v>
      </c>
      <c r="AE663" s="185">
        <f t="shared" si="3078"/>
        <v>0</v>
      </c>
      <c r="AF663" s="185">
        <f t="shared" si="3078"/>
        <v>0</v>
      </c>
      <c r="AG663" s="185">
        <f t="shared" si="3078"/>
        <v>0</v>
      </c>
      <c r="AH663" s="185">
        <f t="shared" si="3078"/>
        <v>0</v>
      </c>
      <c r="AI663" s="185">
        <f t="shared" si="3078"/>
        <v>0</v>
      </c>
      <c r="AJ663" s="185">
        <f t="shared" si="3078"/>
        <v>0</v>
      </c>
      <c r="AK663" s="185">
        <f t="shared" si="3078"/>
        <v>0</v>
      </c>
      <c r="AL663" s="185">
        <f t="shared" si="3078"/>
        <v>0</v>
      </c>
      <c r="AM663" s="185">
        <f t="shared" si="3078"/>
        <v>0</v>
      </c>
      <c r="AN663" s="185">
        <f t="shared" si="3078"/>
        <v>0</v>
      </c>
      <c r="AO663" s="185">
        <f t="shared" si="3078"/>
        <v>0</v>
      </c>
      <c r="AP663" s="185">
        <f t="shared" si="3078"/>
        <v>0</v>
      </c>
      <c r="AQ663" s="185">
        <f t="shared" si="3078"/>
        <v>0</v>
      </c>
      <c r="AR663" s="185">
        <f t="shared" si="3078"/>
        <v>0</v>
      </c>
      <c r="AS663" s="185">
        <f t="shared" si="3078"/>
        <v>0</v>
      </c>
      <c r="AT663" s="185">
        <f t="shared" si="3078"/>
        <v>0</v>
      </c>
      <c r="AU663" s="185">
        <f t="shared" si="3078"/>
        <v>0</v>
      </c>
      <c r="AV663" s="185">
        <f t="shared" si="3078"/>
        <v>0</v>
      </c>
      <c r="AX663" s="160"/>
    </row>
    <row r="664" spans="1:50" s="94" customFormat="1" x14ac:dyDescent="0.2">
      <c r="A664" s="172"/>
      <c r="B664" s="201"/>
      <c r="C664" s="162"/>
      <c r="D664" s="114"/>
      <c r="E664" s="114"/>
      <c r="F664" s="114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X664" s="160"/>
    </row>
    <row r="665" spans="1:50" collapsed="1" x14ac:dyDescent="0.2">
      <c r="A665" s="65" t="str">
        <f ca="1">Language!A$831</f>
        <v>Задолженность перед бюджетом и внебюджетными фондами</v>
      </c>
      <c r="C665" s="152" t="str">
        <f ca="1">CurName1</f>
        <v>тыс. руб.</v>
      </c>
      <c r="F665" s="57" t="s">
        <v>754</v>
      </c>
      <c r="G665" s="138">
        <f ca="1">G666+G667</f>
        <v>-14507.259502076282</v>
      </c>
      <c r="H665" s="138">
        <f t="shared" ref="H665:K665" ca="1" si="3079">H666+H667</f>
        <v>2438.084831703894</v>
      </c>
      <c r="I665" s="138">
        <f t="shared" ca="1" si="3079"/>
        <v>2139.3027987164146</v>
      </c>
      <c r="J665" s="138">
        <f t="shared" ca="1" si="3079"/>
        <v>4046.7838209169704</v>
      </c>
      <c r="K665" s="138">
        <f t="shared" ca="1" si="3079"/>
        <v>9364.5218375162585</v>
      </c>
      <c r="L665" s="138">
        <f t="shared" ref="L665:M665" ca="1" si="3080">L666+L667</f>
        <v>4621.0198891219197</v>
      </c>
      <c r="M665" s="138">
        <f t="shared" ca="1" si="3080"/>
        <v>3497.9353061670677</v>
      </c>
      <c r="N665" s="138">
        <f t="shared" ref="N665:O665" ca="1" si="3081">N666+N667</f>
        <v>5444.3099830866486</v>
      </c>
      <c r="O665" s="138">
        <f t="shared" ca="1" si="3081"/>
        <v>11500.36143160629</v>
      </c>
      <c r="P665" s="138">
        <f t="shared" ref="P665:Q665" ca="1" si="3082">P666+P667</f>
        <v>6087.1371933902919</v>
      </c>
      <c r="Q665" s="138">
        <f t="shared" ca="1" si="3082"/>
        <v>4736.1571041898806</v>
      </c>
      <c r="R665" s="138">
        <f t="shared" ref="R665:S665" ca="1" si="3083">R666+R667</f>
        <v>6566.3426810423889</v>
      </c>
      <c r="S665" s="138">
        <f t="shared" ca="1" si="3083"/>
        <v>12745.727032314702</v>
      </c>
      <c r="T665" s="138">
        <f t="shared" ref="T665:U665" ca="1" si="3084">T666+T667</f>
        <v>6760.4635622989381</v>
      </c>
      <c r="U665" s="138">
        <f t="shared" ca="1" si="3084"/>
        <v>5464.4469090148768</v>
      </c>
      <c r="V665" s="138">
        <f t="shared" ref="V665:W665" ca="1" si="3085">V666+V667</f>
        <v>7410.9605745940917</v>
      </c>
      <c r="W665" s="138">
        <f t="shared" ca="1" si="3085"/>
        <v>13967.720569840485</v>
      </c>
      <c r="X665" s="138">
        <f t="shared" ref="X665:Y665" ca="1" si="3086">X666+X667</f>
        <v>7630.0509065457281</v>
      </c>
      <c r="Y665" s="138">
        <f t="shared" ca="1" si="3086"/>
        <v>5746.9592955004755</v>
      </c>
      <c r="Z665" s="138">
        <f t="shared" ref="Z665:AA665" ca="1" si="3087">Z666+Z667</f>
        <v>7809.5982571140885</v>
      </c>
      <c r="AA665" s="138">
        <f t="shared" ca="1" si="3087"/>
        <v>14759.08856237958</v>
      </c>
      <c r="AB665" s="138">
        <f t="shared" ref="AB665:AC665" ca="1" si="3088">AB666+AB667</f>
        <v>8040.4735204943354</v>
      </c>
      <c r="AC665" s="138">
        <f t="shared" ca="1" si="3088"/>
        <v>6315.8582212234533</v>
      </c>
      <c r="AD665" s="138">
        <f t="shared" ref="AD665:AE665" ca="1" si="3089">AD666+AD667</f>
        <v>8505.5436560570761</v>
      </c>
      <c r="AE665" s="138">
        <f t="shared" ca="1" si="3089"/>
        <v>15875.339764756534</v>
      </c>
      <c r="AF665" s="138">
        <f t="shared" ref="AF665:AG665" ca="1" si="3090">AF666+AF667</f>
        <v>8756.9931630781994</v>
      </c>
      <c r="AG665" s="138">
        <f t="shared" ca="1" si="3090"/>
        <v>6759.9987701770242</v>
      </c>
      <c r="AH665" s="138">
        <f t="shared" ref="AH665:AI665" ca="1" si="3091">AH666+AH667</f>
        <v>9082.0219052756038</v>
      </c>
      <c r="AI665" s="138">
        <f t="shared" ca="1" si="3091"/>
        <v>16894.976391294258</v>
      </c>
      <c r="AJ665" s="138">
        <f t="shared" ref="AJ665:AK665" ca="1" si="3092">AJ666+AJ667</f>
        <v>9350.5138469059657</v>
      </c>
      <c r="AK665" s="138">
        <f t="shared" ca="1" si="3092"/>
        <v>7130.7414010650937</v>
      </c>
      <c r="AL665" s="138">
        <f t="shared" ref="AL665:AM665" ca="1" si="3093">AL666+AL667</f>
        <v>9591.5744336801599</v>
      </c>
      <c r="AM665" s="138">
        <f t="shared" ca="1" si="3093"/>
        <v>17872.78719273629</v>
      </c>
      <c r="AN665" s="138">
        <f t="shared" ref="AN665:AO665" ca="1" si="3094">AN666+AN667</f>
        <v>9875.13028389178</v>
      </c>
      <c r="AO665" s="138">
        <f t="shared" ca="1" si="3094"/>
        <v>7543.4708858420963</v>
      </c>
      <c r="AP665" s="138">
        <f t="shared" ref="AP665:AQ665" ca="1" si="3095">AP666+AP667</f>
        <v>10151.732105239695</v>
      </c>
      <c r="AQ665" s="138">
        <f t="shared" ca="1" si="3095"/>
        <v>18929.592580076547</v>
      </c>
      <c r="AR665" s="138">
        <f t="shared" ref="AR665:AS665" ca="1" si="3096">AR666+AR667</f>
        <v>10451.847904593122</v>
      </c>
      <c r="AS665" s="138">
        <f t="shared" ca="1" si="3096"/>
        <v>7108.5386787233801</v>
      </c>
      <c r="AT665" s="138">
        <f t="shared" ref="AT665:AU665" ca="1" si="3097">AT666+AT667</f>
        <v>9860.2719391023784</v>
      </c>
      <c r="AU665" s="138">
        <f t="shared" ca="1" si="3097"/>
        <v>19151.589303471796</v>
      </c>
      <c r="AV665" s="138">
        <f t="shared" ref="AV665" ca="1" si="3098">AV666+AV667</f>
        <v>10151.771297455078</v>
      </c>
    </row>
    <row r="666" spans="1:50" s="94" customFormat="1" hidden="1" outlineLevel="1" x14ac:dyDescent="0.2">
      <c r="A666" s="179" t="str">
        <f ca="1">Language!A$832</f>
        <v>величина из плана продаж и затрат</v>
      </c>
      <c r="B666" s="179"/>
      <c r="C666" s="158" t="str">
        <f ca="1">CurName1</f>
        <v>тыс. руб.</v>
      </c>
      <c r="D666" s="114"/>
      <c r="E666" s="114"/>
      <c r="F666" s="57" t="s">
        <v>754</v>
      </c>
      <c r="G666" s="185">
        <f ca="1">G1013</f>
        <v>-14507.259502076282</v>
      </c>
      <c r="H666" s="185">
        <f t="shared" ref="H666:K666" ca="1" si="3099">H1013</f>
        <v>2438.084831703894</v>
      </c>
      <c r="I666" s="185">
        <f t="shared" ca="1" si="3099"/>
        <v>2139.3027987164146</v>
      </c>
      <c r="J666" s="185">
        <f t="shared" ca="1" si="3099"/>
        <v>4046.7838209169704</v>
      </c>
      <c r="K666" s="185">
        <f t="shared" ca="1" si="3099"/>
        <v>9364.5218375162585</v>
      </c>
      <c r="L666" s="185">
        <f t="shared" ref="L666:M666" ca="1" si="3100">L1013</f>
        <v>4621.0198891219197</v>
      </c>
      <c r="M666" s="185">
        <f t="shared" ca="1" si="3100"/>
        <v>3497.9353061670677</v>
      </c>
      <c r="N666" s="185">
        <f t="shared" ref="N666:O666" ca="1" si="3101">N1013</f>
        <v>5444.3099830866486</v>
      </c>
      <c r="O666" s="185">
        <f t="shared" ca="1" si="3101"/>
        <v>11500.36143160629</v>
      </c>
      <c r="P666" s="185">
        <f t="shared" ref="P666:Q666" ca="1" si="3102">P1013</f>
        <v>6087.1371933902919</v>
      </c>
      <c r="Q666" s="185">
        <f t="shared" ca="1" si="3102"/>
        <v>4736.1571041898806</v>
      </c>
      <c r="R666" s="185">
        <f t="shared" ref="R666:S666" ca="1" si="3103">R1013</f>
        <v>6566.3426810423889</v>
      </c>
      <c r="S666" s="185">
        <f t="shared" ca="1" si="3103"/>
        <v>12745.727032314702</v>
      </c>
      <c r="T666" s="185">
        <f t="shared" ref="T666:U666" ca="1" si="3104">T1013</f>
        <v>6760.4635622989381</v>
      </c>
      <c r="U666" s="185">
        <f t="shared" ca="1" si="3104"/>
        <v>5464.4469090148768</v>
      </c>
      <c r="V666" s="185">
        <f t="shared" ref="V666:W666" ca="1" si="3105">V1013</f>
        <v>7410.9605745940917</v>
      </c>
      <c r="W666" s="185">
        <f t="shared" ca="1" si="3105"/>
        <v>13967.720569840485</v>
      </c>
      <c r="X666" s="185">
        <f t="shared" ref="X666:Y666" ca="1" si="3106">X1013</f>
        <v>7630.0509065457281</v>
      </c>
      <c r="Y666" s="185">
        <f t="shared" ca="1" si="3106"/>
        <v>5746.9592955004755</v>
      </c>
      <c r="Z666" s="185">
        <f t="shared" ref="Z666:AA666" ca="1" si="3107">Z1013</f>
        <v>7809.5982571140885</v>
      </c>
      <c r="AA666" s="185">
        <f t="shared" ca="1" si="3107"/>
        <v>14759.08856237958</v>
      </c>
      <c r="AB666" s="185">
        <f t="shared" ref="AB666:AC666" ca="1" si="3108">AB1013</f>
        <v>8040.4735204943354</v>
      </c>
      <c r="AC666" s="185">
        <f t="shared" ca="1" si="3108"/>
        <v>6315.8582212234533</v>
      </c>
      <c r="AD666" s="185">
        <f t="shared" ref="AD666:AE666" ca="1" si="3109">AD1013</f>
        <v>8505.5436560570761</v>
      </c>
      <c r="AE666" s="185">
        <f t="shared" ca="1" si="3109"/>
        <v>15875.339764756534</v>
      </c>
      <c r="AF666" s="185">
        <f t="shared" ref="AF666:AG666" ca="1" si="3110">AF1013</f>
        <v>8756.9931630781994</v>
      </c>
      <c r="AG666" s="185">
        <f t="shared" ca="1" si="3110"/>
        <v>6759.9987701770242</v>
      </c>
      <c r="AH666" s="185">
        <f t="shared" ref="AH666:AI666" ca="1" si="3111">AH1013</f>
        <v>9082.0219052756038</v>
      </c>
      <c r="AI666" s="185">
        <f t="shared" ca="1" si="3111"/>
        <v>16894.976391294258</v>
      </c>
      <c r="AJ666" s="185">
        <f t="shared" ref="AJ666:AK666" ca="1" si="3112">AJ1013</f>
        <v>9350.5138469059657</v>
      </c>
      <c r="AK666" s="185">
        <f t="shared" ca="1" si="3112"/>
        <v>7130.7414010650937</v>
      </c>
      <c r="AL666" s="185">
        <f t="shared" ref="AL666:AM666" ca="1" si="3113">AL1013</f>
        <v>9591.5744336801599</v>
      </c>
      <c r="AM666" s="185">
        <f t="shared" ca="1" si="3113"/>
        <v>17872.78719273629</v>
      </c>
      <c r="AN666" s="185">
        <f t="shared" ref="AN666:AO666" ca="1" si="3114">AN1013</f>
        <v>9875.13028389178</v>
      </c>
      <c r="AO666" s="185">
        <f t="shared" ca="1" si="3114"/>
        <v>7543.4708858420963</v>
      </c>
      <c r="AP666" s="185">
        <f t="shared" ref="AP666:AQ666" ca="1" si="3115">AP1013</f>
        <v>10151.732105239695</v>
      </c>
      <c r="AQ666" s="185">
        <f t="shared" ca="1" si="3115"/>
        <v>18929.592580076547</v>
      </c>
      <c r="AR666" s="185">
        <f t="shared" ref="AR666:AS666" ca="1" si="3116">AR1013</f>
        <v>10451.847904593122</v>
      </c>
      <c r="AS666" s="185">
        <f t="shared" ca="1" si="3116"/>
        <v>7108.5386787233801</v>
      </c>
      <c r="AT666" s="185">
        <f t="shared" ref="AT666:AU666" ca="1" si="3117">AT1013</f>
        <v>9860.2719391023784</v>
      </c>
      <c r="AU666" s="185">
        <f t="shared" ca="1" si="3117"/>
        <v>19151.589303471796</v>
      </c>
      <c r="AV666" s="185">
        <f t="shared" ref="AV666" ca="1" si="3118">AV1013</f>
        <v>10151.771297455078</v>
      </c>
      <c r="AX666" s="160"/>
    </row>
    <row r="667" spans="1:50" s="94" customFormat="1" hidden="1" outlineLevel="1" x14ac:dyDescent="0.2">
      <c r="A667" s="179" t="str">
        <f ca="1">Language!A$833</f>
        <v>величина из стартового баланса</v>
      </c>
      <c r="B667" s="214">
        <f>Старт!B30</f>
        <v>0</v>
      </c>
      <c r="C667" s="158" t="str">
        <f ca="1">CurName1</f>
        <v>тыс. руб.</v>
      </c>
      <c r="D667" s="114"/>
      <c r="E667" s="114"/>
      <c r="F667" s="57" t="s">
        <v>754</v>
      </c>
      <c r="G667" s="319">
        <f>IF(G$2=1,$B667,F667)</f>
        <v>0</v>
      </c>
      <c r="H667" s="319">
        <f t="shared" ref="H667" si="3119">IF(H$2=1,$B667,G667)</f>
        <v>0</v>
      </c>
      <c r="I667" s="319">
        <f t="shared" ref="I667" si="3120">IF(I$2=1,$B667,H667)</f>
        <v>0</v>
      </c>
      <c r="J667" s="319">
        <f t="shared" ref="J667" si="3121">IF(J$2=1,$B667,I667)</f>
        <v>0</v>
      </c>
      <c r="K667" s="319">
        <f t="shared" ref="K667:AV667" si="3122">IF(K$2=1,$B667,J667)</f>
        <v>0</v>
      </c>
      <c r="L667" s="319">
        <f t="shared" si="3122"/>
        <v>0</v>
      </c>
      <c r="M667" s="319">
        <f t="shared" si="3122"/>
        <v>0</v>
      </c>
      <c r="N667" s="319">
        <f t="shared" si="3122"/>
        <v>0</v>
      </c>
      <c r="O667" s="319">
        <f t="shared" si="3122"/>
        <v>0</v>
      </c>
      <c r="P667" s="319">
        <f t="shared" si="3122"/>
        <v>0</v>
      </c>
      <c r="Q667" s="319">
        <f t="shared" si="3122"/>
        <v>0</v>
      </c>
      <c r="R667" s="319">
        <f t="shared" si="3122"/>
        <v>0</v>
      </c>
      <c r="S667" s="319">
        <f t="shared" si="3122"/>
        <v>0</v>
      </c>
      <c r="T667" s="319">
        <f t="shared" si="3122"/>
        <v>0</v>
      </c>
      <c r="U667" s="319">
        <f t="shared" si="3122"/>
        <v>0</v>
      </c>
      <c r="V667" s="319">
        <f t="shared" si="3122"/>
        <v>0</v>
      </c>
      <c r="W667" s="319">
        <f t="shared" si="3122"/>
        <v>0</v>
      </c>
      <c r="X667" s="319">
        <f t="shared" si="3122"/>
        <v>0</v>
      </c>
      <c r="Y667" s="319">
        <f t="shared" si="3122"/>
        <v>0</v>
      </c>
      <c r="Z667" s="319">
        <f t="shared" si="3122"/>
        <v>0</v>
      </c>
      <c r="AA667" s="319">
        <f t="shared" si="3122"/>
        <v>0</v>
      </c>
      <c r="AB667" s="319">
        <f t="shared" si="3122"/>
        <v>0</v>
      </c>
      <c r="AC667" s="319">
        <f t="shared" si="3122"/>
        <v>0</v>
      </c>
      <c r="AD667" s="319">
        <f t="shared" si="3122"/>
        <v>0</v>
      </c>
      <c r="AE667" s="319">
        <f t="shared" si="3122"/>
        <v>0</v>
      </c>
      <c r="AF667" s="319">
        <f t="shared" si="3122"/>
        <v>0</v>
      </c>
      <c r="AG667" s="319">
        <f t="shared" si="3122"/>
        <v>0</v>
      </c>
      <c r="AH667" s="319">
        <f t="shared" si="3122"/>
        <v>0</v>
      </c>
      <c r="AI667" s="319">
        <f t="shared" si="3122"/>
        <v>0</v>
      </c>
      <c r="AJ667" s="319">
        <f t="shared" si="3122"/>
        <v>0</v>
      </c>
      <c r="AK667" s="319">
        <f t="shared" si="3122"/>
        <v>0</v>
      </c>
      <c r="AL667" s="319">
        <f t="shared" si="3122"/>
        <v>0</v>
      </c>
      <c r="AM667" s="319">
        <f t="shared" si="3122"/>
        <v>0</v>
      </c>
      <c r="AN667" s="319">
        <f t="shared" si="3122"/>
        <v>0</v>
      </c>
      <c r="AO667" s="319">
        <f t="shared" si="3122"/>
        <v>0</v>
      </c>
      <c r="AP667" s="319">
        <f t="shared" si="3122"/>
        <v>0</v>
      </c>
      <c r="AQ667" s="319">
        <f t="shared" si="3122"/>
        <v>0</v>
      </c>
      <c r="AR667" s="319">
        <f t="shared" si="3122"/>
        <v>0</v>
      </c>
      <c r="AS667" s="319">
        <f t="shared" si="3122"/>
        <v>0</v>
      </c>
      <c r="AT667" s="319">
        <f t="shared" si="3122"/>
        <v>0</v>
      </c>
      <c r="AU667" s="319">
        <f t="shared" si="3122"/>
        <v>0</v>
      </c>
      <c r="AV667" s="319">
        <f t="shared" si="3122"/>
        <v>0</v>
      </c>
      <c r="AX667" s="160"/>
    </row>
    <row r="668" spans="1:50" s="94" customFormat="1" hidden="1" outlineLevel="1" x14ac:dyDescent="0.2">
      <c r="A668" s="179" t="str">
        <f ca="1">Language!A$834</f>
        <v>влияние стартового баланса на денежные средства</v>
      </c>
      <c r="B668" s="179"/>
      <c r="C668" s="158" t="str">
        <f ca="1">CurName1</f>
        <v>тыс. руб.</v>
      </c>
      <c r="D668" s="114"/>
      <c r="E668" s="114"/>
      <c r="F668" s="57" t="s">
        <v>753</v>
      </c>
      <c r="G668" s="185">
        <f>IF(G$2=1,G667-$B667,G667-F667)</f>
        <v>0</v>
      </c>
      <c r="H668" s="185">
        <f t="shared" ref="H668" si="3123">IF(H$2=1,H667-$B667,H667-G667)</f>
        <v>0</v>
      </c>
      <c r="I668" s="185">
        <f t="shared" ref="I668" si="3124">IF(I$2=1,I667-$B667,I667-H667)</f>
        <v>0</v>
      </c>
      <c r="J668" s="185">
        <f t="shared" ref="J668" si="3125">IF(J$2=1,J667-$B667,J667-I667)</f>
        <v>0</v>
      </c>
      <c r="K668" s="185">
        <f t="shared" ref="K668:AV668" si="3126">IF(K$2=1,K667-$B667,K667-J667)</f>
        <v>0</v>
      </c>
      <c r="L668" s="185">
        <f t="shared" si="3126"/>
        <v>0</v>
      </c>
      <c r="M668" s="185">
        <f t="shared" si="3126"/>
        <v>0</v>
      </c>
      <c r="N668" s="185">
        <f t="shared" si="3126"/>
        <v>0</v>
      </c>
      <c r="O668" s="185">
        <f t="shared" si="3126"/>
        <v>0</v>
      </c>
      <c r="P668" s="185">
        <f t="shared" si="3126"/>
        <v>0</v>
      </c>
      <c r="Q668" s="185">
        <f t="shared" si="3126"/>
        <v>0</v>
      </c>
      <c r="R668" s="185">
        <f t="shared" si="3126"/>
        <v>0</v>
      </c>
      <c r="S668" s="185">
        <f t="shared" si="3126"/>
        <v>0</v>
      </c>
      <c r="T668" s="185">
        <f t="shared" si="3126"/>
        <v>0</v>
      </c>
      <c r="U668" s="185">
        <f t="shared" si="3126"/>
        <v>0</v>
      </c>
      <c r="V668" s="185">
        <f t="shared" si="3126"/>
        <v>0</v>
      </c>
      <c r="W668" s="185">
        <f t="shared" si="3126"/>
        <v>0</v>
      </c>
      <c r="X668" s="185">
        <f t="shared" si="3126"/>
        <v>0</v>
      </c>
      <c r="Y668" s="185">
        <f t="shared" si="3126"/>
        <v>0</v>
      </c>
      <c r="Z668" s="185">
        <f t="shared" si="3126"/>
        <v>0</v>
      </c>
      <c r="AA668" s="185">
        <f t="shared" si="3126"/>
        <v>0</v>
      </c>
      <c r="AB668" s="185">
        <f t="shared" si="3126"/>
        <v>0</v>
      </c>
      <c r="AC668" s="185">
        <f t="shared" si="3126"/>
        <v>0</v>
      </c>
      <c r="AD668" s="185">
        <f t="shared" si="3126"/>
        <v>0</v>
      </c>
      <c r="AE668" s="185">
        <f t="shared" si="3126"/>
        <v>0</v>
      </c>
      <c r="AF668" s="185">
        <f t="shared" si="3126"/>
        <v>0</v>
      </c>
      <c r="AG668" s="185">
        <f t="shared" si="3126"/>
        <v>0</v>
      </c>
      <c r="AH668" s="185">
        <f t="shared" si="3126"/>
        <v>0</v>
      </c>
      <c r="AI668" s="185">
        <f t="shared" si="3126"/>
        <v>0</v>
      </c>
      <c r="AJ668" s="185">
        <f t="shared" si="3126"/>
        <v>0</v>
      </c>
      <c r="AK668" s="185">
        <f t="shared" si="3126"/>
        <v>0</v>
      </c>
      <c r="AL668" s="185">
        <f t="shared" si="3126"/>
        <v>0</v>
      </c>
      <c r="AM668" s="185">
        <f t="shared" si="3126"/>
        <v>0</v>
      </c>
      <c r="AN668" s="185">
        <f t="shared" si="3126"/>
        <v>0</v>
      </c>
      <c r="AO668" s="185">
        <f t="shared" si="3126"/>
        <v>0</v>
      </c>
      <c r="AP668" s="185">
        <f t="shared" si="3126"/>
        <v>0</v>
      </c>
      <c r="AQ668" s="185">
        <f t="shared" si="3126"/>
        <v>0</v>
      </c>
      <c r="AR668" s="185">
        <f t="shared" si="3126"/>
        <v>0</v>
      </c>
      <c r="AS668" s="185">
        <f t="shared" si="3126"/>
        <v>0</v>
      </c>
      <c r="AT668" s="185">
        <f t="shared" si="3126"/>
        <v>0</v>
      </c>
      <c r="AU668" s="185">
        <f t="shared" si="3126"/>
        <v>0</v>
      </c>
      <c r="AV668" s="185">
        <f t="shared" si="3126"/>
        <v>0</v>
      </c>
      <c r="AX668" s="160"/>
    </row>
    <row r="669" spans="1:50" s="94" customFormat="1" x14ac:dyDescent="0.2">
      <c r="A669" s="179"/>
      <c r="B669" s="179"/>
      <c r="C669" s="158"/>
      <c r="D669" s="114"/>
      <c r="E669" s="114"/>
      <c r="F669" s="57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  <c r="V669" s="185"/>
      <c r="W669" s="185"/>
      <c r="X669" s="185"/>
      <c r="Y669" s="185"/>
      <c r="Z669" s="185"/>
      <c r="AA669" s="185"/>
      <c r="AB669" s="185"/>
      <c r="AC669" s="185"/>
      <c r="AD669" s="185"/>
      <c r="AE669" s="185"/>
      <c r="AF669" s="185"/>
      <c r="AG669" s="185"/>
      <c r="AH669" s="185"/>
      <c r="AI669" s="185"/>
      <c r="AJ669" s="185"/>
      <c r="AK669" s="185"/>
      <c r="AL669" s="185"/>
      <c r="AM669" s="185"/>
      <c r="AN669" s="185"/>
      <c r="AO669" s="185"/>
      <c r="AP669" s="185"/>
      <c r="AQ669" s="185"/>
      <c r="AR669" s="185"/>
      <c r="AS669" s="185"/>
      <c r="AT669" s="185"/>
      <c r="AU669" s="185"/>
      <c r="AV669" s="185"/>
      <c r="AX669" s="160"/>
    </row>
    <row r="670" spans="1:50" collapsed="1" x14ac:dyDescent="0.2">
      <c r="A670" s="65" t="str">
        <f ca="1">Language!A$835</f>
        <v>Кредиторская задолженность за внеоборотные активы</v>
      </c>
      <c r="C670" s="152" t="str">
        <f ca="1">CurName1</f>
        <v>тыс. руб.</v>
      </c>
      <c r="F670" s="57" t="s">
        <v>754</v>
      </c>
      <c r="G670" s="138">
        <f>G672+G671</f>
        <v>256388.13559322039</v>
      </c>
      <c r="H670" s="138">
        <f t="shared" ref="H670:K670" si="3127">H672+H671</f>
        <v>148116.94915254239</v>
      </c>
      <c r="I670" s="138">
        <f t="shared" si="3127"/>
        <v>69506.779661016961</v>
      </c>
      <c r="J670" s="138">
        <f t="shared" si="3127"/>
        <v>0</v>
      </c>
      <c r="K670" s="138">
        <f t="shared" si="3127"/>
        <v>0</v>
      </c>
      <c r="L670" s="138">
        <f t="shared" ref="L670:M670" si="3128">L672+L671</f>
        <v>0</v>
      </c>
      <c r="M670" s="138">
        <f t="shared" si="3128"/>
        <v>0</v>
      </c>
      <c r="N670" s="138">
        <f t="shared" ref="N670:O670" si="3129">N672+N671</f>
        <v>0</v>
      </c>
      <c r="O670" s="138">
        <f t="shared" si="3129"/>
        <v>0</v>
      </c>
      <c r="P670" s="138">
        <f t="shared" ref="P670:Q670" si="3130">P672+P671</f>
        <v>0</v>
      </c>
      <c r="Q670" s="138">
        <f t="shared" si="3130"/>
        <v>0</v>
      </c>
      <c r="R670" s="138">
        <f t="shared" ref="R670:S670" si="3131">R672+R671</f>
        <v>0</v>
      </c>
      <c r="S670" s="138">
        <f t="shared" si="3131"/>
        <v>0</v>
      </c>
      <c r="T670" s="138">
        <f t="shared" ref="T670:U670" si="3132">T672+T671</f>
        <v>0</v>
      </c>
      <c r="U670" s="138">
        <f t="shared" si="3132"/>
        <v>0</v>
      </c>
      <c r="V670" s="138">
        <f t="shared" ref="V670:W670" si="3133">V672+V671</f>
        <v>0</v>
      </c>
      <c r="W670" s="138">
        <f t="shared" si="3133"/>
        <v>0</v>
      </c>
      <c r="X670" s="138">
        <f t="shared" ref="X670:Y670" si="3134">X672+X671</f>
        <v>0</v>
      </c>
      <c r="Y670" s="138">
        <f t="shared" si="3134"/>
        <v>0</v>
      </c>
      <c r="Z670" s="138">
        <f t="shared" ref="Z670:AA670" si="3135">Z672+Z671</f>
        <v>0</v>
      </c>
      <c r="AA670" s="138">
        <f t="shared" si="3135"/>
        <v>0</v>
      </c>
      <c r="AB670" s="138">
        <f t="shared" ref="AB670:AC670" si="3136">AB672+AB671</f>
        <v>0</v>
      </c>
      <c r="AC670" s="138">
        <f t="shared" si="3136"/>
        <v>0</v>
      </c>
      <c r="AD670" s="138">
        <f t="shared" ref="AD670:AE670" si="3137">AD672+AD671</f>
        <v>0</v>
      </c>
      <c r="AE670" s="138">
        <f t="shared" si="3137"/>
        <v>0</v>
      </c>
      <c r="AF670" s="138">
        <f t="shared" ref="AF670:AG670" si="3138">AF672+AF671</f>
        <v>0</v>
      </c>
      <c r="AG670" s="138">
        <f t="shared" si="3138"/>
        <v>0</v>
      </c>
      <c r="AH670" s="138">
        <f t="shared" ref="AH670:AI670" si="3139">AH672+AH671</f>
        <v>0</v>
      </c>
      <c r="AI670" s="138">
        <f t="shared" si="3139"/>
        <v>0</v>
      </c>
      <c r="AJ670" s="138">
        <f t="shared" ref="AJ670:AK670" si="3140">AJ672+AJ671</f>
        <v>0</v>
      </c>
      <c r="AK670" s="138">
        <f t="shared" si="3140"/>
        <v>0</v>
      </c>
      <c r="AL670" s="138">
        <f t="shared" ref="AL670:AM670" si="3141">AL672+AL671</f>
        <v>0</v>
      </c>
      <c r="AM670" s="138">
        <f t="shared" si="3141"/>
        <v>0</v>
      </c>
      <c r="AN670" s="138">
        <f t="shared" ref="AN670:AO670" si="3142">AN672+AN671</f>
        <v>0</v>
      </c>
      <c r="AO670" s="138">
        <f t="shared" si="3142"/>
        <v>0</v>
      </c>
      <c r="AP670" s="138">
        <f t="shared" ref="AP670:AQ670" si="3143">AP672+AP671</f>
        <v>0</v>
      </c>
      <c r="AQ670" s="138">
        <f t="shared" si="3143"/>
        <v>0</v>
      </c>
      <c r="AR670" s="138">
        <f t="shared" ref="AR670:AS670" si="3144">AR672+AR671</f>
        <v>0</v>
      </c>
      <c r="AS670" s="138">
        <f t="shared" si="3144"/>
        <v>0</v>
      </c>
      <c r="AT670" s="138">
        <f t="shared" ref="AT670:AU670" si="3145">AT672+AT671</f>
        <v>0</v>
      </c>
      <c r="AU670" s="138">
        <f t="shared" si="3145"/>
        <v>0</v>
      </c>
      <c r="AV670" s="138">
        <f t="shared" ref="AV670" si="3146">AV672+AV671</f>
        <v>0</v>
      </c>
    </row>
    <row r="671" spans="1:50" s="94" customFormat="1" hidden="1" outlineLevel="1" x14ac:dyDescent="0.2">
      <c r="A671" s="179" t="str">
        <f ca="1">Language!A$836</f>
        <v>величина из плана инвестиций</v>
      </c>
      <c r="B671" s="179"/>
      <c r="C671" s="158" t="str">
        <f ca="1">CurName1</f>
        <v>тыс. руб.</v>
      </c>
      <c r="D671" s="114"/>
      <c r="E671" s="114"/>
      <c r="F671" s="57" t="s">
        <v>754</v>
      </c>
      <c r="G671" s="185">
        <f>G772+G779+G794+G808</f>
        <v>256388.13559322039</v>
      </c>
      <c r="H671" s="185">
        <f t="shared" ref="H671:K671" si="3147">H772+H779+H794+H808</f>
        <v>148116.94915254239</v>
      </c>
      <c r="I671" s="185">
        <f t="shared" si="3147"/>
        <v>69506.779661016961</v>
      </c>
      <c r="J671" s="185">
        <f t="shared" si="3147"/>
        <v>0</v>
      </c>
      <c r="K671" s="185">
        <f t="shared" si="3147"/>
        <v>0</v>
      </c>
      <c r="L671" s="185">
        <f t="shared" ref="L671:M671" si="3148">L772+L779+L794+L808</f>
        <v>0</v>
      </c>
      <c r="M671" s="185">
        <f t="shared" si="3148"/>
        <v>0</v>
      </c>
      <c r="N671" s="185">
        <f t="shared" ref="N671:O671" si="3149">N772+N779+N794+N808</f>
        <v>0</v>
      </c>
      <c r="O671" s="185">
        <f t="shared" si="3149"/>
        <v>0</v>
      </c>
      <c r="P671" s="185">
        <f t="shared" ref="P671:Q671" si="3150">P772+P779+P794+P808</f>
        <v>0</v>
      </c>
      <c r="Q671" s="185">
        <f t="shared" si="3150"/>
        <v>0</v>
      </c>
      <c r="R671" s="185">
        <f t="shared" ref="R671:S671" si="3151">R772+R779+R794+R808</f>
        <v>0</v>
      </c>
      <c r="S671" s="185">
        <f t="shared" si="3151"/>
        <v>0</v>
      </c>
      <c r="T671" s="185">
        <f t="shared" ref="T671:U671" si="3152">T772+T779+T794+T808</f>
        <v>0</v>
      </c>
      <c r="U671" s="185">
        <f t="shared" si="3152"/>
        <v>0</v>
      </c>
      <c r="V671" s="185">
        <f t="shared" ref="V671:W671" si="3153">V772+V779+V794+V808</f>
        <v>0</v>
      </c>
      <c r="W671" s="185">
        <f t="shared" si="3153"/>
        <v>0</v>
      </c>
      <c r="X671" s="185">
        <f t="shared" ref="X671:Y671" si="3154">X772+X779+X794+X808</f>
        <v>0</v>
      </c>
      <c r="Y671" s="185">
        <f t="shared" si="3154"/>
        <v>0</v>
      </c>
      <c r="Z671" s="185">
        <f t="shared" ref="Z671:AA671" si="3155">Z772+Z779+Z794+Z808</f>
        <v>0</v>
      </c>
      <c r="AA671" s="185">
        <f t="shared" si="3155"/>
        <v>0</v>
      </c>
      <c r="AB671" s="185">
        <f t="shared" ref="AB671:AC671" si="3156">AB772+AB779+AB794+AB808</f>
        <v>0</v>
      </c>
      <c r="AC671" s="185">
        <f t="shared" si="3156"/>
        <v>0</v>
      </c>
      <c r="AD671" s="185">
        <f t="shared" ref="AD671:AE671" si="3157">AD772+AD779+AD794+AD808</f>
        <v>0</v>
      </c>
      <c r="AE671" s="185">
        <f t="shared" si="3157"/>
        <v>0</v>
      </c>
      <c r="AF671" s="185">
        <f t="shared" ref="AF671:AG671" si="3158">AF772+AF779+AF794+AF808</f>
        <v>0</v>
      </c>
      <c r="AG671" s="185">
        <f t="shared" si="3158"/>
        <v>0</v>
      </c>
      <c r="AH671" s="185">
        <f t="shared" ref="AH671:AI671" si="3159">AH772+AH779+AH794+AH808</f>
        <v>0</v>
      </c>
      <c r="AI671" s="185">
        <f t="shared" si="3159"/>
        <v>0</v>
      </c>
      <c r="AJ671" s="185">
        <f t="shared" ref="AJ671:AK671" si="3160">AJ772+AJ779+AJ794+AJ808</f>
        <v>0</v>
      </c>
      <c r="AK671" s="185">
        <f t="shared" si="3160"/>
        <v>0</v>
      </c>
      <c r="AL671" s="185">
        <f t="shared" ref="AL671:AM671" si="3161">AL772+AL779+AL794+AL808</f>
        <v>0</v>
      </c>
      <c r="AM671" s="185">
        <f t="shared" si="3161"/>
        <v>0</v>
      </c>
      <c r="AN671" s="185">
        <f t="shared" ref="AN671:AO671" si="3162">AN772+AN779+AN794+AN808</f>
        <v>0</v>
      </c>
      <c r="AO671" s="185">
        <f t="shared" si="3162"/>
        <v>0</v>
      </c>
      <c r="AP671" s="185">
        <f t="shared" ref="AP671:AQ671" si="3163">AP772+AP779+AP794+AP808</f>
        <v>0</v>
      </c>
      <c r="AQ671" s="185">
        <f t="shared" si="3163"/>
        <v>0</v>
      </c>
      <c r="AR671" s="185">
        <f t="shared" ref="AR671:AS671" si="3164">AR772+AR779+AR794+AR808</f>
        <v>0</v>
      </c>
      <c r="AS671" s="185">
        <f t="shared" si="3164"/>
        <v>0</v>
      </c>
      <c r="AT671" s="185">
        <f t="shared" ref="AT671:AU671" si="3165">AT772+AT779+AT794+AT808</f>
        <v>0</v>
      </c>
      <c r="AU671" s="185">
        <f t="shared" si="3165"/>
        <v>0</v>
      </c>
      <c r="AV671" s="185">
        <f t="shared" ref="AV671" si="3166">AV772+AV779+AV794+AV808</f>
        <v>0</v>
      </c>
      <c r="AX671" s="160"/>
    </row>
    <row r="672" spans="1:50" s="94" customFormat="1" hidden="1" outlineLevel="1" x14ac:dyDescent="0.2">
      <c r="A672" s="179" t="str">
        <f ca="1">Language!A$837</f>
        <v>величина из стартового баланса</v>
      </c>
      <c r="B672" s="214">
        <f>Старт!B29</f>
        <v>0</v>
      </c>
      <c r="C672" s="158" t="str">
        <f ca="1">CurName1</f>
        <v>тыс. руб.</v>
      </c>
      <c r="D672" s="114"/>
      <c r="E672" s="114"/>
      <c r="F672" s="57" t="s">
        <v>754</v>
      </c>
      <c r="G672" s="319">
        <f>IF(G$2=1,$B672,F672)</f>
        <v>0</v>
      </c>
      <c r="H672" s="319">
        <f t="shared" ref="H672" si="3167">IF(H$2=1,$B672,G672)</f>
        <v>0</v>
      </c>
      <c r="I672" s="319">
        <f t="shared" ref="I672" si="3168">IF(I$2=1,$B672,H672)</f>
        <v>0</v>
      </c>
      <c r="J672" s="319">
        <f t="shared" ref="J672" si="3169">IF(J$2=1,$B672,I672)</f>
        <v>0</v>
      </c>
      <c r="K672" s="319">
        <f t="shared" ref="K672:AV672" si="3170">IF(K$2=1,$B672,J672)</f>
        <v>0</v>
      </c>
      <c r="L672" s="319">
        <f t="shared" si="3170"/>
        <v>0</v>
      </c>
      <c r="M672" s="319">
        <f t="shared" si="3170"/>
        <v>0</v>
      </c>
      <c r="N672" s="319">
        <f t="shared" si="3170"/>
        <v>0</v>
      </c>
      <c r="O672" s="319">
        <f t="shared" si="3170"/>
        <v>0</v>
      </c>
      <c r="P672" s="319">
        <f t="shared" si="3170"/>
        <v>0</v>
      </c>
      <c r="Q672" s="319">
        <f t="shared" si="3170"/>
        <v>0</v>
      </c>
      <c r="R672" s="319">
        <f t="shared" si="3170"/>
        <v>0</v>
      </c>
      <c r="S672" s="319">
        <f t="shared" si="3170"/>
        <v>0</v>
      </c>
      <c r="T672" s="319">
        <f t="shared" si="3170"/>
        <v>0</v>
      </c>
      <c r="U672" s="319">
        <f t="shared" si="3170"/>
        <v>0</v>
      </c>
      <c r="V672" s="319">
        <f t="shared" si="3170"/>
        <v>0</v>
      </c>
      <c r="W672" s="319">
        <f t="shared" si="3170"/>
        <v>0</v>
      </c>
      <c r="X672" s="319">
        <f t="shared" si="3170"/>
        <v>0</v>
      </c>
      <c r="Y672" s="319">
        <f t="shared" si="3170"/>
        <v>0</v>
      </c>
      <c r="Z672" s="319">
        <f t="shared" si="3170"/>
        <v>0</v>
      </c>
      <c r="AA672" s="319">
        <f t="shared" si="3170"/>
        <v>0</v>
      </c>
      <c r="AB672" s="319">
        <f t="shared" si="3170"/>
        <v>0</v>
      </c>
      <c r="AC672" s="319">
        <f t="shared" si="3170"/>
        <v>0</v>
      </c>
      <c r="AD672" s="319">
        <f t="shared" si="3170"/>
        <v>0</v>
      </c>
      <c r="AE672" s="319">
        <f t="shared" si="3170"/>
        <v>0</v>
      </c>
      <c r="AF672" s="319">
        <f t="shared" si="3170"/>
        <v>0</v>
      </c>
      <c r="AG672" s="319">
        <f t="shared" si="3170"/>
        <v>0</v>
      </c>
      <c r="AH672" s="319">
        <f t="shared" si="3170"/>
        <v>0</v>
      </c>
      <c r="AI672" s="319">
        <f t="shared" si="3170"/>
        <v>0</v>
      </c>
      <c r="AJ672" s="319">
        <f t="shared" si="3170"/>
        <v>0</v>
      </c>
      <c r="AK672" s="319">
        <f t="shared" si="3170"/>
        <v>0</v>
      </c>
      <c r="AL672" s="319">
        <f t="shared" si="3170"/>
        <v>0</v>
      </c>
      <c r="AM672" s="319">
        <f t="shared" si="3170"/>
        <v>0</v>
      </c>
      <c r="AN672" s="319">
        <f t="shared" si="3170"/>
        <v>0</v>
      </c>
      <c r="AO672" s="319">
        <f t="shared" si="3170"/>
        <v>0</v>
      </c>
      <c r="AP672" s="319">
        <f t="shared" si="3170"/>
        <v>0</v>
      </c>
      <c r="AQ672" s="319">
        <f t="shared" si="3170"/>
        <v>0</v>
      </c>
      <c r="AR672" s="319">
        <f t="shared" si="3170"/>
        <v>0</v>
      </c>
      <c r="AS672" s="319">
        <f t="shared" si="3170"/>
        <v>0</v>
      </c>
      <c r="AT672" s="319">
        <f t="shared" si="3170"/>
        <v>0</v>
      </c>
      <c r="AU672" s="319">
        <f t="shared" si="3170"/>
        <v>0</v>
      </c>
      <c r="AV672" s="319">
        <f t="shared" si="3170"/>
        <v>0</v>
      </c>
      <c r="AX672" s="160"/>
    </row>
    <row r="673" spans="1:50" s="94" customFormat="1" hidden="1" outlineLevel="1" x14ac:dyDescent="0.2">
      <c r="A673" s="179" t="str">
        <f ca="1">Language!A$838</f>
        <v>влияние стартового баланса на денежные средства</v>
      </c>
      <c r="B673" s="179"/>
      <c r="C673" s="158" t="str">
        <f ca="1">CurName1</f>
        <v>тыс. руб.</v>
      </c>
      <c r="D673" s="114"/>
      <c r="E673" s="114"/>
      <c r="F673" s="57" t="s">
        <v>753</v>
      </c>
      <c r="G673" s="185">
        <f>IF(G$2=1,G672-$B672,G672-F672)</f>
        <v>0</v>
      </c>
      <c r="H673" s="185">
        <f t="shared" ref="H673" si="3171">IF(H$2=1,H672-$B672,H672-G672)</f>
        <v>0</v>
      </c>
      <c r="I673" s="185">
        <f t="shared" ref="I673" si="3172">IF(I$2=1,I672-$B672,I672-H672)</f>
        <v>0</v>
      </c>
      <c r="J673" s="185">
        <f t="shared" ref="J673" si="3173">IF(J$2=1,J672-$B672,J672-I672)</f>
        <v>0</v>
      </c>
      <c r="K673" s="185">
        <f t="shared" ref="K673:AV673" si="3174">IF(K$2=1,K672-$B672,K672-J672)</f>
        <v>0</v>
      </c>
      <c r="L673" s="185">
        <f t="shared" si="3174"/>
        <v>0</v>
      </c>
      <c r="M673" s="185">
        <f t="shared" si="3174"/>
        <v>0</v>
      </c>
      <c r="N673" s="185">
        <f t="shared" si="3174"/>
        <v>0</v>
      </c>
      <c r="O673" s="185">
        <f t="shared" si="3174"/>
        <v>0</v>
      </c>
      <c r="P673" s="185">
        <f t="shared" si="3174"/>
        <v>0</v>
      </c>
      <c r="Q673" s="185">
        <f t="shared" si="3174"/>
        <v>0</v>
      </c>
      <c r="R673" s="185">
        <f t="shared" si="3174"/>
        <v>0</v>
      </c>
      <c r="S673" s="185">
        <f t="shared" si="3174"/>
        <v>0</v>
      </c>
      <c r="T673" s="185">
        <f t="shared" si="3174"/>
        <v>0</v>
      </c>
      <c r="U673" s="185">
        <f t="shared" si="3174"/>
        <v>0</v>
      </c>
      <c r="V673" s="185">
        <f t="shared" si="3174"/>
        <v>0</v>
      </c>
      <c r="W673" s="185">
        <f t="shared" si="3174"/>
        <v>0</v>
      </c>
      <c r="X673" s="185">
        <f t="shared" si="3174"/>
        <v>0</v>
      </c>
      <c r="Y673" s="185">
        <f t="shared" si="3174"/>
        <v>0</v>
      </c>
      <c r="Z673" s="185">
        <f t="shared" si="3174"/>
        <v>0</v>
      </c>
      <c r="AA673" s="185">
        <f t="shared" si="3174"/>
        <v>0</v>
      </c>
      <c r="AB673" s="185">
        <f t="shared" si="3174"/>
        <v>0</v>
      </c>
      <c r="AC673" s="185">
        <f t="shared" si="3174"/>
        <v>0</v>
      </c>
      <c r="AD673" s="185">
        <f t="shared" si="3174"/>
        <v>0</v>
      </c>
      <c r="AE673" s="185">
        <f t="shared" si="3174"/>
        <v>0</v>
      </c>
      <c r="AF673" s="185">
        <f t="shared" si="3174"/>
        <v>0</v>
      </c>
      <c r="AG673" s="185">
        <f t="shared" si="3174"/>
        <v>0</v>
      </c>
      <c r="AH673" s="185">
        <f t="shared" si="3174"/>
        <v>0</v>
      </c>
      <c r="AI673" s="185">
        <f t="shared" si="3174"/>
        <v>0</v>
      </c>
      <c r="AJ673" s="185">
        <f t="shared" si="3174"/>
        <v>0</v>
      </c>
      <c r="AK673" s="185">
        <f t="shared" si="3174"/>
        <v>0</v>
      </c>
      <c r="AL673" s="185">
        <f t="shared" si="3174"/>
        <v>0</v>
      </c>
      <c r="AM673" s="185">
        <f t="shared" si="3174"/>
        <v>0</v>
      </c>
      <c r="AN673" s="185">
        <f t="shared" si="3174"/>
        <v>0</v>
      </c>
      <c r="AO673" s="185">
        <f t="shared" si="3174"/>
        <v>0</v>
      </c>
      <c r="AP673" s="185">
        <f t="shared" si="3174"/>
        <v>0</v>
      </c>
      <c r="AQ673" s="185">
        <f t="shared" si="3174"/>
        <v>0</v>
      </c>
      <c r="AR673" s="185">
        <f t="shared" si="3174"/>
        <v>0</v>
      </c>
      <c r="AS673" s="185">
        <f t="shared" si="3174"/>
        <v>0</v>
      </c>
      <c r="AT673" s="185">
        <f t="shared" si="3174"/>
        <v>0</v>
      </c>
      <c r="AU673" s="185">
        <f t="shared" si="3174"/>
        <v>0</v>
      </c>
      <c r="AV673" s="185">
        <f t="shared" si="3174"/>
        <v>0</v>
      </c>
      <c r="AX673" s="160"/>
    </row>
    <row r="674" spans="1:50" s="94" customFormat="1" x14ac:dyDescent="0.2">
      <c r="A674" s="179"/>
      <c r="B674" s="179"/>
      <c r="C674" s="158"/>
      <c r="D674" s="114"/>
      <c r="E674" s="114"/>
      <c r="F674" s="57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  <c r="V674" s="185"/>
      <c r="W674" s="185"/>
      <c r="X674" s="185"/>
      <c r="Y674" s="185"/>
      <c r="Z674" s="185"/>
      <c r="AA674" s="185"/>
      <c r="AB674" s="185"/>
      <c r="AC674" s="185"/>
      <c r="AD674" s="185"/>
      <c r="AE674" s="185"/>
      <c r="AF674" s="185"/>
      <c r="AG674" s="185"/>
      <c r="AH674" s="185"/>
      <c r="AI674" s="185"/>
      <c r="AJ674" s="185"/>
      <c r="AK674" s="185"/>
      <c r="AL674" s="185"/>
      <c r="AM674" s="185"/>
      <c r="AN674" s="185"/>
      <c r="AO674" s="185"/>
      <c r="AP674" s="185"/>
      <c r="AQ674" s="185"/>
      <c r="AR674" s="185"/>
      <c r="AS674" s="185"/>
      <c r="AT674" s="185"/>
      <c r="AU674" s="185"/>
      <c r="AV674" s="185"/>
      <c r="AX674" s="160"/>
    </row>
    <row r="675" spans="1:50" s="94" customFormat="1" x14ac:dyDescent="0.2">
      <c r="A675" s="65" t="str">
        <f ca="1">Language!A$839</f>
        <v>Итого оборотные активы</v>
      </c>
      <c r="B675" s="179"/>
      <c r="C675" s="152" t="str">
        <f ca="1">CurName1</f>
        <v>тыс. руб.</v>
      </c>
      <c r="D675" s="114"/>
      <c r="E675" s="114"/>
      <c r="F675" s="57" t="s">
        <v>754</v>
      </c>
      <c r="G675" s="138">
        <f ca="1">G617+G629+G635+G641+G653</f>
        <v>575178.9005988742</v>
      </c>
      <c r="H675" s="138">
        <f t="shared" ref="H675:K675" ca="1" si="3175">H617+H629+H635+H641+H653</f>
        <v>532026.05471075664</v>
      </c>
      <c r="I675" s="138">
        <f t="shared" ca="1" si="3175"/>
        <v>550533.02263468842</v>
      </c>
      <c r="J675" s="138">
        <f t="shared" ca="1" si="3175"/>
        <v>559907.27735243295</v>
      </c>
      <c r="K675" s="138">
        <f t="shared" ca="1" si="3175"/>
        <v>634219.73674455669</v>
      </c>
      <c r="L675" s="138">
        <f t="shared" ref="L675:M675" ca="1" si="3176">L617+L629+L635+L641+L653</f>
        <v>574582.15243641473</v>
      </c>
      <c r="M675" s="138">
        <f t="shared" ca="1" si="3176"/>
        <v>583503.84443841374</v>
      </c>
      <c r="N675" s="138">
        <f t="shared" ref="N675:O675" ca="1" si="3177">N617+N629+N635+N641+N653</f>
        <v>591357.7121307794</v>
      </c>
      <c r="O675" s="138">
        <f t="shared" ca="1" si="3177"/>
        <v>675382.75377557799</v>
      </c>
      <c r="P675" s="138">
        <f t="shared" ref="P675:Q675" ca="1" si="3178">P617+P629+P635+P641+P653</f>
        <v>607690.63187130727</v>
      </c>
      <c r="Q675" s="138">
        <f t="shared" ca="1" si="3178"/>
        <v>615699.59855835559</v>
      </c>
      <c r="R675" s="138">
        <f t="shared" ref="R675:S675" ca="1" si="3179">R617+R629+R635+R641+R653</f>
        <v>617777.52667591418</v>
      </c>
      <c r="S675" s="138">
        <f t="shared" ca="1" si="3179"/>
        <v>700408.04019046738</v>
      </c>
      <c r="T675" s="138">
        <f t="shared" ref="T675:U675" ca="1" si="3180">T617+T629+T635+T641+T653</f>
        <v>622025.30392681342</v>
      </c>
      <c r="U675" s="138">
        <f t="shared" ca="1" si="3180"/>
        <v>631174.14823043777</v>
      </c>
      <c r="V675" s="138">
        <f t="shared" ref="V675:W675" ca="1" si="3181">V617+V629+V635+V641+V653</f>
        <v>633479.14750941377</v>
      </c>
      <c r="W675" s="138">
        <f t="shared" ca="1" si="3181"/>
        <v>721171.38984464318</v>
      </c>
      <c r="X675" s="138">
        <f t="shared" ref="X675:Y675" ca="1" si="3182">X617+X629+X635+X641+X653</f>
        <v>638191.1119983861</v>
      </c>
      <c r="Y675" s="138">
        <f t="shared" ca="1" si="3182"/>
        <v>640942.09318633622</v>
      </c>
      <c r="Z675" s="138">
        <f t="shared" ref="Z675:AA675" ca="1" si="3183">Z617+Z629+Z635+Z641+Z653</f>
        <v>643390.42578697891</v>
      </c>
      <c r="AA675" s="138">
        <f t="shared" ca="1" si="3183"/>
        <v>736349.30988607311</v>
      </c>
      <c r="AB675" s="138">
        <f t="shared" ref="AB675:AC675" ca="1" si="3184">AB617+AB629+AB635+AB641+AB653</f>
        <v>648395.3975354071</v>
      </c>
      <c r="AC675" s="138">
        <f t="shared" ca="1" si="3184"/>
        <v>654349.64407619694</v>
      </c>
      <c r="AD675" s="138">
        <f t="shared" ref="AD675:AE675" ca="1" si="3185">AD617+AD629+AD635+AD641+AD653</f>
        <v>656994.71701609599</v>
      </c>
      <c r="AE675" s="138">
        <f t="shared" ca="1" si="3185"/>
        <v>755581.70589446987</v>
      </c>
      <c r="AF675" s="138">
        <f t="shared" ref="AF675:AG675" ca="1" si="3186">AF617+AF629+AF635+AF641+AF653</f>
        <v>662401.87261793343</v>
      </c>
      <c r="AG675" s="138">
        <f t="shared" ca="1" si="3186"/>
        <v>666069.87249357789</v>
      </c>
      <c r="AH675" s="138">
        <f t="shared" ref="AH675:AI675" ca="1" si="3187">AH617+AH629+AH635+AH641+AH653</f>
        <v>668886.92626233515</v>
      </c>
      <c r="AI675" s="138">
        <f t="shared" ca="1" si="3187"/>
        <v>773402.60574249667</v>
      </c>
      <c r="AJ675" s="138">
        <f t="shared" ref="AJ675:AK675" ca="1" si="3188">AJ617+AJ629+AJ635+AJ641+AJ653</f>
        <v>674645.65141378366</v>
      </c>
      <c r="AK675" s="138">
        <f t="shared" ca="1" si="3188"/>
        <v>677248.11759837775</v>
      </c>
      <c r="AL675" s="138">
        <f t="shared" ref="AL675:AM675" ca="1" si="3189">AL617+AL629+AL635+AL641+AL653</f>
        <v>680229.19921623846</v>
      </c>
      <c r="AM675" s="138">
        <f t="shared" ca="1" si="3189"/>
        <v>791010.75078679388</v>
      </c>
      <c r="AN675" s="138">
        <f t="shared" ref="AN675:AO675" ca="1" si="3190">AN617+AN629+AN635+AN641+AN653</f>
        <v>686323.23614293465</v>
      </c>
      <c r="AO675" s="138">
        <f t="shared" ca="1" si="3190"/>
        <v>689391.34490243578</v>
      </c>
      <c r="AP675" s="138">
        <f t="shared" ref="AP675:AQ675" ca="1" si="3191">AP617+AP629+AP635+AP641+AP653</f>
        <v>692550.61436974723</v>
      </c>
      <c r="AQ675" s="138">
        <f t="shared" ca="1" si="3191"/>
        <v>809978.37205202249</v>
      </c>
      <c r="AR675" s="138">
        <f t="shared" ref="AR675:AS675" ca="1" si="3192">AR617+AR629+AR635+AR641+AR653</f>
        <v>699008.90946634253</v>
      </c>
      <c r="AS675" s="138">
        <f t="shared" ca="1" si="3192"/>
        <v>693221.33690958819</v>
      </c>
      <c r="AT675" s="138">
        <f t="shared" ref="AT675:AU675" ca="1" si="3193">AT617+AT629+AT635+AT641+AT653</f>
        <v>696436.80709043983</v>
      </c>
      <c r="AU675" s="138">
        <f t="shared" ca="1" si="3193"/>
        <v>820774.91794172791</v>
      </c>
      <c r="AV675" s="138">
        <f t="shared" ref="AV675" ca="1" si="3194">AV617+AV629+AV635+AV641+AV653</f>
        <v>703009.98975722725</v>
      </c>
      <c r="AX675" s="160"/>
    </row>
    <row r="676" spans="1:50" s="94" customFormat="1" x14ac:dyDescent="0.2">
      <c r="A676" s="65" t="str">
        <f ca="1">Language!A$840</f>
        <v>Итого краткосрочные обязательства</v>
      </c>
      <c r="B676" s="179"/>
      <c r="C676" s="152" t="str">
        <f ca="1">CurName1</f>
        <v>тыс. руб.</v>
      </c>
      <c r="D676" s="114"/>
      <c r="E676" s="114"/>
      <c r="F676" s="57" t="s">
        <v>754</v>
      </c>
      <c r="G676" s="138">
        <f ca="1">G623+G647+G659+G665+G670</f>
        <v>305789.87609114411</v>
      </c>
      <c r="H676" s="138">
        <f t="shared" ref="H676:K676" ca="1" si="3195">H623+H647+H659+H665+H670</f>
        <v>214516.41961506841</v>
      </c>
      <c r="I676" s="138">
        <f t="shared" ca="1" si="3195"/>
        <v>136395.73041213222</v>
      </c>
      <c r="J676" s="138">
        <f t="shared" ca="1" si="3195"/>
        <v>68861.152942873407</v>
      </c>
      <c r="K676" s="138">
        <f t="shared" ca="1" si="3195"/>
        <v>74244.561837516259</v>
      </c>
      <c r="L676" s="138">
        <f t="shared" ref="L676:M676" ca="1" si="3196">L623+L647+L659+L665+L670</f>
        <v>69567.694411527656</v>
      </c>
      <c r="M676" s="138">
        <f t="shared" ca="1" si="3196"/>
        <v>68993.501662280411</v>
      </c>
      <c r="N676" s="138">
        <f t="shared" ref="N676:O676" ca="1" si="3197">N623+N647+N659+N665+N670</f>
        <v>71015.543000668084</v>
      </c>
      <c r="O676" s="138">
        <f t="shared" ca="1" si="3197"/>
        <v>77148.371431606283</v>
      </c>
      <c r="P676" s="138">
        <f t="shared" ref="P676:Q676" ca="1" si="3198">P623+P647+P659+P665+P670</f>
        <v>71813.050789438159</v>
      </c>
      <c r="Q676" s="138">
        <f t="shared" ca="1" si="3198"/>
        <v>70541.117441670023</v>
      </c>
      <c r="R676" s="138">
        <f t="shared" ref="R676:S676" ca="1" si="3199">R623+R647+R659+R665+R670</f>
        <v>72451.509679678697</v>
      </c>
      <c r="S676" s="138">
        <f t="shared" ca="1" si="3199"/>
        <v>78712.277632314712</v>
      </c>
      <c r="T676" s="138">
        <f t="shared" ref="T676:U676" ca="1" si="3200">T623+T647+T659+T665+T670</f>
        <v>72809.591974109688</v>
      </c>
      <c r="U676" s="138">
        <f t="shared" ca="1" si="3200"/>
        <v>71597.364866743825</v>
      </c>
      <c r="V676" s="138">
        <f t="shared" ref="V676:W676" ca="1" si="3201">V623+V647+V659+V665+V670</f>
        <v>73628.897593148591</v>
      </c>
      <c r="W676" s="138">
        <f t="shared" ca="1" si="3201"/>
        <v>80271.924205840493</v>
      </c>
      <c r="X676" s="138">
        <f t="shared" ref="X676:Y676" ca="1" si="3202">X623+X647+X659+X665+X670</f>
        <v>74021.787023065117</v>
      </c>
      <c r="Y676" s="138">
        <f t="shared" ca="1" si="3202"/>
        <v>72227.512330693164</v>
      </c>
      <c r="Z676" s="138">
        <f t="shared" ref="Z676:AA676" ca="1" si="3203">Z623+Z647+Z659+Z665+Z670</f>
        <v>74380.271496781861</v>
      </c>
      <c r="AA676" s="138">
        <f t="shared" ca="1" si="3203"/>
        <v>81421.204416539578</v>
      </c>
      <c r="AB676" s="138">
        <f t="shared" ref="AB676:AC676" ca="1" si="3204">AB623+AB647+AB659+AB665+AB670</f>
        <v>74795.373804004892</v>
      </c>
      <c r="AC676" s="138">
        <f t="shared" ca="1" si="3204"/>
        <v>73164.904438527694</v>
      </c>
      <c r="AD676" s="138">
        <f t="shared" ref="AD676:AE676" ca="1" si="3205">AD623+AD647+AD659+AD665+AD670</f>
        <v>75450.117290104914</v>
      </c>
      <c r="AE676" s="138">
        <f t="shared" ca="1" si="3205"/>
        <v>82916.842570166133</v>
      </c>
      <c r="AF676" s="138">
        <f t="shared" ref="AF676:AG676" ca="1" si="3206">AF623+AF647+AF659+AF665+AF670</f>
        <v>75896.847463599377</v>
      </c>
      <c r="AG676" s="138">
        <f t="shared" ca="1" si="3206"/>
        <v>73999.647760519525</v>
      </c>
      <c r="AH676" s="138">
        <f t="shared" ref="AH676:AI676" ca="1" si="3207">AH623+AH647+AH659+AH665+AH670</f>
        <v>76422.929957366301</v>
      </c>
      <c r="AI676" s="138">
        <f t="shared" ca="1" si="3207"/>
        <v>84338.629365028435</v>
      </c>
      <c r="AJ676" s="138">
        <f t="shared" ref="AJ676:AK676" ca="1" si="3208">AJ623+AJ647+AJ659+AJ665+AJ670</f>
        <v>76898.419405458422</v>
      </c>
      <c r="AK676" s="138">
        <f t="shared" ca="1" si="3208"/>
        <v>74784.429330828149</v>
      </c>
      <c r="AL676" s="138">
        <f t="shared" ref="AL676:AM676" ca="1" si="3209">AL623+AL647+AL659+AL665+AL670</f>
        <v>77352.596968896309</v>
      </c>
      <c r="AM676" s="138">
        <f t="shared" ca="1" si="3209"/>
        <v>85742.719344894518</v>
      </c>
      <c r="AN676" s="138">
        <f t="shared" ref="AN676:AO676" ca="1" si="3210">AN623+AN647+AN659+AN665+AN670</f>
        <v>77855.570175957386</v>
      </c>
      <c r="AO676" s="138">
        <f t="shared" ca="1" si="3210"/>
        <v>75636.040091390925</v>
      </c>
      <c r="AP676" s="138">
        <f t="shared" ref="AP676:AQ676" ca="1" si="3211">AP623+AP647+AP659+AP665+AP670</f>
        <v>78358.075992568803</v>
      </c>
      <c r="AQ676" s="138">
        <f t="shared" ca="1" si="3211"/>
        <v>87251.380661364266</v>
      </c>
      <c r="AR676" s="138">
        <f t="shared" ref="AR676:AS676" ca="1" si="3212">AR623+AR647+AR659+AR665+AR670</f>
        <v>78890.774190182667</v>
      </c>
      <c r="AS676" s="138">
        <f t="shared" ca="1" si="3212"/>
        <v>75666.322036605154</v>
      </c>
      <c r="AT676" s="138">
        <f t="shared" ref="AT676:AU676" ca="1" si="3213">AT623+AT647+AT659+AT665+AT670</f>
        <v>78538.656459671241</v>
      </c>
      <c r="AU676" s="138">
        <f t="shared" ca="1" si="3213"/>
        <v>87952.344669636776</v>
      </c>
      <c r="AV676" s="138">
        <f t="shared" ref="AV676" ca="1" si="3214">AV623+AV647+AV659+AV665+AV670</f>
        <v>79076.693160180002</v>
      </c>
      <c r="AX676" s="160"/>
    </row>
    <row r="677" spans="1:50" s="94" customFormat="1" x14ac:dyDescent="0.2">
      <c r="A677" s="65" t="str">
        <f ca="1">Language!A$841</f>
        <v>Чистый оборотный капитал</v>
      </c>
      <c r="B677" s="179"/>
      <c r="C677" s="152" t="str">
        <f ca="1">CurName1</f>
        <v>тыс. руб.</v>
      </c>
      <c r="D677" s="114"/>
      <c r="E677" s="114"/>
      <c r="F677" s="57" t="s">
        <v>754</v>
      </c>
      <c r="G677" s="138">
        <f ca="1">G675-G676</f>
        <v>269389.02450773009</v>
      </c>
      <c r="H677" s="138">
        <f t="shared" ref="H677:K677" ca="1" si="3215">H675-H676</f>
        <v>317509.63509568822</v>
      </c>
      <c r="I677" s="138">
        <f t="shared" ca="1" si="3215"/>
        <v>414137.29222255619</v>
      </c>
      <c r="J677" s="138">
        <f t="shared" ca="1" si="3215"/>
        <v>491046.12440955953</v>
      </c>
      <c r="K677" s="138">
        <f t="shared" ca="1" si="3215"/>
        <v>559975.17490704043</v>
      </c>
      <c r="L677" s="138">
        <f t="shared" ref="L677:M677" ca="1" si="3216">L675-L676</f>
        <v>505014.45802488708</v>
      </c>
      <c r="M677" s="138">
        <f t="shared" ca="1" si="3216"/>
        <v>514510.34277613333</v>
      </c>
      <c r="N677" s="138">
        <f t="shared" ref="N677:O677" ca="1" si="3217">N675-N676</f>
        <v>520342.16913011135</v>
      </c>
      <c r="O677" s="138">
        <f t="shared" ca="1" si="3217"/>
        <v>598234.38234397175</v>
      </c>
      <c r="P677" s="138">
        <f t="shared" ref="P677:Q677" ca="1" si="3218">P675-P676</f>
        <v>535877.58108186908</v>
      </c>
      <c r="Q677" s="138">
        <f t="shared" ca="1" si="3218"/>
        <v>545158.48111668555</v>
      </c>
      <c r="R677" s="138">
        <f t="shared" ref="R677:S677" ca="1" si="3219">R675-R676</f>
        <v>545326.01699623547</v>
      </c>
      <c r="S677" s="138">
        <f t="shared" ca="1" si="3219"/>
        <v>621695.76255815267</v>
      </c>
      <c r="T677" s="138">
        <f t="shared" ref="T677:U677" ca="1" si="3220">T675-T676</f>
        <v>549215.71195270377</v>
      </c>
      <c r="U677" s="138">
        <f t="shared" ca="1" si="3220"/>
        <v>559576.78336369398</v>
      </c>
      <c r="V677" s="138">
        <f t="shared" ref="V677:W677" ca="1" si="3221">V675-V676</f>
        <v>559850.24991626514</v>
      </c>
      <c r="W677" s="138">
        <f t="shared" ca="1" si="3221"/>
        <v>640899.46563880274</v>
      </c>
      <c r="X677" s="138">
        <f t="shared" ref="X677:Y677" ca="1" si="3222">X675-X676</f>
        <v>564169.32497532095</v>
      </c>
      <c r="Y677" s="138">
        <f t="shared" ca="1" si="3222"/>
        <v>568714.58085564303</v>
      </c>
      <c r="Z677" s="138">
        <f t="shared" ref="Z677:AA677" ca="1" si="3223">Z675-Z676</f>
        <v>569010.15429019707</v>
      </c>
      <c r="AA677" s="138">
        <f t="shared" ca="1" si="3223"/>
        <v>654928.10546953348</v>
      </c>
      <c r="AB677" s="138">
        <f t="shared" ref="AB677:AC677" ca="1" si="3224">AB675-AB676</f>
        <v>573600.02373140224</v>
      </c>
      <c r="AC677" s="138">
        <f t="shared" ca="1" si="3224"/>
        <v>581184.73963766929</v>
      </c>
      <c r="AD677" s="138">
        <f t="shared" ref="AD677:AE677" ca="1" si="3225">AD675-AD676</f>
        <v>581544.59972599102</v>
      </c>
      <c r="AE677" s="138">
        <f t="shared" ca="1" si="3225"/>
        <v>672664.86332430376</v>
      </c>
      <c r="AF677" s="138">
        <f t="shared" ref="AF677:AG677" ca="1" si="3226">AF675-AF676</f>
        <v>586505.02515433403</v>
      </c>
      <c r="AG677" s="138">
        <f t="shared" ca="1" si="3226"/>
        <v>592070.22473305836</v>
      </c>
      <c r="AH677" s="138">
        <f t="shared" ref="AH677:AI677" ca="1" si="3227">AH675-AH676</f>
        <v>592463.99630496884</v>
      </c>
      <c r="AI677" s="138">
        <f t="shared" ca="1" si="3227"/>
        <v>689063.97637746821</v>
      </c>
      <c r="AJ677" s="138">
        <f t="shared" ref="AJ677:AK677" ca="1" si="3228">AJ675-AJ676</f>
        <v>597747.23200832529</v>
      </c>
      <c r="AK677" s="138">
        <f t="shared" ca="1" si="3228"/>
        <v>602463.68826754962</v>
      </c>
      <c r="AL677" s="138">
        <f t="shared" ref="AL677:AM677" ca="1" si="3229">AL675-AL676</f>
        <v>602876.60224734212</v>
      </c>
      <c r="AM677" s="138">
        <f t="shared" ca="1" si="3229"/>
        <v>705268.03144189937</v>
      </c>
      <c r="AN677" s="138">
        <f t="shared" ref="AN677:AO677" ca="1" si="3230">AN675-AN676</f>
        <v>608467.66596697725</v>
      </c>
      <c r="AO677" s="138">
        <f t="shared" ca="1" si="3230"/>
        <v>613755.30481104483</v>
      </c>
      <c r="AP677" s="138">
        <f t="shared" ref="AP677:AQ677" ca="1" si="3231">AP675-AP676</f>
        <v>614192.53837717837</v>
      </c>
      <c r="AQ677" s="138">
        <f t="shared" ca="1" si="3231"/>
        <v>722726.99139065819</v>
      </c>
      <c r="AR677" s="138">
        <f t="shared" ref="AR677:AS677" ca="1" si="3232">AR675-AR676</f>
        <v>620118.13527615985</v>
      </c>
      <c r="AS677" s="138">
        <f t="shared" ca="1" si="3232"/>
        <v>617555.0148729831</v>
      </c>
      <c r="AT677" s="138">
        <f t="shared" ref="AT677:AU677" ca="1" si="3233">AT675-AT676</f>
        <v>617898.15063076862</v>
      </c>
      <c r="AU677" s="138">
        <f t="shared" ca="1" si="3233"/>
        <v>732822.5732720911</v>
      </c>
      <c r="AV677" s="138">
        <f t="shared" ref="AV677" ca="1" si="3234">AV675-AV676</f>
        <v>623933.29659704724</v>
      </c>
      <c r="AX677" s="160"/>
    </row>
    <row r="678" spans="1:50" s="94" customFormat="1" x14ac:dyDescent="0.2">
      <c r="A678" s="65" t="str">
        <f ca="1">Language!A$842</f>
        <v>Изменение чистого оборотного капитала</v>
      </c>
      <c r="B678" s="179"/>
      <c r="C678" s="152" t="str">
        <f ca="1">CurName1</f>
        <v>тыс. руб.</v>
      </c>
      <c r="D678" s="114"/>
      <c r="E678" s="114"/>
      <c r="F678" s="57" t="s">
        <v>753</v>
      </c>
      <c r="G678" s="138">
        <f ca="1">G677-IF(G$2=1,$B620+$B632+$B638+$B644+$B656-($B626+$B650+$B662+$B667+$B672),F677)</f>
        <v>-254709.97549226991</v>
      </c>
      <c r="H678" s="138">
        <f t="shared" ref="H678:AV678" ca="1" si="3235">H677-IF(H$2=1,$B620+$B632+$B638+$B644+$B656-($B626+$B650+$B662+$B667+$B672),G677)</f>
        <v>48120.61058795813</v>
      </c>
      <c r="I678" s="138">
        <f t="shared" ca="1" si="3235"/>
        <v>96627.657126867969</v>
      </c>
      <c r="J678" s="138">
        <f t="shared" ca="1" si="3235"/>
        <v>76908.83218700334</v>
      </c>
      <c r="K678" s="138">
        <f t="shared" ca="1" si="3235"/>
        <v>68929.050497480901</v>
      </c>
      <c r="L678" s="138">
        <f t="shared" ca="1" si="3235"/>
        <v>-54960.716882153356</v>
      </c>
      <c r="M678" s="138">
        <f t="shared" ca="1" si="3235"/>
        <v>9495.8847512462526</v>
      </c>
      <c r="N678" s="138">
        <f t="shared" ca="1" si="3235"/>
        <v>5831.8263539780164</v>
      </c>
      <c r="O678" s="138">
        <f t="shared" ca="1" si="3235"/>
        <v>77892.213213860407</v>
      </c>
      <c r="P678" s="138">
        <f t="shared" ca="1" si="3235"/>
        <v>-62356.801262102672</v>
      </c>
      <c r="Q678" s="138">
        <f t="shared" ca="1" si="3235"/>
        <v>9280.90003481647</v>
      </c>
      <c r="R678" s="138">
        <f t="shared" ca="1" si="3235"/>
        <v>167.53587954991963</v>
      </c>
      <c r="S678" s="138">
        <f t="shared" ca="1" si="3235"/>
        <v>76369.745561917196</v>
      </c>
      <c r="T678" s="138">
        <f t="shared" ca="1" si="3235"/>
        <v>-72480.050605448894</v>
      </c>
      <c r="U678" s="138">
        <f t="shared" ca="1" si="3235"/>
        <v>10361.071410990204</v>
      </c>
      <c r="V678" s="138">
        <f t="shared" ca="1" si="3235"/>
        <v>273.46655257116072</v>
      </c>
      <c r="W678" s="138">
        <f t="shared" ca="1" si="3235"/>
        <v>81049.2157225376</v>
      </c>
      <c r="X678" s="138">
        <f t="shared" ca="1" si="3235"/>
        <v>-76730.140663481783</v>
      </c>
      <c r="Y678" s="138">
        <f t="shared" ca="1" si="3235"/>
        <v>4545.2558803220745</v>
      </c>
      <c r="Z678" s="138">
        <f t="shared" ca="1" si="3235"/>
        <v>295.57343455404043</v>
      </c>
      <c r="AA678" s="138">
        <f t="shared" ca="1" si="3235"/>
        <v>85917.951179336407</v>
      </c>
      <c r="AB678" s="138">
        <f t="shared" ca="1" si="3235"/>
        <v>-81328.081738131237</v>
      </c>
      <c r="AC678" s="138">
        <f t="shared" ca="1" si="3235"/>
        <v>7584.7159062670544</v>
      </c>
      <c r="AD678" s="138">
        <f t="shared" ca="1" si="3235"/>
        <v>359.86008832172956</v>
      </c>
      <c r="AE678" s="138">
        <f t="shared" ca="1" si="3235"/>
        <v>91120.26359831274</v>
      </c>
      <c r="AF678" s="138">
        <f t="shared" ca="1" si="3235"/>
        <v>-86159.838169969735</v>
      </c>
      <c r="AG678" s="138">
        <f t="shared" ca="1" si="3235"/>
        <v>5565.1995787243359</v>
      </c>
      <c r="AH678" s="138">
        <f t="shared" ca="1" si="3235"/>
        <v>393.77157191047445</v>
      </c>
      <c r="AI678" s="138">
        <f t="shared" ca="1" si="3235"/>
        <v>96599.980072499369</v>
      </c>
      <c r="AJ678" s="138">
        <f t="shared" ca="1" si="3235"/>
        <v>-91316.744369142922</v>
      </c>
      <c r="AK678" s="138">
        <f t="shared" ca="1" si="3235"/>
        <v>4716.456259224331</v>
      </c>
      <c r="AL678" s="138">
        <f t="shared" ca="1" si="3235"/>
        <v>412.91397979250178</v>
      </c>
      <c r="AM678" s="138">
        <f t="shared" ca="1" si="3235"/>
        <v>102391.42919455725</v>
      </c>
      <c r="AN678" s="138">
        <f t="shared" ca="1" si="3235"/>
        <v>-96800.365474922117</v>
      </c>
      <c r="AO678" s="138">
        <f t="shared" ca="1" si="3235"/>
        <v>5287.6388440675801</v>
      </c>
      <c r="AP678" s="138">
        <f t="shared" ca="1" si="3235"/>
        <v>437.23356613353826</v>
      </c>
      <c r="AQ678" s="138">
        <f t="shared" ca="1" si="3235"/>
        <v>108534.45301347983</v>
      </c>
      <c r="AR678" s="138">
        <f t="shared" ca="1" si="3235"/>
        <v>-102608.85611449834</v>
      </c>
      <c r="AS678" s="138">
        <f t="shared" ca="1" si="3235"/>
        <v>-2563.1204031767556</v>
      </c>
      <c r="AT678" s="138">
        <f t="shared" ca="1" si="3235"/>
        <v>343.13575778552331</v>
      </c>
      <c r="AU678" s="138">
        <f t="shared" ca="1" si="3235"/>
        <v>114924.42264132248</v>
      </c>
      <c r="AV678" s="138">
        <f t="shared" ca="1" si="3235"/>
        <v>-108889.27667504386</v>
      </c>
      <c r="AX678" s="160"/>
    </row>
    <row r="679" spans="1:50" x14ac:dyDescent="0.2">
      <c r="A679" s="67"/>
      <c r="B679" s="51"/>
      <c r="C679" s="51"/>
      <c r="D679" s="68"/>
      <c r="E679" s="68" t="s">
        <v>991</v>
      </c>
      <c r="F679" s="68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112"/>
      <c r="AX679" s="149"/>
    </row>
    <row r="682" spans="1:50" s="64" customFormat="1" ht="25.5" customHeight="1" thickBot="1" x14ac:dyDescent="0.25">
      <c r="A682" s="118" t="str">
        <f ca="1">Language!A$843</f>
        <v>ИНВЕСТИЦИИ В ОСНОВНЫЕ СРЕДСТВА</v>
      </c>
      <c r="B682" s="119"/>
      <c r="C682" s="120"/>
      <c r="D682" s="121"/>
      <c r="E682" s="121" t="s">
        <v>889</v>
      </c>
      <c r="F682" s="121" t="s">
        <v>798</v>
      </c>
      <c r="G682" s="69" t="str">
        <f ca="1">Параметры!G$34</f>
        <v>4 кв. 2022</v>
      </c>
      <c r="H682" s="140" t="str">
        <f ca="1">Параметры!H$34</f>
        <v>1 кв. 2023</v>
      </c>
      <c r="I682" s="140" t="str">
        <f ca="1">Параметры!I$34</f>
        <v>2 кв. 2023</v>
      </c>
      <c r="J682" s="140" t="str">
        <f ca="1">Параметры!J$34</f>
        <v>3 кв. 2023</v>
      </c>
      <c r="K682" s="140" t="str">
        <f ca="1">Параметры!K$34</f>
        <v>4 кв. 2023</v>
      </c>
      <c r="L682" s="140" t="str">
        <f ca="1">Параметры!L$34</f>
        <v>1 кв. 2024</v>
      </c>
      <c r="M682" s="140" t="str">
        <f ca="1">Параметры!M$34</f>
        <v>2 кв. 2024</v>
      </c>
      <c r="N682" s="140" t="str">
        <f ca="1">Параметры!N$34</f>
        <v>3 кв. 2024</v>
      </c>
      <c r="O682" s="140" t="str">
        <f ca="1">Параметры!O$34</f>
        <v>4 кв. 2024</v>
      </c>
      <c r="P682" s="140" t="str">
        <f ca="1">Параметры!P$34</f>
        <v>1 кв. 2025</v>
      </c>
      <c r="Q682" s="140" t="str">
        <f ca="1">Параметры!Q$34</f>
        <v>2 кв. 2025</v>
      </c>
      <c r="R682" s="140" t="str">
        <f ca="1">Параметры!R$34</f>
        <v>3 кв. 2025</v>
      </c>
      <c r="S682" s="140" t="str">
        <f ca="1">Параметры!S$34</f>
        <v>4 кв. 2025</v>
      </c>
      <c r="T682" s="140" t="str">
        <f ca="1">Параметры!T$34</f>
        <v>1 кв. 2026</v>
      </c>
      <c r="U682" s="140" t="str">
        <f ca="1">Параметры!U$34</f>
        <v>2 кв. 2026</v>
      </c>
      <c r="V682" s="140" t="str">
        <f ca="1">Параметры!V$34</f>
        <v>3 кв. 2026</v>
      </c>
      <c r="W682" s="140" t="str">
        <f ca="1">Параметры!W$34</f>
        <v>4 кв. 2026</v>
      </c>
      <c r="X682" s="140" t="str">
        <f ca="1">Параметры!X$34</f>
        <v>1 кв. 2027</v>
      </c>
      <c r="Y682" s="140" t="str">
        <f ca="1">Параметры!Y$34</f>
        <v>2 кв. 2027</v>
      </c>
      <c r="Z682" s="140" t="str">
        <f ca="1">Параметры!Z$34</f>
        <v>3 кв. 2027</v>
      </c>
      <c r="AA682" s="140" t="str">
        <f ca="1">Параметры!AA$34</f>
        <v>4 кв. 2027</v>
      </c>
      <c r="AB682" s="140" t="str">
        <f ca="1">Параметры!AB$34</f>
        <v>1 кв. 2028</v>
      </c>
      <c r="AC682" s="140" t="str">
        <f ca="1">Параметры!AC$34</f>
        <v>2 кв. 2028</v>
      </c>
      <c r="AD682" s="140" t="str">
        <f ca="1">Параметры!AD$34</f>
        <v>3 кв. 2028</v>
      </c>
      <c r="AE682" s="140" t="str">
        <f ca="1">Параметры!AE$34</f>
        <v>4 кв. 2028</v>
      </c>
      <c r="AF682" s="140" t="str">
        <f ca="1">Параметры!AF$34</f>
        <v>1 кв. 2029</v>
      </c>
      <c r="AG682" s="140" t="str">
        <f ca="1">Параметры!AG$34</f>
        <v>2 кв. 2029</v>
      </c>
      <c r="AH682" s="140" t="str">
        <f ca="1">Параметры!AH$34</f>
        <v>3 кв. 2029</v>
      </c>
      <c r="AI682" s="140" t="str">
        <f ca="1">Параметры!AI$34</f>
        <v>4 кв. 2029</v>
      </c>
      <c r="AJ682" s="140" t="str">
        <f ca="1">Параметры!AJ$34</f>
        <v>1 кв. 2030</v>
      </c>
      <c r="AK682" s="140" t="str">
        <f ca="1">Параметры!AK$34</f>
        <v>2 кв. 2030</v>
      </c>
      <c r="AL682" s="140" t="str">
        <f ca="1">Параметры!AL$34</f>
        <v>3 кв. 2030</v>
      </c>
      <c r="AM682" s="140" t="str">
        <f ca="1">Параметры!AM$34</f>
        <v>4 кв. 2030</v>
      </c>
      <c r="AN682" s="140" t="str">
        <f ca="1">Параметры!AN$34</f>
        <v>1 кв. 2031</v>
      </c>
      <c r="AO682" s="140" t="str">
        <f ca="1">Параметры!AO$34</f>
        <v>2 кв. 2031</v>
      </c>
      <c r="AP682" s="140" t="str">
        <f ca="1">Параметры!AP$34</f>
        <v>3 кв. 2031</v>
      </c>
      <c r="AQ682" s="140" t="str">
        <f ca="1">Параметры!AQ$34</f>
        <v>4 кв. 2031</v>
      </c>
      <c r="AR682" s="140" t="str">
        <f ca="1">Параметры!AR$34</f>
        <v>1 кв. 2032</v>
      </c>
      <c r="AS682" s="140" t="str">
        <f ca="1">Параметры!AS$34</f>
        <v>2 кв. 2032</v>
      </c>
      <c r="AT682" s="140" t="str">
        <f ca="1">Параметры!AT$34</f>
        <v>3 кв. 2032</v>
      </c>
      <c r="AU682" s="140" t="str">
        <f ca="1">Параметры!AU$34</f>
        <v>4 кв. 2032</v>
      </c>
      <c r="AV682" s="140" t="str">
        <f ca="1">Параметры!AV$34</f>
        <v>1 кв. 2033</v>
      </c>
      <c r="AW682" s="140"/>
      <c r="AX682" s="141" t="str">
        <f ca="1">Language!$A$1445</f>
        <v>ИТОГО</v>
      </c>
    </row>
    <row r="683" spans="1:50" ht="13.5" thickTop="1" x14ac:dyDescent="0.2">
      <c r="AW683" s="94"/>
    </row>
    <row r="684" spans="1:50" x14ac:dyDescent="0.2">
      <c r="A684" s="203" t="str">
        <f ca="1">Language!A$930</f>
        <v>Здания и сооружения</v>
      </c>
      <c r="B684" s="51"/>
      <c r="C684" s="51"/>
      <c r="D684" s="68"/>
      <c r="E684" s="68" t="s">
        <v>728</v>
      </c>
      <c r="F684" s="68" t="s">
        <v>2228</v>
      </c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112"/>
      <c r="AX684" s="149"/>
    </row>
    <row r="685" spans="1:50" x14ac:dyDescent="0.2">
      <c r="AW685" s="94"/>
    </row>
    <row r="686" spans="1:50" x14ac:dyDescent="0.2">
      <c r="A686" s="299" t="s">
        <v>2297</v>
      </c>
      <c r="C686" s="146"/>
      <c r="D686" s="158">
        <v>1</v>
      </c>
      <c r="F686" s="57" t="s">
        <v>2298</v>
      </c>
      <c r="AW686" s="94"/>
    </row>
    <row r="687" spans="1:50" collapsed="1" x14ac:dyDescent="0.2">
      <c r="A687" s="99" t="str">
        <f ca="1">Language!A$858</f>
        <v>график оплаты, без НДС</v>
      </c>
      <c r="B687" s="215">
        <f>AX687</f>
        <v>91398.305084745778</v>
      </c>
      <c r="C687" s="146" t="str">
        <f t="shared" ref="C687:C689" ca="1" si="3236">CHOOSE(D687,CurName1,CurName2,CurName3)</f>
        <v>тыс. руб.</v>
      </c>
      <c r="D687" s="66">
        <f>D686</f>
        <v>1</v>
      </c>
      <c r="F687" s="57" t="s">
        <v>753</v>
      </c>
      <c r="G687" s="311">
        <v>31277.966101694918</v>
      </c>
      <c r="H687" s="311">
        <v>25423.728813559323</v>
      </c>
      <c r="I687" s="311">
        <v>16949.152542372882</v>
      </c>
      <c r="J687" s="311">
        <v>17747.457627118645</v>
      </c>
      <c r="K687" s="311">
        <v>0</v>
      </c>
      <c r="L687" s="311">
        <v>0</v>
      </c>
      <c r="M687" s="311">
        <v>0</v>
      </c>
      <c r="N687" s="311">
        <v>0</v>
      </c>
      <c r="O687" s="311">
        <v>0</v>
      </c>
      <c r="P687" s="311">
        <v>0</v>
      </c>
      <c r="Q687" s="311">
        <v>0</v>
      </c>
      <c r="R687" s="311">
        <v>0</v>
      </c>
      <c r="S687" s="311">
        <v>0</v>
      </c>
      <c r="T687" s="311">
        <v>0</v>
      </c>
      <c r="U687" s="311">
        <v>0</v>
      </c>
      <c r="V687" s="311">
        <v>0</v>
      </c>
      <c r="W687" s="311">
        <v>0</v>
      </c>
      <c r="X687" s="311">
        <v>0</v>
      </c>
      <c r="Y687" s="311">
        <v>0</v>
      </c>
      <c r="Z687" s="311">
        <v>0</v>
      </c>
      <c r="AA687" s="311">
        <v>0</v>
      </c>
      <c r="AB687" s="311">
        <v>0</v>
      </c>
      <c r="AC687" s="311">
        <v>0</v>
      </c>
      <c r="AD687" s="311">
        <v>0</v>
      </c>
      <c r="AE687" s="311">
        <v>0</v>
      </c>
      <c r="AF687" s="311">
        <v>0</v>
      </c>
      <c r="AG687" s="311">
        <v>0</v>
      </c>
      <c r="AH687" s="311">
        <v>0</v>
      </c>
      <c r="AI687" s="311">
        <v>0</v>
      </c>
      <c r="AJ687" s="311">
        <v>0</v>
      </c>
      <c r="AK687" s="311">
        <v>0</v>
      </c>
      <c r="AL687" s="311">
        <v>0</v>
      </c>
      <c r="AM687" s="311">
        <v>0</v>
      </c>
      <c r="AN687" s="311">
        <v>0</v>
      </c>
      <c r="AO687" s="311">
        <v>0</v>
      </c>
      <c r="AP687" s="311">
        <v>0</v>
      </c>
      <c r="AQ687" s="311">
        <v>0</v>
      </c>
      <c r="AR687" s="311">
        <v>0</v>
      </c>
      <c r="AS687" s="311">
        <v>0</v>
      </c>
      <c r="AT687" s="311">
        <v>0</v>
      </c>
      <c r="AU687" s="311">
        <v>0</v>
      </c>
      <c r="AV687" s="311">
        <v>0</v>
      </c>
      <c r="AW687" s="148"/>
      <c r="AX687" s="171">
        <f>SUM(G687:AW687)</f>
        <v>91398.305084745778</v>
      </c>
    </row>
    <row r="688" spans="1:50" hidden="1" outlineLevel="1" x14ac:dyDescent="0.2">
      <c r="A688" s="99" t="str">
        <f ca="1">Language!A$859</f>
        <v>ранее осуществленные инвестиции, без НДС</v>
      </c>
      <c r="B688" s="328">
        <v>0</v>
      </c>
      <c r="C688" s="146" t="str">
        <f t="shared" ca="1" si="3236"/>
        <v>тыс. руб.</v>
      </c>
      <c r="D688" s="66">
        <f>D686</f>
        <v>1</v>
      </c>
      <c r="AW688" s="94"/>
    </row>
    <row r="689" spans="1:50" hidden="1" outlineLevel="1" x14ac:dyDescent="0.2">
      <c r="A689" s="99" t="str">
        <f ca="1">Language!A$860</f>
        <v>график ввода в эксплуатацию, без НДС</v>
      </c>
      <c r="B689" s="146"/>
      <c r="C689" s="146" t="str">
        <f t="shared" ca="1" si="3236"/>
        <v>тыс. руб.</v>
      </c>
      <c r="D689" s="66">
        <f>D686</f>
        <v>1</v>
      </c>
      <c r="F689" s="57" t="s">
        <v>753</v>
      </c>
      <c r="G689" s="311">
        <f>IF(G$2=ROUNDUP(Параметры!$B$18,0)+1,$AX687+$B688,0)</f>
        <v>91398.305084745778</v>
      </c>
      <c r="H689" s="311">
        <f>IF(H$2=ROUNDUP(Параметры!$B$18,0)+1,$AX687+$B688,0)</f>
        <v>0</v>
      </c>
      <c r="I689" s="311">
        <f>IF(I$2=ROUNDUP(Параметры!$B$18,0)+1,$AX687+$B688,0)</f>
        <v>0</v>
      </c>
      <c r="J689" s="311">
        <f>IF(J$2=ROUNDUP(Параметры!$B$18,0)+1,$AX687+$B688,0)</f>
        <v>0</v>
      </c>
      <c r="K689" s="311">
        <f>IF(K$2=ROUNDUP(Параметры!$B$18,0)+1,$AX687+$B688,0)</f>
        <v>0</v>
      </c>
      <c r="L689" s="311">
        <f>IF(L$2=ROUNDUP(Параметры!$B$18,0)+1,$AX687+$B688,0)</f>
        <v>0</v>
      </c>
      <c r="M689" s="311">
        <f>IF(M$2=ROUNDUP(Параметры!$B$18,0)+1,$AX687+$B688,0)</f>
        <v>0</v>
      </c>
      <c r="N689" s="311">
        <f>IF(N$2=ROUNDUP(Параметры!$B$18,0)+1,$AX687+$B688,0)</f>
        <v>0</v>
      </c>
      <c r="O689" s="311">
        <f>IF(O$2=ROUNDUP(Параметры!$B$18,0)+1,$AX687+$B688,0)</f>
        <v>0</v>
      </c>
      <c r="P689" s="311">
        <f>IF(P$2=ROUNDUP(Параметры!$B$18,0)+1,$AX687+$B688,0)</f>
        <v>0</v>
      </c>
      <c r="Q689" s="311">
        <f>IF(Q$2=ROUNDUP(Параметры!$B$18,0)+1,$AX687+$B688,0)</f>
        <v>0</v>
      </c>
      <c r="R689" s="311">
        <f>IF(R$2=ROUNDUP(Параметры!$B$18,0)+1,$AX687+$B688,0)</f>
        <v>0</v>
      </c>
      <c r="S689" s="311">
        <f>IF(S$2=ROUNDUP(Параметры!$B$18,0)+1,$AX687+$B688,0)</f>
        <v>0</v>
      </c>
      <c r="T689" s="311">
        <f>IF(T$2=ROUNDUP(Параметры!$B$18,0)+1,$AX687+$B688,0)</f>
        <v>0</v>
      </c>
      <c r="U689" s="311">
        <f>IF(U$2=ROUNDUP(Параметры!$B$18,0)+1,$AX687+$B688,0)</f>
        <v>0</v>
      </c>
      <c r="V689" s="311">
        <f>IF(V$2=ROUNDUP(Параметры!$B$18,0)+1,$AX687+$B688,0)</f>
        <v>0</v>
      </c>
      <c r="W689" s="311">
        <f>IF(W$2=ROUNDUP(Параметры!$B$18,0)+1,$AX687+$B688,0)</f>
        <v>0</v>
      </c>
      <c r="X689" s="311">
        <f>IF(X$2=ROUNDUP(Параметры!$B$18,0)+1,$AX687+$B688,0)</f>
        <v>0</v>
      </c>
      <c r="Y689" s="311">
        <f>IF(Y$2=ROUNDUP(Параметры!$B$18,0)+1,$AX687+$B688,0)</f>
        <v>0</v>
      </c>
      <c r="Z689" s="311">
        <f>IF(Z$2=ROUNDUP(Параметры!$B$18,0)+1,$AX687+$B688,0)</f>
        <v>0</v>
      </c>
      <c r="AA689" s="311">
        <f>IF(AA$2=ROUNDUP(Параметры!$B$18,0)+1,$AX687+$B688,0)</f>
        <v>0</v>
      </c>
      <c r="AB689" s="311">
        <f>IF(AB$2=ROUNDUP(Параметры!$B$18,0)+1,$AX687+$B688,0)</f>
        <v>0</v>
      </c>
      <c r="AC689" s="311">
        <f>IF(AC$2=ROUNDUP(Параметры!$B$18,0)+1,$AX687+$B688,0)</f>
        <v>0</v>
      </c>
      <c r="AD689" s="311">
        <f>IF(AD$2=ROUNDUP(Параметры!$B$18,0)+1,$AX687+$B688,0)</f>
        <v>0</v>
      </c>
      <c r="AE689" s="311">
        <f>IF(AE$2=ROUNDUP(Параметры!$B$18,0)+1,$AX687+$B688,0)</f>
        <v>0</v>
      </c>
      <c r="AF689" s="311">
        <f>IF(AF$2=ROUNDUP(Параметры!$B$18,0)+1,$AX687+$B688,0)</f>
        <v>0</v>
      </c>
      <c r="AG689" s="311">
        <f>IF(AG$2=ROUNDUP(Параметры!$B$18,0)+1,$AX687+$B688,0)</f>
        <v>0</v>
      </c>
      <c r="AH689" s="311">
        <f>IF(AH$2=ROUNDUP(Параметры!$B$18,0)+1,$AX687+$B688,0)</f>
        <v>0</v>
      </c>
      <c r="AI689" s="311">
        <f>IF(AI$2=ROUNDUP(Параметры!$B$18,0)+1,$AX687+$B688,0)</f>
        <v>0</v>
      </c>
      <c r="AJ689" s="311">
        <f>IF(AJ$2=ROUNDUP(Параметры!$B$18,0)+1,$AX687+$B688,0)</f>
        <v>0</v>
      </c>
      <c r="AK689" s="311">
        <f>IF(AK$2=ROUNDUP(Параметры!$B$18,0)+1,$AX687+$B688,0)</f>
        <v>0</v>
      </c>
      <c r="AL689" s="311">
        <f>IF(AL$2=ROUNDUP(Параметры!$B$18,0)+1,$AX687+$B688,0)</f>
        <v>0</v>
      </c>
      <c r="AM689" s="311">
        <f>IF(AM$2=ROUNDUP(Параметры!$B$18,0)+1,$AX687+$B688,0)</f>
        <v>0</v>
      </c>
      <c r="AN689" s="311">
        <f>IF(AN$2=ROUNDUP(Параметры!$B$18,0)+1,$AX687+$B688,0)</f>
        <v>0</v>
      </c>
      <c r="AO689" s="311">
        <f>IF(AO$2=ROUNDUP(Параметры!$B$18,0)+1,$AX687+$B688,0)</f>
        <v>0</v>
      </c>
      <c r="AP689" s="311">
        <f>IF(AP$2=ROUNDUP(Параметры!$B$18,0)+1,$AX687+$B688,0)</f>
        <v>0</v>
      </c>
      <c r="AQ689" s="311">
        <f>IF(AQ$2=ROUNDUP(Параметры!$B$18,0)+1,$AX687+$B688,0)</f>
        <v>0</v>
      </c>
      <c r="AR689" s="311">
        <f>IF(AR$2=ROUNDUP(Параметры!$B$18,0)+1,$AX687+$B688,0)</f>
        <v>0</v>
      </c>
      <c r="AS689" s="311">
        <f>IF(AS$2=ROUNDUP(Параметры!$B$18,0)+1,$AX687+$B688,0)</f>
        <v>0</v>
      </c>
      <c r="AT689" s="311">
        <f>IF(AT$2=ROUNDUP(Параметры!$B$18,0)+1,$AX687+$B688,0)</f>
        <v>0</v>
      </c>
      <c r="AU689" s="311">
        <f>IF(AU$2=ROUNDUP(Параметры!$B$18,0)+1,$AX687+$B688,0)</f>
        <v>0</v>
      </c>
      <c r="AV689" s="311">
        <f>IF(AV$2=ROUNDUP(Параметры!$B$18,0)+1,$AX687+$B688,0)</f>
        <v>0</v>
      </c>
      <c r="AW689" s="148"/>
      <c r="AX689" s="171">
        <f>SUM(G689:AW689)</f>
        <v>91398.305084745778</v>
      </c>
    </row>
    <row r="690" spans="1:50" hidden="1" outlineLevel="1" x14ac:dyDescent="0.2">
      <c r="A690" s="99" t="str">
        <f ca="1">Language!A$861</f>
        <v xml:space="preserve">срок полезного использования </v>
      </c>
      <c r="B690" s="328">
        <v>30</v>
      </c>
      <c r="C690" s="146" t="str">
        <f ca="1">Language!A$48</f>
        <v>лет</v>
      </c>
      <c r="D690" s="66">
        <v>1</v>
      </c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71"/>
    </row>
    <row r="691" spans="1:50" hidden="1" outlineLevel="1" x14ac:dyDescent="0.2">
      <c r="A691" s="99" t="str">
        <f ca="1">Language!A$862</f>
        <v>амортизационная премия для налоговой амортизации</v>
      </c>
      <c r="B691" s="329">
        <v>0</v>
      </c>
      <c r="C691" s="146" t="s">
        <v>1</v>
      </c>
      <c r="D691" s="66">
        <v>1</v>
      </c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48"/>
      <c r="AX691" s="171"/>
    </row>
    <row r="692" spans="1:50" hidden="1" outlineLevel="1" x14ac:dyDescent="0.2">
      <c r="A692" s="99" t="str">
        <f ca="1">Language!A$863</f>
        <v>ставка НДС</v>
      </c>
      <c r="B692" s="220"/>
      <c r="C692" s="146" t="s">
        <v>1</v>
      </c>
      <c r="D692" s="66">
        <v>1</v>
      </c>
      <c r="F692" s="57" t="s">
        <v>756</v>
      </c>
      <c r="G692" s="318">
        <f>Параметры!G$72</f>
        <v>0.18</v>
      </c>
      <c r="H692" s="318">
        <f>Параметры!H$72</f>
        <v>0.18</v>
      </c>
      <c r="I692" s="318">
        <f>Параметры!I$72</f>
        <v>0.18</v>
      </c>
      <c r="J692" s="318">
        <f>Параметры!J$72</f>
        <v>0.18</v>
      </c>
      <c r="K692" s="318">
        <f>Параметры!K$72</f>
        <v>0.18</v>
      </c>
      <c r="L692" s="318">
        <f>Параметры!L$72</f>
        <v>0.18</v>
      </c>
      <c r="M692" s="318">
        <f>Параметры!M$72</f>
        <v>0.18</v>
      </c>
      <c r="N692" s="318">
        <f>Параметры!N$72</f>
        <v>0.18</v>
      </c>
      <c r="O692" s="318">
        <f>Параметры!O$72</f>
        <v>0.18</v>
      </c>
      <c r="P692" s="318">
        <f>Параметры!P$72</f>
        <v>0.18</v>
      </c>
      <c r="Q692" s="318">
        <f>Параметры!Q$72</f>
        <v>0.18</v>
      </c>
      <c r="R692" s="318">
        <f>Параметры!R$72</f>
        <v>0.18</v>
      </c>
      <c r="S692" s="318">
        <f>Параметры!S$72</f>
        <v>0.18</v>
      </c>
      <c r="T692" s="318">
        <f>Параметры!T$72</f>
        <v>0.18</v>
      </c>
      <c r="U692" s="318">
        <f>Параметры!U$72</f>
        <v>0.18</v>
      </c>
      <c r="V692" s="318">
        <f>Параметры!V$72</f>
        <v>0.18</v>
      </c>
      <c r="W692" s="318">
        <f>Параметры!W$72</f>
        <v>0.18</v>
      </c>
      <c r="X692" s="318">
        <f>Параметры!X$72</f>
        <v>0.18</v>
      </c>
      <c r="Y692" s="318">
        <f>Параметры!Y$72</f>
        <v>0.18</v>
      </c>
      <c r="Z692" s="318">
        <f>Параметры!Z$72</f>
        <v>0.18</v>
      </c>
      <c r="AA692" s="318">
        <f>Параметры!AA$72</f>
        <v>0.18</v>
      </c>
      <c r="AB692" s="318">
        <f>Параметры!AB$72</f>
        <v>0.18</v>
      </c>
      <c r="AC692" s="318">
        <f>Параметры!AC$72</f>
        <v>0.18</v>
      </c>
      <c r="AD692" s="318">
        <f>Параметры!AD$72</f>
        <v>0.18</v>
      </c>
      <c r="AE692" s="318">
        <f>Параметры!AE$72</f>
        <v>0.18</v>
      </c>
      <c r="AF692" s="318">
        <f>Параметры!AF$72</f>
        <v>0.18</v>
      </c>
      <c r="AG692" s="318">
        <f>Параметры!AG$72</f>
        <v>0.18</v>
      </c>
      <c r="AH692" s="318">
        <f>Параметры!AH$72</f>
        <v>0.18</v>
      </c>
      <c r="AI692" s="318">
        <f>Параметры!AI$72</f>
        <v>0.18</v>
      </c>
      <c r="AJ692" s="318">
        <f>Параметры!AJ$72</f>
        <v>0.18</v>
      </c>
      <c r="AK692" s="318">
        <f>Параметры!AK$72</f>
        <v>0.18</v>
      </c>
      <c r="AL692" s="318">
        <f>Параметры!AL$72</f>
        <v>0.18</v>
      </c>
      <c r="AM692" s="318">
        <f>Параметры!AM$72</f>
        <v>0.18</v>
      </c>
      <c r="AN692" s="318">
        <f>Параметры!AN$72</f>
        <v>0.18</v>
      </c>
      <c r="AO692" s="318">
        <f>Параметры!AO$72</f>
        <v>0.18</v>
      </c>
      <c r="AP692" s="318">
        <f>Параметры!AP$72</f>
        <v>0.18</v>
      </c>
      <c r="AQ692" s="318">
        <f>Параметры!AQ$72</f>
        <v>0.18</v>
      </c>
      <c r="AR692" s="318">
        <f>Параметры!AR$72</f>
        <v>0.18</v>
      </c>
      <c r="AS692" s="318">
        <f>Параметры!AS$72</f>
        <v>0.18</v>
      </c>
      <c r="AT692" s="318">
        <f>Параметры!AT$72</f>
        <v>0.18</v>
      </c>
      <c r="AU692" s="318">
        <f>Параметры!AU$72</f>
        <v>0.18</v>
      </c>
      <c r="AV692" s="318">
        <f>Параметры!AV$72</f>
        <v>0.18</v>
      </c>
      <c r="AW692" s="175"/>
    </row>
    <row r="693" spans="1:50" hidden="1" outlineLevel="1" x14ac:dyDescent="0.2">
      <c r="A693" s="99" t="str">
        <f ca="1">Language!A$864</f>
        <v>выручка от продажи актива, без НДС</v>
      </c>
      <c r="B693" s="216"/>
      <c r="C693" s="146" t="str">
        <f ca="1">CHOOSE(D693,CurName1,CurName2,CurName3)</f>
        <v>тыс. руб.</v>
      </c>
      <c r="D693" s="66">
        <v>1</v>
      </c>
      <c r="E693" s="57" t="s">
        <v>761</v>
      </c>
      <c r="F693" s="57" t="s">
        <v>753</v>
      </c>
      <c r="G693" s="311">
        <v>0</v>
      </c>
      <c r="H693" s="311">
        <v>0</v>
      </c>
      <c r="I693" s="311">
        <v>0</v>
      </c>
      <c r="J693" s="311">
        <v>0</v>
      </c>
      <c r="K693" s="311">
        <v>0</v>
      </c>
      <c r="L693" s="311">
        <v>0</v>
      </c>
      <c r="M693" s="311">
        <v>0</v>
      </c>
      <c r="N693" s="311">
        <v>0</v>
      </c>
      <c r="O693" s="311">
        <v>0</v>
      </c>
      <c r="P693" s="311">
        <v>0</v>
      </c>
      <c r="Q693" s="311">
        <v>0</v>
      </c>
      <c r="R693" s="311">
        <v>0</v>
      </c>
      <c r="S693" s="311">
        <v>0</v>
      </c>
      <c r="T693" s="311">
        <v>0</v>
      </c>
      <c r="U693" s="311">
        <v>0</v>
      </c>
      <c r="V693" s="311">
        <v>0</v>
      </c>
      <c r="W693" s="311">
        <v>0</v>
      </c>
      <c r="X693" s="311">
        <v>0</v>
      </c>
      <c r="Y693" s="311">
        <v>0</v>
      </c>
      <c r="Z693" s="311">
        <v>0</v>
      </c>
      <c r="AA693" s="311">
        <v>0</v>
      </c>
      <c r="AB693" s="311">
        <v>0</v>
      </c>
      <c r="AC693" s="311">
        <v>0</v>
      </c>
      <c r="AD693" s="311">
        <v>0</v>
      </c>
      <c r="AE693" s="311">
        <v>0</v>
      </c>
      <c r="AF693" s="311">
        <v>0</v>
      </c>
      <c r="AG693" s="311">
        <v>0</v>
      </c>
      <c r="AH693" s="311">
        <v>0</v>
      </c>
      <c r="AI693" s="311">
        <v>0</v>
      </c>
      <c r="AJ693" s="311">
        <v>0</v>
      </c>
      <c r="AK693" s="311">
        <v>0</v>
      </c>
      <c r="AL693" s="311">
        <v>0</v>
      </c>
      <c r="AM693" s="311">
        <v>0</v>
      </c>
      <c r="AN693" s="311">
        <v>0</v>
      </c>
      <c r="AO693" s="311">
        <v>0</v>
      </c>
      <c r="AP693" s="311">
        <v>0</v>
      </c>
      <c r="AQ693" s="311">
        <v>0</v>
      </c>
      <c r="AR693" s="311">
        <v>0</v>
      </c>
      <c r="AS693" s="311">
        <v>0</v>
      </c>
      <c r="AT693" s="311">
        <v>0</v>
      </c>
      <c r="AU693" s="311">
        <v>0</v>
      </c>
      <c r="AV693" s="311">
        <v>0</v>
      </c>
      <c r="AW693" s="148"/>
      <c r="AX693" s="171">
        <f>SUM(G693:AW693)</f>
        <v>0</v>
      </c>
    </row>
    <row r="694" spans="1:50" hidden="1" outlineLevel="1" x14ac:dyDescent="0.2">
      <c r="A694" s="217" t="str">
        <f ca="1">Language!A$865</f>
        <v>суммы в осн. валюте: график оплаты, без НДС</v>
      </c>
      <c r="B694" s="82"/>
      <c r="C694" s="82" t="str">
        <f t="shared" ref="C694:C709" ca="1" si="3237">CHOOSE(D694,CurName1,CurName2,CurName3)</f>
        <v>тыс. руб.</v>
      </c>
      <c r="D694" s="66">
        <v>1</v>
      </c>
      <c r="E694" s="57" t="s">
        <v>758</v>
      </c>
      <c r="F694" s="57" t="s">
        <v>753</v>
      </c>
      <c r="G694" s="180">
        <f>G687*CHOOSE($D687,1,Параметры!G$53,Параметры!G$59)</f>
        <v>31277.966101694918</v>
      </c>
      <c r="H694" s="180">
        <f>H687*CHOOSE($D687,1,Параметры!H$53,Параметры!H$59)</f>
        <v>25423.728813559323</v>
      </c>
      <c r="I694" s="180">
        <f>I687*CHOOSE($D687,1,Параметры!I$53,Параметры!I$59)</f>
        <v>16949.152542372882</v>
      </c>
      <c r="J694" s="180">
        <f>J687*CHOOSE($D687,1,Параметры!J$53,Параметры!J$59)</f>
        <v>17747.457627118645</v>
      </c>
      <c r="K694" s="180">
        <f>K687*CHOOSE($D687,1,Параметры!K$53,Параметры!K$59)</f>
        <v>0</v>
      </c>
      <c r="L694" s="180">
        <f>L687*CHOOSE($D687,1,Параметры!L$53,Параметры!L$59)</f>
        <v>0</v>
      </c>
      <c r="M694" s="180">
        <f>M687*CHOOSE($D687,1,Параметры!M$53,Параметры!M$59)</f>
        <v>0</v>
      </c>
      <c r="N694" s="180">
        <f>N687*CHOOSE($D687,1,Параметры!N$53,Параметры!N$59)</f>
        <v>0</v>
      </c>
      <c r="O694" s="180">
        <f>O687*CHOOSE($D687,1,Параметры!O$53,Параметры!O$59)</f>
        <v>0</v>
      </c>
      <c r="P694" s="180">
        <f>P687*CHOOSE($D687,1,Параметры!P$53,Параметры!P$59)</f>
        <v>0</v>
      </c>
      <c r="Q694" s="180">
        <f>Q687*CHOOSE($D687,1,Параметры!Q$53,Параметры!Q$59)</f>
        <v>0</v>
      </c>
      <c r="R694" s="180">
        <f>R687*CHOOSE($D687,1,Параметры!R$53,Параметры!R$59)</f>
        <v>0</v>
      </c>
      <c r="S694" s="180">
        <f>S687*CHOOSE($D687,1,Параметры!S$53,Параметры!S$59)</f>
        <v>0</v>
      </c>
      <c r="T694" s="180">
        <f>T687*CHOOSE($D687,1,Параметры!T$53,Параметры!T$59)</f>
        <v>0</v>
      </c>
      <c r="U694" s="180">
        <f>U687*CHOOSE($D687,1,Параметры!U$53,Параметры!U$59)</f>
        <v>0</v>
      </c>
      <c r="V694" s="180">
        <f>V687*CHOOSE($D687,1,Параметры!V$53,Параметры!V$59)</f>
        <v>0</v>
      </c>
      <c r="W694" s="180">
        <f>W687*CHOOSE($D687,1,Параметры!W$53,Параметры!W$59)</f>
        <v>0</v>
      </c>
      <c r="X694" s="180">
        <f>X687*CHOOSE($D687,1,Параметры!X$53,Параметры!X$59)</f>
        <v>0</v>
      </c>
      <c r="Y694" s="180">
        <f>Y687*CHOOSE($D687,1,Параметры!Y$53,Параметры!Y$59)</f>
        <v>0</v>
      </c>
      <c r="Z694" s="180">
        <f>Z687*CHOOSE($D687,1,Параметры!Z$53,Параметры!Z$59)</f>
        <v>0</v>
      </c>
      <c r="AA694" s="180">
        <f>AA687*CHOOSE($D687,1,Параметры!AA$53,Параметры!AA$59)</f>
        <v>0</v>
      </c>
      <c r="AB694" s="180">
        <f>AB687*CHOOSE($D687,1,Параметры!AB$53,Параметры!AB$59)</f>
        <v>0</v>
      </c>
      <c r="AC694" s="180">
        <f>AC687*CHOOSE($D687,1,Параметры!AC$53,Параметры!AC$59)</f>
        <v>0</v>
      </c>
      <c r="AD694" s="180">
        <f>AD687*CHOOSE($D687,1,Параметры!AD$53,Параметры!AD$59)</f>
        <v>0</v>
      </c>
      <c r="AE694" s="180">
        <f>AE687*CHOOSE($D687,1,Параметры!AE$53,Параметры!AE$59)</f>
        <v>0</v>
      </c>
      <c r="AF694" s="180">
        <f>AF687*CHOOSE($D687,1,Параметры!AF$53,Параметры!AF$59)</f>
        <v>0</v>
      </c>
      <c r="AG694" s="180">
        <f>AG687*CHOOSE($D687,1,Параметры!AG$53,Параметры!AG$59)</f>
        <v>0</v>
      </c>
      <c r="AH694" s="180">
        <f>AH687*CHOOSE($D687,1,Параметры!AH$53,Параметры!AH$59)</f>
        <v>0</v>
      </c>
      <c r="AI694" s="180">
        <f>AI687*CHOOSE($D687,1,Параметры!AI$53,Параметры!AI$59)</f>
        <v>0</v>
      </c>
      <c r="AJ694" s="180">
        <f>AJ687*CHOOSE($D687,1,Параметры!AJ$53,Параметры!AJ$59)</f>
        <v>0</v>
      </c>
      <c r="AK694" s="180">
        <f>AK687*CHOOSE($D687,1,Параметры!AK$53,Параметры!AK$59)</f>
        <v>0</v>
      </c>
      <c r="AL694" s="180">
        <f>AL687*CHOOSE($D687,1,Параметры!AL$53,Параметры!AL$59)</f>
        <v>0</v>
      </c>
      <c r="AM694" s="180">
        <f>AM687*CHOOSE($D687,1,Параметры!AM$53,Параметры!AM$59)</f>
        <v>0</v>
      </c>
      <c r="AN694" s="180">
        <f>AN687*CHOOSE($D687,1,Параметры!AN$53,Параметры!AN$59)</f>
        <v>0</v>
      </c>
      <c r="AO694" s="180">
        <f>AO687*CHOOSE($D687,1,Параметры!AO$53,Параметры!AO$59)</f>
        <v>0</v>
      </c>
      <c r="AP694" s="180">
        <f>AP687*CHOOSE($D687,1,Параметры!AP$53,Параметры!AP$59)</f>
        <v>0</v>
      </c>
      <c r="AQ694" s="180">
        <f>AQ687*CHOOSE($D687,1,Параметры!AQ$53,Параметры!AQ$59)</f>
        <v>0</v>
      </c>
      <c r="AR694" s="180">
        <f>AR687*CHOOSE($D687,1,Параметры!AR$53,Параметры!AR$59)</f>
        <v>0</v>
      </c>
      <c r="AS694" s="180">
        <f>AS687*CHOOSE($D687,1,Параметры!AS$53,Параметры!AS$59)</f>
        <v>0</v>
      </c>
      <c r="AT694" s="180">
        <f>AT687*CHOOSE($D687,1,Параметры!AT$53,Параметры!AT$59)</f>
        <v>0</v>
      </c>
      <c r="AU694" s="180">
        <f>AU687*CHOOSE($D687,1,Параметры!AU$53,Параметры!AU$59)</f>
        <v>0</v>
      </c>
      <c r="AV694" s="180">
        <f>AV687*CHOOSE($D687,1,Параметры!AV$53,Параметры!AV$59)</f>
        <v>0</v>
      </c>
      <c r="AW694" s="180"/>
      <c r="AX694" s="189">
        <f>SUM(G694:AW694)</f>
        <v>91398.305084745778</v>
      </c>
    </row>
    <row r="695" spans="1:50" hidden="1" outlineLevel="1" x14ac:dyDescent="0.2">
      <c r="A695" s="218" t="str">
        <f ca="1">Language!A$866</f>
        <v>ранее осуществленные инвестиции, без НДС</v>
      </c>
      <c r="B695" s="214">
        <f>B688*CHOOSE(D688,1,Параметры!G$53,Параметры!G$59)</f>
        <v>0</v>
      </c>
      <c r="C695" s="82" t="str">
        <f t="shared" ca="1" si="3237"/>
        <v>тыс. руб.</v>
      </c>
      <c r="D695" s="66">
        <v>1</v>
      </c>
      <c r="E695" s="57" t="s">
        <v>1262</v>
      </c>
      <c r="G695" s="180">
        <f>B695</f>
        <v>0</v>
      </c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9"/>
    </row>
    <row r="696" spans="1:50" hidden="1" outlineLevel="1" x14ac:dyDescent="0.2">
      <c r="A696" s="218" t="str">
        <f ca="1">Language!A$867</f>
        <v>НДС к ранее осуществленным инвестициям</v>
      </c>
      <c r="B696" s="214">
        <f>B695*G692</f>
        <v>0</v>
      </c>
      <c r="C696" s="82" t="str">
        <f t="shared" ca="1" si="3237"/>
        <v>тыс. руб.</v>
      </c>
      <c r="D696" s="66">
        <v>1</v>
      </c>
      <c r="E696" s="57" t="s">
        <v>1266</v>
      </c>
      <c r="G696" s="180">
        <f>B696</f>
        <v>0</v>
      </c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  <c r="AU696" s="180"/>
      <c r="AV696" s="180"/>
      <c r="AW696" s="180"/>
      <c r="AX696" s="189"/>
    </row>
    <row r="697" spans="1:50" hidden="1" outlineLevel="1" x14ac:dyDescent="0.2">
      <c r="A697" s="218" t="str">
        <f ca="1">Language!A$868</f>
        <v>график ввода в эксплуатацию, без НДС</v>
      </c>
      <c r="B697" s="82"/>
      <c r="C697" s="82" t="str">
        <f t="shared" ca="1" si="3237"/>
        <v>тыс. руб.</v>
      </c>
      <c r="D697" s="66">
        <v>1</v>
      </c>
      <c r="F697" s="57" t="s">
        <v>753</v>
      </c>
      <c r="G697" s="180">
        <f>G689*CHOOSE($D689,1,Параметры!G$53,Параметры!G$59)</f>
        <v>91398.305084745778</v>
      </c>
      <c r="H697" s="180">
        <f>H689*CHOOSE($D689,1,Параметры!H$53,Параметры!H$59)</f>
        <v>0</v>
      </c>
      <c r="I697" s="180">
        <f>I689*CHOOSE($D689,1,Параметры!I$53,Параметры!I$59)</f>
        <v>0</v>
      </c>
      <c r="J697" s="180">
        <f>J689*CHOOSE($D689,1,Параметры!J$53,Параметры!J$59)</f>
        <v>0</v>
      </c>
      <c r="K697" s="180">
        <f>K689*CHOOSE($D689,1,Параметры!K$53,Параметры!K$59)</f>
        <v>0</v>
      </c>
      <c r="L697" s="180">
        <f>L689*CHOOSE($D689,1,Параметры!L$53,Параметры!L$59)</f>
        <v>0</v>
      </c>
      <c r="M697" s="180">
        <f>M689*CHOOSE($D689,1,Параметры!M$53,Параметры!M$59)</f>
        <v>0</v>
      </c>
      <c r="N697" s="180">
        <f>N689*CHOOSE($D689,1,Параметры!N$53,Параметры!N$59)</f>
        <v>0</v>
      </c>
      <c r="O697" s="180">
        <f>O689*CHOOSE($D689,1,Параметры!O$53,Параметры!O$59)</f>
        <v>0</v>
      </c>
      <c r="P697" s="180">
        <f>P689*CHOOSE($D689,1,Параметры!P$53,Параметры!P$59)</f>
        <v>0</v>
      </c>
      <c r="Q697" s="180">
        <f>Q689*CHOOSE($D689,1,Параметры!Q$53,Параметры!Q$59)</f>
        <v>0</v>
      </c>
      <c r="R697" s="180">
        <f>R689*CHOOSE($D689,1,Параметры!R$53,Параметры!R$59)</f>
        <v>0</v>
      </c>
      <c r="S697" s="180">
        <f>S689*CHOOSE($D689,1,Параметры!S$53,Параметры!S$59)</f>
        <v>0</v>
      </c>
      <c r="T697" s="180">
        <f>T689*CHOOSE($D689,1,Параметры!T$53,Параметры!T$59)</f>
        <v>0</v>
      </c>
      <c r="U697" s="180">
        <f>U689*CHOOSE($D689,1,Параметры!U$53,Параметры!U$59)</f>
        <v>0</v>
      </c>
      <c r="V697" s="180">
        <f>V689*CHOOSE($D689,1,Параметры!V$53,Параметры!V$59)</f>
        <v>0</v>
      </c>
      <c r="W697" s="180">
        <f>W689*CHOOSE($D689,1,Параметры!W$53,Параметры!W$59)</f>
        <v>0</v>
      </c>
      <c r="X697" s="180">
        <f>X689*CHOOSE($D689,1,Параметры!X$53,Параметры!X$59)</f>
        <v>0</v>
      </c>
      <c r="Y697" s="180">
        <f>Y689*CHOOSE($D689,1,Параметры!Y$53,Параметры!Y$59)</f>
        <v>0</v>
      </c>
      <c r="Z697" s="180">
        <f>Z689*CHOOSE($D689,1,Параметры!Z$53,Параметры!Z$59)</f>
        <v>0</v>
      </c>
      <c r="AA697" s="180">
        <f>AA689*CHOOSE($D689,1,Параметры!AA$53,Параметры!AA$59)</f>
        <v>0</v>
      </c>
      <c r="AB697" s="180">
        <f>AB689*CHOOSE($D689,1,Параметры!AB$53,Параметры!AB$59)</f>
        <v>0</v>
      </c>
      <c r="AC697" s="180">
        <f>AC689*CHOOSE($D689,1,Параметры!AC$53,Параметры!AC$59)</f>
        <v>0</v>
      </c>
      <c r="AD697" s="180">
        <f>AD689*CHOOSE($D689,1,Параметры!AD$53,Параметры!AD$59)</f>
        <v>0</v>
      </c>
      <c r="AE697" s="180">
        <f>AE689*CHOOSE($D689,1,Параметры!AE$53,Параметры!AE$59)</f>
        <v>0</v>
      </c>
      <c r="AF697" s="180">
        <f>AF689*CHOOSE($D689,1,Параметры!AF$53,Параметры!AF$59)</f>
        <v>0</v>
      </c>
      <c r="AG697" s="180">
        <f>AG689*CHOOSE($D689,1,Параметры!AG$53,Параметры!AG$59)</f>
        <v>0</v>
      </c>
      <c r="AH697" s="180">
        <f>AH689*CHOOSE($D689,1,Параметры!AH$53,Параметры!AH$59)</f>
        <v>0</v>
      </c>
      <c r="AI697" s="180">
        <f>AI689*CHOOSE($D689,1,Параметры!AI$53,Параметры!AI$59)</f>
        <v>0</v>
      </c>
      <c r="AJ697" s="180">
        <f>AJ689*CHOOSE($D689,1,Параметры!AJ$53,Параметры!AJ$59)</f>
        <v>0</v>
      </c>
      <c r="AK697" s="180">
        <f>AK689*CHOOSE($D689,1,Параметры!AK$53,Параметры!AK$59)</f>
        <v>0</v>
      </c>
      <c r="AL697" s="180">
        <f>AL689*CHOOSE($D689,1,Параметры!AL$53,Параметры!AL$59)</f>
        <v>0</v>
      </c>
      <c r="AM697" s="180">
        <f>AM689*CHOOSE($D689,1,Параметры!AM$53,Параметры!AM$59)</f>
        <v>0</v>
      </c>
      <c r="AN697" s="180">
        <f>AN689*CHOOSE($D689,1,Параметры!AN$53,Параметры!AN$59)</f>
        <v>0</v>
      </c>
      <c r="AO697" s="180">
        <f>AO689*CHOOSE($D689,1,Параметры!AO$53,Параметры!AO$59)</f>
        <v>0</v>
      </c>
      <c r="AP697" s="180">
        <f>AP689*CHOOSE($D689,1,Параметры!AP$53,Параметры!AP$59)</f>
        <v>0</v>
      </c>
      <c r="AQ697" s="180">
        <f>AQ689*CHOOSE($D689,1,Параметры!AQ$53,Параметры!AQ$59)</f>
        <v>0</v>
      </c>
      <c r="AR697" s="180">
        <f>AR689*CHOOSE($D689,1,Параметры!AR$53,Параметры!AR$59)</f>
        <v>0</v>
      </c>
      <c r="AS697" s="180">
        <f>AS689*CHOOSE($D689,1,Параметры!AS$53,Параметры!AS$59)</f>
        <v>0</v>
      </c>
      <c r="AT697" s="180">
        <f>AT689*CHOOSE($D689,1,Параметры!AT$53,Параметры!AT$59)</f>
        <v>0</v>
      </c>
      <c r="AU697" s="180">
        <f>AU689*CHOOSE($D689,1,Параметры!AU$53,Параметры!AU$59)</f>
        <v>0</v>
      </c>
      <c r="AV697" s="180">
        <f>AV689*CHOOSE($D689,1,Параметры!AV$53,Параметры!AV$59)</f>
        <v>0</v>
      </c>
      <c r="AW697" s="180"/>
      <c r="AX697" s="189">
        <f>SUM(G697:AW697)</f>
        <v>91398.305084745778</v>
      </c>
    </row>
    <row r="698" spans="1:50" hidden="1" outlineLevel="1" x14ac:dyDescent="0.2">
      <c r="A698" s="217" t="str">
        <f ca="1">Language!A$869</f>
        <v>незавершенные инвестиции</v>
      </c>
      <c r="B698" s="57"/>
      <c r="C698" s="82" t="str">
        <f t="shared" ca="1" si="3237"/>
        <v>тыс. руб.</v>
      </c>
      <c r="D698" s="66">
        <v>1</v>
      </c>
      <c r="E698" s="57" t="s">
        <v>760</v>
      </c>
      <c r="F698" s="57" t="s">
        <v>754</v>
      </c>
      <c r="G698" s="185">
        <f>IF(SUM($G693:G693)&gt;0.01,0,MAX(SUM($G687:G687)+$B688-SUM($G689:G689),0))*CHOOSE($D687,1,Параметры!G$53,Параметры!G$59)</f>
        <v>0</v>
      </c>
      <c r="H698" s="185">
        <f>IF(SUM($G693:H693)&gt;0.01,0,MAX(SUM($G687:H687)+$B688-SUM($G689:H689),0))*CHOOSE($D687,1,Параметры!H$53,Параметры!H$59)</f>
        <v>0</v>
      </c>
      <c r="I698" s="185">
        <f>IF(SUM($G693:I693)&gt;0.01,0,MAX(SUM($G687:I687)+$B688-SUM($G689:I689),0))*CHOOSE($D687,1,Параметры!I$53,Параметры!I$59)</f>
        <v>0</v>
      </c>
      <c r="J698" s="185">
        <f>IF(SUM($G693:J693)&gt;0.01,0,MAX(SUM($G687:J687)+$B688-SUM($G689:J689),0))*CHOOSE($D687,1,Параметры!J$53,Параметры!J$59)</f>
        <v>0</v>
      </c>
      <c r="K698" s="185">
        <f>IF(SUM($G693:K693)&gt;0.01,0,MAX(SUM($G687:K687)+$B688-SUM($G689:K689),0))*CHOOSE($D687,1,Параметры!K$53,Параметры!K$59)</f>
        <v>0</v>
      </c>
      <c r="L698" s="185">
        <f>IF(SUM($G693:L693)&gt;0.01,0,MAX(SUM($G687:L687)+$B688-SUM($G689:L689),0))*CHOOSE($D687,1,Параметры!L$53,Параметры!L$59)</f>
        <v>0</v>
      </c>
      <c r="M698" s="185">
        <f>IF(SUM($G693:M693)&gt;0.01,0,MAX(SUM($G687:M687)+$B688-SUM($G689:M689),0))*CHOOSE($D687,1,Параметры!M$53,Параметры!M$59)</f>
        <v>0</v>
      </c>
      <c r="N698" s="185">
        <f>IF(SUM($G693:N693)&gt;0.01,0,MAX(SUM($G687:N687)+$B688-SUM($G689:N689),0))*CHOOSE($D687,1,Параметры!N$53,Параметры!N$59)</f>
        <v>0</v>
      </c>
      <c r="O698" s="185">
        <f>IF(SUM($G693:O693)&gt;0.01,0,MAX(SUM($G687:O687)+$B688-SUM($G689:O689),0))*CHOOSE($D687,1,Параметры!O$53,Параметры!O$59)</f>
        <v>0</v>
      </c>
      <c r="P698" s="185">
        <f>IF(SUM($G693:P693)&gt;0.01,0,MAX(SUM($G687:P687)+$B688-SUM($G689:P689),0))*CHOOSE($D687,1,Параметры!P$53,Параметры!P$59)</f>
        <v>0</v>
      </c>
      <c r="Q698" s="185">
        <f>IF(SUM($G693:Q693)&gt;0.01,0,MAX(SUM($G687:Q687)+$B688-SUM($G689:Q689),0))*CHOOSE($D687,1,Параметры!Q$53,Параметры!Q$59)</f>
        <v>0</v>
      </c>
      <c r="R698" s="185">
        <f>IF(SUM($G693:R693)&gt;0.01,0,MAX(SUM($G687:R687)+$B688-SUM($G689:R689),0))*CHOOSE($D687,1,Параметры!R$53,Параметры!R$59)</f>
        <v>0</v>
      </c>
      <c r="S698" s="185">
        <f>IF(SUM($G693:S693)&gt;0.01,0,MAX(SUM($G687:S687)+$B688-SUM($G689:S689),0))*CHOOSE($D687,1,Параметры!S$53,Параметры!S$59)</f>
        <v>0</v>
      </c>
      <c r="T698" s="185">
        <f>IF(SUM($G693:T693)&gt;0.01,0,MAX(SUM($G687:T687)+$B688-SUM($G689:T689),0))*CHOOSE($D687,1,Параметры!T$53,Параметры!T$59)</f>
        <v>0</v>
      </c>
      <c r="U698" s="185">
        <f>IF(SUM($G693:U693)&gt;0.01,0,MAX(SUM($G687:U687)+$B688-SUM($G689:U689),0))*CHOOSE($D687,1,Параметры!U$53,Параметры!U$59)</f>
        <v>0</v>
      </c>
      <c r="V698" s="185">
        <f>IF(SUM($G693:V693)&gt;0.01,0,MAX(SUM($G687:V687)+$B688-SUM($G689:V689),0))*CHOOSE($D687,1,Параметры!V$53,Параметры!V$59)</f>
        <v>0</v>
      </c>
      <c r="W698" s="185">
        <f>IF(SUM($G693:W693)&gt;0.01,0,MAX(SUM($G687:W687)+$B688-SUM($G689:W689),0))*CHOOSE($D687,1,Параметры!W$53,Параметры!W$59)</f>
        <v>0</v>
      </c>
      <c r="X698" s="185">
        <f>IF(SUM($G693:X693)&gt;0.01,0,MAX(SUM($G687:X687)+$B688-SUM($G689:X689),0))*CHOOSE($D687,1,Параметры!X$53,Параметры!X$59)</f>
        <v>0</v>
      </c>
      <c r="Y698" s="185">
        <f>IF(SUM($G693:Y693)&gt;0.01,0,MAX(SUM($G687:Y687)+$B688-SUM($G689:Y689),0))*CHOOSE($D687,1,Параметры!Y$53,Параметры!Y$59)</f>
        <v>0</v>
      </c>
      <c r="Z698" s="185">
        <f>IF(SUM($G693:Z693)&gt;0.01,0,MAX(SUM($G687:Z687)+$B688-SUM($G689:Z689),0))*CHOOSE($D687,1,Параметры!Z$53,Параметры!Z$59)</f>
        <v>0</v>
      </c>
      <c r="AA698" s="185">
        <f>IF(SUM($G693:AA693)&gt;0.01,0,MAX(SUM($G687:AA687)+$B688-SUM($G689:AA689),0))*CHOOSE($D687,1,Параметры!AA$53,Параметры!AA$59)</f>
        <v>0</v>
      </c>
      <c r="AB698" s="185">
        <f>IF(SUM($G693:AB693)&gt;0.01,0,MAX(SUM($G687:AB687)+$B688-SUM($G689:AB689),0))*CHOOSE($D687,1,Параметры!AB$53,Параметры!AB$59)</f>
        <v>0</v>
      </c>
      <c r="AC698" s="185">
        <f>IF(SUM($G693:AC693)&gt;0.01,0,MAX(SUM($G687:AC687)+$B688-SUM($G689:AC689),0))*CHOOSE($D687,1,Параметры!AC$53,Параметры!AC$59)</f>
        <v>0</v>
      </c>
      <c r="AD698" s="185">
        <f>IF(SUM($G693:AD693)&gt;0.01,0,MAX(SUM($G687:AD687)+$B688-SUM($G689:AD689),0))*CHOOSE($D687,1,Параметры!AD$53,Параметры!AD$59)</f>
        <v>0</v>
      </c>
      <c r="AE698" s="185">
        <f>IF(SUM($G693:AE693)&gt;0.01,0,MAX(SUM($G687:AE687)+$B688-SUM($G689:AE689),0))*CHOOSE($D687,1,Параметры!AE$53,Параметры!AE$59)</f>
        <v>0</v>
      </c>
      <c r="AF698" s="185">
        <f>IF(SUM($G693:AF693)&gt;0.01,0,MAX(SUM($G687:AF687)+$B688-SUM($G689:AF689),0))*CHOOSE($D687,1,Параметры!AF$53,Параметры!AF$59)</f>
        <v>0</v>
      </c>
      <c r="AG698" s="185">
        <f>IF(SUM($G693:AG693)&gt;0.01,0,MAX(SUM($G687:AG687)+$B688-SUM($G689:AG689),0))*CHOOSE($D687,1,Параметры!AG$53,Параметры!AG$59)</f>
        <v>0</v>
      </c>
      <c r="AH698" s="185">
        <f>IF(SUM($G693:AH693)&gt;0.01,0,MAX(SUM($G687:AH687)+$B688-SUM($G689:AH689),0))*CHOOSE($D687,1,Параметры!AH$53,Параметры!AH$59)</f>
        <v>0</v>
      </c>
      <c r="AI698" s="185">
        <f>IF(SUM($G693:AI693)&gt;0.01,0,MAX(SUM($G687:AI687)+$B688-SUM($G689:AI689),0))*CHOOSE($D687,1,Параметры!AI$53,Параметры!AI$59)</f>
        <v>0</v>
      </c>
      <c r="AJ698" s="185">
        <f>IF(SUM($G693:AJ693)&gt;0.01,0,MAX(SUM($G687:AJ687)+$B688-SUM($G689:AJ689),0))*CHOOSE($D687,1,Параметры!AJ$53,Параметры!AJ$59)</f>
        <v>0</v>
      </c>
      <c r="AK698" s="185">
        <f>IF(SUM($G693:AK693)&gt;0.01,0,MAX(SUM($G687:AK687)+$B688-SUM($G689:AK689),0))*CHOOSE($D687,1,Параметры!AK$53,Параметры!AK$59)</f>
        <v>0</v>
      </c>
      <c r="AL698" s="185">
        <f>IF(SUM($G693:AL693)&gt;0.01,0,MAX(SUM($G687:AL687)+$B688-SUM($G689:AL689),0))*CHOOSE($D687,1,Параметры!AL$53,Параметры!AL$59)</f>
        <v>0</v>
      </c>
      <c r="AM698" s="185">
        <f>IF(SUM($G693:AM693)&gt;0.01,0,MAX(SUM($G687:AM687)+$B688-SUM($G689:AM689),0))*CHOOSE($D687,1,Параметры!AM$53,Параметры!AM$59)</f>
        <v>0</v>
      </c>
      <c r="AN698" s="185">
        <f>IF(SUM($G693:AN693)&gt;0.01,0,MAX(SUM($G687:AN687)+$B688-SUM($G689:AN689),0))*CHOOSE($D687,1,Параметры!AN$53,Параметры!AN$59)</f>
        <v>0</v>
      </c>
      <c r="AO698" s="185">
        <f>IF(SUM($G693:AO693)&gt;0.01,0,MAX(SUM($G687:AO687)+$B688-SUM($G689:AO689),0))*CHOOSE($D687,1,Параметры!AO$53,Параметры!AO$59)</f>
        <v>0</v>
      </c>
      <c r="AP698" s="185">
        <f>IF(SUM($G693:AP693)&gt;0.01,0,MAX(SUM($G687:AP687)+$B688-SUM($G689:AP689),0))*CHOOSE($D687,1,Параметры!AP$53,Параметры!AP$59)</f>
        <v>0</v>
      </c>
      <c r="AQ698" s="185">
        <f>IF(SUM($G693:AQ693)&gt;0.01,0,MAX(SUM($G687:AQ687)+$B688-SUM($G689:AQ689),0))*CHOOSE($D687,1,Параметры!AQ$53,Параметры!AQ$59)</f>
        <v>0</v>
      </c>
      <c r="AR698" s="185">
        <f>IF(SUM($G693:AR693)&gt;0.01,0,MAX(SUM($G687:AR687)+$B688-SUM($G689:AR689),0))*CHOOSE($D687,1,Параметры!AR$53,Параметры!AR$59)</f>
        <v>0</v>
      </c>
      <c r="AS698" s="185">
        <f>IF(SUM($G693:AS693)&gt;0.01,0,MAX(SUM($G687:AS687)+$B688-SUM($G689:AS689),0))*CHOOSE($D687,1,Параметры!AS$53,Параметры!AS$59)</f>
        <v>0</v>
      </c>
      <c r="AT698" s="185">
        <f>IF(SUM($G693:AT693)&gt;0.01,0,MAX(SUM($G687:AT687)+$B688-SUM($G689:AT689),0))*CHOOSE($D687,1,Параметры!AT$53,Параметры!AT$59)</f>
        <v>0</v>
      </c>
      <c r="AU698" s="185">
        <f>IF(SUM($G693:AU693)&gt;0.01,0,MAX(SUM($G687:AU687)+$B688-SUM($G689:AU689),0))*CHOOSE($D687,1,Параметры!AU$53,Параметры!AU$59)</f>
        <v>0</v>
      </c>
      <c r="AV698" s="185">
        <f>IF(SUM($G693:AV693)&gt;0.01,0,MAX(SUM($G687:AV687)+$B688-SUM($G689:AV689),0))*CHOOSE($D687,1,Параметры!AV$53,Параметры!AV$59)</f>
        <v>0</v>
      </c>
      <c r="AW698" s="180"/>
      <c r="AX698" s="87"/>
    </row>
    <row r="699" spans="1:50" hidden="1" outlineLevel="1" x14ac:dyDescent="0.2">
      <c r="A699" s="217" t="str">
        <f ca="1">Language!A$870</f>
        <v>кредиторская задолженность</v>
      </c>
      <c r="B699" s="57"/>
      <c r="C699" s="82" t="str">
        <f t="shared" ca="1" si="3237"/>
        <v>тыс. руб.</v>
      </c>
      <c r="D699" s="66">
        <v>1</v>
      </c>
      <c r="E699" s="57" t="s">
        <v>759</v>
      </c>
      <c r="F699" s="57" t="s">
        <v>754</v>
      </c>
      <c r="G699" s="185">
        <f>IF(SUM($G693:G693)&gt;0.01,0,MAX(SUM($G689:G689)-SUM($G687:G687)-$B688,0))*CHOOSE($D687,1,Параметры!G$53,Параметры!G$59)</f>
        <v>60120.33898305086</v>
      </c>
      <c r="H699" s="185">
        <f>IF(SUM($G693:H693)&gt;0.01,0,MAX(SUM($G689:H689)-SUM($G687:H687)-$B688,0))*CHOOSE($D687,1,Параметры!H$53,Параметры!H$59)</f>
        <v>34696.610169491541</v>
      </c>
      <c r="I699" s="185">
        <f>IF(SUM($G693:I693)&gt;0.01,0,MAX(SUM($G689:I689)-SUM($G687:I687)-$B688,0))*CHOOSE($D687,1,Параметры!I$53,Параметры!I$59)</f>
        <v>17747.457627118652</v>
      </c>
      <c r="J699" s="185">
        <f>IF(SUM($G693:J693)&gt;0.01,0,MAX(SUM($G689:J689)-SUM($G687:J687)-$B688,0))*CHOOSE($D687,1,Параметры!J$53,Параметры!J$59)</f>
        <v>0</v>
      </c>
      <c r="K699" s="185">
        <f>IF(SUM($G693:K693)&gt;0.01,0,MAX(SUM($G689:K689)-SUM($G687:K687)-$B688,0))*CHOOSE($D687,1,Параметры!K$53,Параметры!K$59)</f>
        <v>0</v>
      </c>
      <c r="L699" s="185">
        <f>IF(SUM($G693:L693)&gt;0.01,0,MAX(SUM($G689:L689)-SUM($G687:L687)-$B688,0))*CHOOSE($D687,1,Параметры!L$53,Параметры!L$59)</f>
        <v>0</v>
      </c>
      <c r="M699" s="185">
        <f>IF(SUM($G693:M693)&gt;0.01,0,MAX(SUM($G689:M689)-SUM($G687:M687)-$B688,0))*CHOOSE($D687,1,Параметры!M$53,Параметры!M$59)</f>
        <v>0</v>
      </c>
      <c r="N699" s="185">
        <f>IF(SUM($G693:N693)&gt;0.01,0,MAX(SUM($G689:N689)-SUM($G687:N687)-$B688,0))*CHOOSE($D687,1,Параметры!N$53,Параметры!N$59)</f>
        <v>0</v>
      </c>
      <c r="O699" s="185">
        <f>IF(SUM($G693:O693)&gt;0.01,0,MAX(SUM($G689:O689)-SUM($G687:O687)-$B688,0))*CHOOSE($D687,1,Параметры!O$53,Параметры!O$59)</f>
        <v>0</v>
      </c>
      <c r="P699" s="185">
        <f>IF(SUM($G693:P693)&gt;0.01,0,MAX(SUM($G689:P689)-SUM($G687:P687)-$B688,0))*CHOOSE($D687,1,Параметры!P$53,Параметры!P$59)</f>
        <v>0</v>
      </c>
      <c r="Q699" s="185">
        <f>IF(SUM($G693:Q693)&gt;0.01,0,MAX(SUM($G689:Q689)-SUM($G687:Q687)-$B688,0))*CHOOSE($D687,1,Параметры!Q$53,Параметры!Q$59)</f>
        <v>0</v>
      </c>
      <c r="R699" s="185">
        <f>IF(SUM($G693:R693)&gt;0.01,0,MAX(SUM($G689:R689)-SUM($G687:R687)-$B688,0))*CHOOSE($D687,1,Параметры!R$53,Параметры!R$59)</f>
        <v>0</v>
      </c>
      <c r="S699" s="185">
        <f>IF(SUM($G693:S693)&gt;0.01,0,MAX(SUM($G689:S689)-SUM($G687:S687)-$B688,0))*CHOOSE($D687,1,Параметры!S$53,Параметры!S$59)</f>
        <v>0</v>
      </c>
      <c r="T699" s="185">
        <f>IF(SUM($G693:T693)&gt;0.01,0,MAX(SUM($G689:T689)-SUM($G687:T687)-$B688,0))*CHOOSE($D687,1,Параметры!T$53,Параметры!T$59)</f>
        <v>0</v>
      </c>
      <c r="U699" s="185">
        <f>IF(SUM($G693:U693)&gt;0.01,0,MAX(SUM($G689:U689)-SUM($G687:U687)-$B688,0))*CHOOSE($D687,1,Параметры!U$53,Параметры!U$59)</f>
        <v>0</v>
      </c>
      <c r="V699" s="185">
        <f>IF(SUM($G693:V693)&gt;0.01,0,MAX(SUM($G689:V689)-SUM($G687:V687)-$B688,0))*CHOOSE($D687,1,Параметры!V$53,Параметры!V$59)</f>
        <v>0</v>
      </c>
      <c r="W699" s="185">
        <f>IF(SUM($G693:W693)&gt;0.01,0,MAX(SUM($G689:W689)-SUM($G687:W687)-$B688,0))*CHOOSE($D687,1,Параметры!W$53,Параметры!W$59)</f>
        <v>0</v>
      </c>
      <c r="X699" s="185">
        <f>IF(SUM($G693:X693)&gt;0.01,0,MAX(SUM($G689:X689)-SUM($G687:X687)-$B688,0))*CHOOSE($D687,1,Параметры!X$53,Параметры!X$59)</f>
        <v>0</v>
      </c>
      <c r="Y699" s="185">
        <f>IF(SUM($G693:Y693)&gt;0.01,0,MAX(SUM($G689:Y689)-SUM($G687:Y687)-$B688,0))*CHOOSE($D687,1,Параметры!Y$53,Параметры!Y$59)</f>
        <v>0</v>
      </c>
      <c r="Z699" s="185">
        <f>IF(SUM($G693:Z693)&gt;0.01,0,MAX(SUM($G689:Z689)-SUM($G687:Z687)-$B688,0))*CHOOSE($D687,1,Параметры!Z$53,Параметры!Z$59)</f>
        <v>0</v>
      </c>
      <c r="AA699" s="185">
        <f>IF(SUM($G693:AA693)&gt;0.01,0,MAX(SUM($G689:AA689)-SUM($G687:AA687)-$B688,0))*CHOOSE($D687,1,Параметры!AA$53,Параметры!AA$59)</f>
        <v>0</v>
      </c>
      <c r="AB699" s="185">
        <f>IF(SUM($G693:AB693)&gt;0.01,0,MAX(SUM($G689:AB689)-SUM($G687:AB687)-$B688,0))*CHOOSE($D687,1,Параметры!AB$53,Параметры!AB$59)</f>
        <v>0</v>
      </c>
      <c r="AC699" s="185">
        <f>IF(SUM($G693:AC693)&gt;0.01,0,MAX(SUM($G689:AC689)-SUM($G687:AC687)-$B688,0))*CHOOSE($D687,1,Параметры!AC$53,Параметры!AC$59)</f>
        <v>0</v>
      </c>
      <c r="AD699" s="185">
        <f>IF(SUM($G693:AD693)&gt;0.01,0,MAX(SUM($G689:AD689)-SUM($G687:AD687)-$B688,0))*CHOOSE($D687,1,Параметры!AD$53,Параметры!AD$59)</f>
        <v>0</v>
      </c>
      <c r="AE699" s="185">
        <f>IF(SUM($G693:AE693)&gt;0.01,0,MAX(SUM($G689:AE689)-SUM($G687:AE687)-$B688,0))*CHOOSE($D687,1,Параметры!AE$53,Параметры!AE$59)</f>
        <v>0</v>
      </c>
      <c r="AF699" s="185">
        <f>IF(SUM($G693:AF693)&gt;0.01,0,MAX(SUM($G689:AF689)-SUM($G687:AF687)-$B688,0))*CHOOSE($D687,1,Параметры!AF$53,Параметры!AF$59)</f>
        <v>0</v>
      </c>
      <c r="AG699" s="185">
        <f>IF(SUM($G693:AG693)&gt;0.01,0,MAX(SUM($G689:AG689)-SUM($G687:AG687)-$B688,0))*CHOOSE($D687,1,Параметры!AG$53,Параметры!AG$59)</f>
        <v>0</v>
      </c>
      <c r="AH699" s="185">
        <f>IF(SUM($G693:AH693)&gt;0.01,0,MAX(SUM($G689:AH689)-SUM($G687:AH687)-$B688,0))*CHOOSE($D687,1,Параметры!AH$53,Параметры!AH$59)</f>
        <v>0</v>
      </c>
      <c r="AI699" s="185">
        <f>IF(SUM($G693:AI693)&gt;0.01,0,MAX(SUM($G689:AI689)-SUM($G687:AI687)-$B688,0))*CHOOSE($D687,1,Параметры!AI$53,Параметры!AI$59)</f>
        <v>0</v>
      </c>
      <c r="AJ699" s="185">
        <f>IF(SUM($G693:AJ693)&gt;0.01,0,MAX(SUM($G689:AJ689)-SUM($G687:AJ687)-$B688,0))*CHOOSE($D687,1,Параметры!AJ$53,Параметры!AJ$59)</f>
        <v>0</v>
      </c>
      <c r="AK699" s="185">
        <f>IF(SUM($G693:AK693)&gt;0.01,0,MAX(SUM($G689:AK689)-SUM($G687:AK687)-$B688,0))*CHOOSE($D687,1,Параметры!AK$53,Параметры!AK$59)</f>
        <v>0</v>
      </c>
      <c r="AL699" s="185">
        <f>IF(SUM($G693:AL693)&gt;0.01,0,MAX(SUM($G689:AL689)-SUM($G687:AL687)-$B688,0))*CHOOSE($D687,1,Параметры!AL$53,Параметры!AL$59)</f>
        <v>0</v>
      </c>
      <c r="AM699" s="185">
        <f>IF(SUM($G693:AM693)&gt;0.01,0,MAX(SUM($G689:AM689)-SUM($G687:AM687)-$B688,0))*CHOOSE($D687,1,Параметры!AM$53,Параметры!AM$59)</f>
        <v>0</v>
      </c>
      <c r="AN699" s="185">
        <f>IF(SUM($G693:AN693)&gt;0.01,0,MAX(SUM($G689:AN689)-SUM($G687:AN687)-$B688,0))*CHOOSE($D687,1,Параметры!AN$53,Параметры!AN$59)</f>
        <v>0</v>
      </c>
      <c r="AO699" s="185">
        <f>IF(SUM($G693:AO693)&gt;0.01,0,MAX(SUM($G689:AO689)-SUM($G687:AO687)-$B688,0))*CHOOSE($D687,1,Параметры!AO$53,Параметры!AO$59)</f>
        <v>0</v>
      </c>
      <c r="AP699" s="185">
        <f>IF(SUM($G693:AP693)&gt;0.01,0,MAX(SUM($G689:AP689)-SUM($G687:AP687)-$B688,0))*CHOOSE($D687,1,Параметры!AP$53,Параметры!AP$59)</f>
        <v>0</v>
      </c>
      <c r="AQ699" s="185">
        <f>IF(SUM($G693:AQ693)&gt;0.01,0,MAX(SUM($G689:AQ689)-SUM($G687:AQ687)-$B688,0))*CHOOSE($D687,1,Параметры!AQ$53,Параметры!AQ$59)</f>
        <v>0</v>
      </c>
      <c r="AR699" s="185">
        <f>IF(SUM($G693:AR693)&gt;0.01,0,MAX(SUM($G689:AR689)-SUM($G687:AR687)-$B688,0))*CHOOSE($D687,1,Параметры!AR$53,Параметры!AR$59)</f>
        <v>0</v>
      </c>
      <c r="AS699" s="185">
        <f>IF(SUM($G693:AS693)&gt;0.01,0,MAX(SUM($G689:AS689)-SUM($G687:AS687)-$B688,0))*CHOOSE($D687,1,Параметры!AS$53,Параметры!AS$59)</f>
        <v>0</v>
      </c>
      <c r="AT699" s="185">
        <f>IF(SUM($G693:AT693)&gt;0.01,0,MAX(SUM($G689:AT689)-SUM($G687:AT687)-$B688,0))*CHOOSE($D687,1,Параметры!AT$53,Параметры!AT$59)</f>
        <v>0</v>
      </c>
      <c r="AU699" s="185">
        <f>IF(SUM($G693:AU693)&gt;0.01,0,MAX(SUM($G689:AU689)-SUM($G687:AU687)-$B688,0))*CHOOSE($D687,1,Параметры!AU$53,Параметры!AU$59)</f>
        <v>0</v>
      </c>
      <c r="AV699" s="185">
        <f>IF(SUM($G693:AV693)&gt;0.01,0,MAX(SUM($G689:AV689)-SUM($G687:AV687)-$B688,0))*CHOOSE($D687,1,Параметры!AV$53,Параметры!AV$59)</f>
        <v>0</v>
      </c>
      <c r="AW699" s="180"/>
      <c r="AX699" s="87"/>
    </row>
    <row r="700" spans="1:50" hidden="1" outlineLevel="1" x14ac:dyDescent="0.2">
      <c r="A700" s="217" t="str">
        <f ca="1">Language!A$871</f>
        <v>амортизация (бухгалтерская)</v>
      </c>
      <c r="B700" s="57"/>
      <c r="C700" s="82" t="str">
        <f t="shared" ca="1" si="3237"/>
        <v>тыс. руб.</v>
      </c>
      <c r="D700" s="66">
        <v>1</v>
      </c>
      <c r="E700" s="57" t="s">
        <v>762</v>
      </c>
      <c r="F700" s="57" t="s">
        <v>753</v>
      </c>
      <c r="G700" s="185">
        <f ca="1">IF(SUM($G693:G693)&gt;0.01,0,IF($B690=0,0,MIN((SUM($G697:G697)-IF(G$2&gt;$B690*12/Prj_Step,SUM($G697:OFFSET(G697,0,-$B690*12/Prj_Step)),0))/$B690/12*Параметры!G$31,IF(G$2=1,G697,F701+SUM($F697:G697)-SUM($F697:F697)))))</f>
        <v>761.6525423728815</v>
      </c>
      <c r="H700" s="185">
        <f ca="1">IF(SUM($G693:H693)&gt;0.01,0,IF($B690=0,0,MIN((SUM($G697:H697)-IF(H$2&gt;$B690*12/Prj_Step,SUM($G697:OFFSET(H697,0,-$B690*12/Prj_Step)),0))/$B690/12*Параметры!H$31,IF(H$2=1,H697,G701+SUM($F697:H697)-SUM($F697:G697)))))</f>
        <v>761.6525423728815</v>
      </c>
      <c r="I700" s="185">
        <f ca="1">IF(SUM($G693:I693)&gt;0.01,0,IF($B690=0,0,MIN((SUM($G697:I697)-IF(I$2&gt;$B690*12/Prj_Step,SUM($G697:OFFSET(I697,0,-$B690*12/Prj_Step)),0))/$B690/12*Параметры!I$31,IF(I$2=1,I697,H701+SUM($F697:I697)-SUM($F697:H697)))))</f>
        <v>761.6525423728815</v>
      </c>
      <c r="J700" s="185">
        <f ca="1">IF(SUM($G693:J693)&gt;0.01,0,IF($B690=0,0,MIN((SUM($G697:J697)-IF(J$2&gt;$B690*12/Prj_Step,SUM($G697:OFFSET(J697,0,-$B690*12/Prj_Step)),0))/$B690/12*Параметры!J$31,IF(J$2=1,J697,I701+SUM($F697:J697)-SUM($F697:I697)))))</f>
        <v>761.6525423728815</v>
      </c>
      <c r="K700" s="185">
        <f ca="1">IF(SUM($G693:K693)&gt;0.01,0,IF($B690=0,0,MIN((SUM($G697:K697)-IF(K$2&gt;$B690*12/Prj_Step,SUM($G697:OFFSET(K697,0,-$B690*12/Prj_Step)),0))/$B690/12*Параметры!K$31,IF(K$2=1,K697,J701+SUM($F697:K697)-SUM($F697:J697)))))</f>
        <v>761.6525423728815</v>
      </c>
      <c r="L700" s="185">
        <f ca="1">IF(SUM($G693:L693)&gt;0.01,0,IF($B690=0,0,MIN((SUM($G697:L697)-IF(L$2&gt;$B690*12/Prj_Step,SUM($G697:OFFSET(L697,0,-$B690*12/Prj_Step)),0))/$B690/12*Параметры!L$31,IF(L$2=1,L697,K701+SUM($F697:L697)-SUM($F697:K697)))))</f>
        <v>761.6525423728815</v>
      </c>
      <c r="M700" s="185">
        <f ca="1">IF(SUM($G693:M693)&gt;0.01,0,IF($B690=0,0,MIN((SUM($G697:M697)-IF(M$2&gt;$B690*12/Prj_Step,SUM($G697:OFFSET(M697,0,-$B690*12/Prj_Step)),0))/$B690/12*Параметры!M$31,IF(M$2=1,M697,L701+SUM($F697:M697)-SUM($F697:L697)))))</f>
        <v>761.6525423728815</v>
      </c>
      <c r="N700" s="185">
        <f ca="1">IF(SUM($G693:N693)&gt;0.01,0,IF($B690=0,0,MIN((SUM($G697:N697)-IF(N$2&gt;$B690*12/Prj_Step,SUM($G697:OFFSET(N697,0,-$B690*12/Prj_Step)),0))/$B690/12*Параметры!N$31,IF(N$2=1,N697,M701+SUM($F697:N697)-SUM($F697:M697)))))</f>
        <v>761.6525423728815</v>
      </c>
      <c r="O700" s="185">
        <f ca="1">IF(SUM($G693:O693)&gt;0.01,0,IF($B690=0,0,MIN((SUM($G697:O697)-IF(O$2&gt;$B690*12/Prj_Step,SUM($G697:OFFSET(O697,0,-$B690*12/Prj_Step)),0))/$B690/12*Параметры!O$31,IF(O$2=1,O697,N701+SUM($F697:O697)-SUM($F697:N697)))))</f>
        <v>761.6525423728815</v>
      </c>
      <c r="P700" s="185">
        <f ca="1">IF(SUM($G693:P693)&gt;0.01,0,IF($B690=0,0,MIN((SUM($G697:P697)-IF(P$2&gt;$B690*12/Prj_Step,SUM($G697:OFFSET(P697,0,-$B690*12/Prj_Step)),0))/$B690/12*Параметры!P$31,IF(P$2=1,P697,O701+SUM($F697:P697)-SUM($F697:O697)))))</f>
        <v>761.6525423728815</v>
      </c>
      <c r="Q700" s="185">
        <f ca="1">IF(SUM($G693:Q693)&gt;0.01,0,IF($B690=0,0,MIN((SUM($G697:Q697)-IF(Q$2&gt;$B690*12/Prj_Step,SUM($G697:OFFSET(Q697,0,-$B690*12/Prj_Step)),0))/$B690/12*Параметры!Q$31,IF(Q$2=1,Q697,P701+SUM($F697:Q697)-SUM($F697:P697)))))</f>
        <v>761.6525423728815</v>
      </c>
      <c r="R700" s="185">
        <f ca="1">IF(SUM($G693:R693)&gt;0.01,0,IF($B690=0,0,MIN((SUM($G697:R697)-IF(R$2&gt;$B690*12/Prj_Step,SUM($G697:OFFSET(R697,0,-$B690*12/Prj_Step)),0))/$B690/12*Параметры!R$31,IF(R$2=1,R697,Q701+SUM($F697:R697)-SUM($F697:Q697)))))</f>
        <v>761.6525423728815</v>
      </c>
      <c r="S700" s="185">
        <f ca="1">IF(SUM($G693:S693)&gt;0.01,0,IF($B690=0,0,MIN((SUM($G697:S697)-IF(S$2&gt;$B690*12/Prj_Step,SUM($G697:OFFSET(S697,0,-$B690*12/Prj_Step)),0))/$B690/12*Параметры!S$31,IF(S$2=1,S697,R701+SUM($F697:S697)-SUM($F697:R697)))))</f>
        <v>761.6525423728815</v>
      </c>
      <c r="T700" s="185">
        <f ca="1">IF(SUM($G693:T693)&gt;0.01,0,IF($B690=0,0,MIN((SUM($G697:T697)-IF(T$2&gt;$B690*12/Prj_Step,SUM($G697:OFFSET(T697,0,-$B690*12/Prj_Step)),0))/$B690/12*Параметры!T$31,IF(T$2=1,T697,S701+SUM($F697:T697)-SUM($F697:S697)))))</f>
        <v>761.6525423728815</v>
      </c>
      <c r="U700" s="185">
        <f ca="1">IF(SUM($G693:U693)&gt;0.01,0,IF($B690=0,0,MIN((SUM($G697:U697)-IF(U$2&gt;$B690*12/Prj_Step,SUM($G697:OFFSET(U697,0,-$B690*12/Prj_Step)),0))/$B690/12*Параметры!U$31,IF(U$2=1,U697,T701+SUM($F697:U697)-SUM($F697:T697)))))</f>
        <v>761.6525423728815</v>
      </c>
      <c r="V700" s="185">
        <f ca="1">IF(SUM($G693:V693)&gt;0.01,0,IF($B690=0,0,MIN((SUM($G697:V697)-IF(V$2&gt;$B690*12/Prj_Step,SUM($G697:OFFSET(V697,0,-$B690*12/Prj_Step)),0))/$B690/12*Параметры!V$31,IF(V$2=1,V697,U701+SUM($F697:V697)-SUM($F697:U697)))))</f>
        <v>761.6525423728815</v>
      </c>
      <c r="W700" s="185">
        <f ca="1">IF(SUM($G693:W693)&gt;0.01,0,IF($B690=0,0,MIN((SUM($G697:W697)-IF(W$2&gt;$B690*12/Prj_Step,SUM($G697:OFFSET(W697,0,-$B690*12/Prj_Step)),0))/$B690/12*Параметры!W$31,IF(W$2=1,W697,V701+SUM($F697:W697)-SUM($F697:V697)))))</f>
        <v>761.6525423728815</v>
      </c>
      <c r="X700" s="185">
        <f ca="1">IF(SUM($G693:X693)&gt;0.01,0,IF($B690=0,0,MIN((SUM($G697:X697)-IF(X$2&gt;$B690*12/Prj_Step,SUM($G697:OFFSET(X697,0,-$B690*12/Prj_Step)),0))/$B690/12*Параметры!X$31,IF(X$2=1,X697,W701+SUM($F697:X697)-SUM($F697:W697)))))</f>
        <v>761.6525423728815</v>
      </c>
      <c r="Y700" s="185">
        <f ca="1">IF(SUM($G693:Y693)&gt;0.01,0,IF($B690=0,0,MIN((SUM($G697:Y697)-IF(Y$2&gt;$B690*12/Prj_Step,SUM($G697:OFFSET(Y697,0,-$B690*12/Prj_Step)),0))/$B690/12*Параметры!Y$31,IF(Y$2=1,Y697,X701+SUM($F697:Y697)-SUM($F697:X697)))))</f>
        <v>761.6525423728815</v>
      </c>
      <c r="Z700" s="185">
        <f ca="1">IF(SUM($G693:Z693)&gt;0.01,0,IF($B690=0,0,MIN((SUM($G697:Z697)-IF(Z$2&gt;$B690*12/Prj_Step,SUM($G697:OFFSET(Z697,0,-$B690*12/Prj_Step)),0))/$B690/12*Параметры!Z$31,IF(Z$2=1,Z697,Y701+SUM($F697:Z697)-SUM($F697:Y697)))))</f>
        <v>761.6525423728815</v>
      </c>
      <c r="AA700" s="185">
        <f ca="1">IF(SUM($G693:AA693)&gt;0.01,0,IF($B690=0,0,MIN((SUM($G697:AA697)-IF(AA$2&gt;$B690*12/Prj_Step,SUM($G697:OFFSET(AA697,0,-$B690*12/Prj_Step)),0))/$B690/12*Параметры!AA$31,IF(AA$2=1,AA697,Z701+SUM($F697:AA697)-SUM($F697:Z697)))))</f>
        <v>761.6525423728815</v>
      </c>
      <c r="AB700" s="185">
        <f ca="1">IF(SUM($G693:AB693)&gt;0.01,0,IF($B690=0,0,MIN((SUM($G697:AB697)-IF(AB$2&gt;$B690*12/Prj_Step,SUM($G697:OFFSET(AB697,0,-$B690*12/Prj_Step)),0))/$B690/12*Параметры!AB$31,IF(AB$2=1,AB697,AA701+SUM($F697:AB697)-SUM($F697:AA697)))))</f>
        <v>761.6525423728815</v>
      </c>
      <c r="AC700" s="185">
        <f ca="1">IF(SUM($G693:AC693)&gt;0.01,0,IF($B690=0,0,MIN((SUM($G697:AC697)-IF(AC$2&gt;$B690*12/Prj_Step,SUM($G697:OFFSET(AC697,0,-$B690*12/Prj_Step)),0))/$B690/12*Параметры!AC$31,IF(AC$2=1,AC697,AB701+SUM($F697:AC697)-SUM($F697:AB697)))))</f>
        <v>761.6525423728815</v>
      </c>
      <c r="AD700" s="185">
        <f ca="1">IF(SUM($G693:AD693)&gt;0.01,0,IF($B690=0,0,MIN((SUM($G697:AD697)-IF(AD$2&gt;$B690*12/Prj_Step,SUM($G697:OFFSET(AD697,0,-$B690*12/Prj_Step)),0))/$B690/12*Параметры!AD$31,IF(AD$2=1,AD697,AC701+SUM($F697:AD697)-SUM($F697:AC697)))))</f>
        <v>761.6525423728815</v>
      </c>
      <c r="AE700" s="185">
        <f ca="1">IF(SUM($G693:AE693)&gt;0.01,0,IF($B690=0,0,MIN((SUM($G697:AE697)-IF(AE$2&gt;$B690*12/Prj_Step,SUM($G697:OFFSET(AE697,0,-$B690*12/Prj_Step)),0))/$B690/12*Параметры!AE$31,IF(AE$2=1,AE697,AD701+SUM($F697:AE697)-SUM($F697:AD697)))))</f>
        <v>761.6525423728815</v>
      </c>
      <c r="AF700" s="185">
        <f ca="1">IF(SUM($G693:AF693)&gt;0.01,0,IF($B690=0,0,MIN((SUM($G697:AF697)-IF(AF$2&gt;$B690*12/Prj_Step,SUM($G697:OFFSET(AF697,0,-$B690*12/Prj_Step)),0))/$B690/12*Параметры!AF$31,IF(AF$2=1,AF697,AE701+SUM($F697:AF697)-SUM($F697:AE697)))))</f>
        <v>761.6525423728815</v>
      </c>
      <c r="AG700" s="185">
        <f ca="1">IF(SUM($G693:AG693)&gt;0.01,0,IF($B690=0,0,MIN((SUM($G697:AG697)-IF(AG$2&gt;$B690*12/Prj_Step,SUM($G697:OFFSET(AG697,0,-$B690*12/Prj_Step)),0))/$B690/12*Параметры!AG$31,IF(AG$2=1,AG697,AF701+SUM($F697:AG697)-SUM($F697:AF697)))))</f>
        <v>761.6525423728815</v>
      </c>
      <c r="AH700" s="185">
        <f ca="1">IF(SUM($G693:AH693)&gt;0.01,0,IF($B690=0,0,MIN((SUM($G697:AH697)-IF(AH$2&gt;$B690*12/Prj_Step,SUM($G697:OFFSET(AH697,0,-$B690*12/Prj_Step)),0))/$B690/12*Параметры!AH$31,IF(AH$2=1,AH697,AG701+SUM($F697:AH697)-SUM($F697:AG697)))))</f>
        <v>761.6525423728815</v>
      </c>
      <c r="AI700" s="185">
        <f ca="1">IF(SUM($G693:AI693)&gt;0.01,0,IF($B690=0,0,MIN((SUM($G697:AI697)-IF(AI$2&gt;$B690*12/Prj_Step,SUM($G697:OFFSET(AI697,0,-$B690*12/Prj_Step)),0))/$B690/12*Параметры!AI$31,IF(AI$2=1,AI697,AH701+SUM($F697:AI697)-SUM($F697:AH697)))))</f>
        <v>761.6525423728815</v>
      </c>
      <c r="AJ700" s="185">
        <f ca="1">IF(SUM($G693:AJ693)&gt;0.01,0,IF($B690=0,0,MIN((SUM($G697:AJ697)-IF(AJ$2&gt;$B690*12/Prj_Step,SUM($G697:OFFSET(AJ697,0,-$B690*12/Prj_Step)),0))/$B690/12*Параметры!AJ$31,IF(AJ$2=1,AJ697,AI701+SUM($F697:AJ697)-SUM($F697:AI697)))))</f>
        <v>761.6525423728815</v>
      </c>
      <c r="AK700" s="185">
        <f ca="1">IF(SUM($G693:AK693)&gt;0.01,0,IF($B690=0,0,MIN((SUM($G697:AK697)-IF(AK$2&gt;$B690*12/Prj_Step,SUM($G697:OFFSET(AK697,0,-$B690*12/Prj_Step)),0))/$B690/12*Параметры!AK$31,IF(AK$2=1,AK697,AJ701+SUM($F697:AK697)-SUM($F697:AJ697)))))</f>
        <v>761.6525423728815</v>
      </c>
      <c r="AL700" s="185">
        <f ca="1">IF(SUM($G693:AL693)&gt;0.01,0,IF($B690=0,0,MIN((SUM($G697:AL697)-IF(AL$2&gt;$B690*12/Prj_Step,SUM($G697:OFFSET(AL697,0,-$B690*12/Prj_Step)),0))/$B690/12*Параметры!AL$31,IF(AL$2=1,AL697,AK701+SUM($F697:AL697)-SUM($F697:AK697)))))</f>
        <v>761.6525423728815</v>
      </c>
      <c r="AM700" s="185">
        <f ca="1">IF(SUM($G693:AM693)&gt;0.01,0,IF($B690=0,0,MIN((SUM($G697:AM697)-IF(AM$2&gt;$B690*12/Prj_Step,SUM($G697:OFFSET(AM697,0,-$B690*12/Prj_Step)),0))/$B690/12*Параметры!AM$31,IF(AM$2=1,AM697,AL701+SUM($F697:AM697)-SUM($F697:AL697)))))</f>
        <v>761.6525423728815</v>
      </c>
      <c r="AN700" s="185">
        <f ca="1">IF(SUM($G693:AN693)&gt;0.01,0,IF($B690=0,0,MIN((SUM($G697:AN697)-IF(AN$2&gt;$B690*12/Prj_Step,SUM($G697:OFFSET(AN697,0,-$B690*12/Prj_Step)),0))/$B690/12*Параметры!AN$31,IF(AN$2=1,AN697,AM701+SUM($F697:AN697)-SUM($F697:AM697)))))</f>
        <v>761.6525423728815</v>
      </c>
      <c r="AO700" s="185">
        <f ca="1">IF(SUM($G693:AO693)&gt;0.01,0,IF($B690=0,0,MIN((SUM($G697:AO697)-IF(AO$2&gt;$B690*12/Prj_Step,SUM($G697:OFFSET(AO697,0,-$B690*12/Prj_Step)),0))/$B690/12*Параметры!AO$31,IF(AO$2=1,AO697,AN701+SUM($F697:AO697)-SUM($F697:AN697)))))</f>
        <v>761.6525423728815</v>
      </c>
      <c r="AP700" s="185">
        <f ca="1">IF(SUM($G693:AP693)&gt;0.01,0,IF($B690=0,0,MIN((SUM($G697:AP697)-IF(AP$2&gt;$B690*12/Prj_Step,SUM($G697:OFFSET(AP697,0,-$B690*12/Prj_Step)),0))/$B690/12*Параметры!AP$31,IF(AP$2=1,AP697,AO701+SUM($F697:AP697)-SUM($F697:AO697)))))</f>
        <v>761.6525423728815</v>
      </c>
      <c r="AQ700" s="185">
        <f ca="1">IF(SUM($G693:AQ693)&gt;0.01,0,IF($B690=0,0,MIN((SUM($G697:AQ697)-IF(AQ$2&gt;$B690*12/Prj_Step,SUM($G697:OFFSET(AQ697,0,-$B690*12/Prj_Step)),0))/$B690/12*Параметры!AQ$31,IF(AQ$2=1,AQ697,AP701+SUM($F697:AQ697)-SUM($F697:AP697)))))</f>
        <v>761.6525423728815</v>
      </c>
      <c r="AR700" s="185">
        <f ca="1">IF(SUM($G693:AR693)&gt;0.01,0,IF($B690=0,0,MIN((SUM($G697:AR697)-IF(AR$2&gt;$B690*12/Prj_Step,SUM($G697:OFFSET(AR697,0,-$B690*12/Prj_Step)),0))/$B690/12*Параметры!AR$31,IF(AR$2=1,AR697,AQ701+SUM($F697:AR697)-SUM($F697:AQ697)))))</f>
        <v>761.6525423728815</v>
      </c>
      <c r="AS700" s="185">
        <f ca="1">IF(SUM($G693:AS693)&gt;0.01,0,IF($B690=0,0,MIN((SUM($G697:AS697)-IF(AS$2&gt;$B690*12/Prj_Step,SUM($G697:OFFSET(AS697,0,-$B690*12/Prj_Step)),0))/$B690/12*Параметры!AS$31,IF(AS$2=1,AS697,AR701+SUM($F697:AS697)-SUM($F697:AR697)))))</f>
        <v>761.6525423728815</v>
      </c>
      <c r="AT700" s="185">
        <f ca="1">IF(SUM($G693:AT693)&gt;0.01,0,IF($B690=0,0,MIN((SUM($G697:AT697)-IF(AT$2&gt;$B690*12/Prj_Step,SUM($G697:OFFSET(AT697,0,-$B690*12/Prj_Step)),0))/$B690/12*Параметры!AT$31,IF(AT$2=1,AT697,AS701+SUM($F697:AT697)-SUM($F697:AS697)))))</f>
        <v>761.6525423728815</v>
      </c>
      <c r="AU700" s="185">
        <f ca="1">IF(SUM($G693:AU693)&gt;0.01,0,IF($B690=0,0,MIN((SUM($G697:AU697)-IF(AU$2&gt;$B690*12/Prj_Step,SUM($G697:OFFSET(AU697,0,-$B690*12/Prj_Step)),0))/$B690/12*Параметры!AU$31,IF(AU$2=1,AU697,AT701+SUM($F697:AU697)-SUM($F697:AT697)))))</f>
        <v>761.6525423728815</v>
      </c>
      <c r="AV700" s="185">
        <f ca="1">IF(SUM($G693:AV693)&gt;0.01,0,IF($B690=0,0,MIN((SUM($G697:AV697)-IF(AV$2&gt;$B690*12/Prj_Step,SUM($G697:OFFSET(AV697,0,-$B690*12/Prj_Step)),0))/$B690/12*Параметры!AV$31,IF(AV$2=1,AV697,AU701+SUM($F697:AV697)-SUM($F697:AU697)))))</f>
        <v>761.6525423728815</v>
      </c>
      <c r="AW700" s="180"/>
      <c r="AX700" s="189">
        <f ca="1">SUM(G700:AW700)</f>
        <v>31989.406779661029</v>
      </c>
    </row>
    <row r="701" spans="1:50" hidden="1" outlineLevel="1" x14ac:dyDescent="0.2">
      <c r="A701" s="217" t="str">
        <f ca="1">Language!A$872</f>
        <v>балансовая стоимость (бухгалтерская)</v>
      </c>
      <c r="B701" s="57"/>
      <c r="C701" s="82" t="str">
        <f t="shared" ca="1" si="3237"/>
        <v>тыс. руб.</v>
      </c>
      <c r="D701" s="66">
        <v>1</v>
      </c>
      <c r="E701" s="57" t="s">
        <v>763</v>
      </c>
      <c r="F701" s="57" t="s">
        <v>754</v>
      </c>
      <c r="G701" s="185">
        <f ca="1">IF(SUM($G693:G693)&gt;0.01,0,SUM($G697:G697)-SUM($G700:G700))</f>
        <v>90636.652542372904</v>
      </c>
      <c r="H701" s="185">
        <f ca="1">IF(SUM($G693:H693)&gt;0.01,0,SUM($G697:H697)-SUM($G700:H700))</f>
        <v>89875.000000000015</v>
      </c>
      <c r="I701" s="185">
        <f ca="1">IF(SUM($G693:I693)&gt;0.01,0,SUM($G697:I697)-SUM($G700:I700))</f>
        <v>89113.34745762714</v>
      </c>
      <c r="J701" s="185">
        <f ca="1">IF(SUM($G693:J693)&gt;0.01,0,SUM($G697:J697)-SUM($G700:J700))</f>
        <v>88351.694915254251</v>
      </c>
      <c r="K701" s="185">
        <f ca="1">IF(SUM($G693:K693)&gt;0.01,0,SUM($G697:K697)-SUM($G700:K700))</f>
        <v>87590.042372881377</v>
      </c>
      <c r="L701" s="185">
        <f ca="1">IF(SUM($G693:L693)&gt;0.01,0,SUM($G697:L697)-SUM($G700:L700))</f>
        <v>86828.389830508488</v>
      </c>
      <c r="M701" s="185">
        <f ca="1">IF(SUM($G693:M693)&gt;0.01,0,SUM($G697:M697)-SUM($G700:M700))</f>
        <v>86066.737288135613</v>
      </c>
      <c r="N701" s="185">
        <f ca="1">IF(SUM($G693:N693)&gt;0.01,0,SUM($G697:N697)-SUM($G700:N700))</f>
        <v>85305.084745762724</v>
      </c>
      <c r="O701" s="185">
        <f ca="1">IF(SUM($G693:O693)&gt;0.01,0,SUM($G697:O697)-SUM($G700:O700))</f>
        <v>84543.43220338985</v>
      </c>
      <c r="P701" s="185">
        <f ca="1">IF(SUM($G693:P693)&gt;0.01,0,SUM($G697:P697)-SUM($G700:P700))</f>
        <v>83781.779661016961</v>
      </c>
      <c r="Q701" s="185">
        <f ca="1">IF(SUM($G693:Q693)&gt;0.01,0,SUM($G697:Q697)-SUM($G700:Q700))</f>
        <v>83020.127118644086</v>
      </c>
      <c r="R701" s="185">
        <f ca="1">IF(SUM($G693:R693)&gt;0.01,0,SUM($G697:R697)-SUM($G700:R700))</f>
        <v>82258.474576271197</v>
      </c>
      <c r="S701" s="185">
        <f ca="1">IF(SUM($G693:S693)&gt;0.01,0,SUM($G697:S697)-SUM($G700:S700))</f>
        <v>81496.822033898323</v>
      </c>
      <c r="T701" s="185">
        <f ca="1">IF(SUM($G693:T693)&gt;0.01,0,SUM($G697:T697)-SUM($G700:T700))</f>
        <v>80735.169491525434</v>
      </c>
      <c r="U701" s="185">
        <f ca="1">IF(SUM($G693:U693)&gt;0.01,0,SUM($G697:U697)-SUM($G700:U700))</f>
        <v>79973.516949152559</v>
      </c>
      <c r="V701" s="185">
        <f ca="1">IF(SUM($G693:V693)&gt;0.01,0,SUM($G697:V697)-SUM($G700:V700))</f>
        <v>79211.86440677967</v>
      </c>
      <c r="W701" s="185">
        <f ca="1">IF(SUM($G693:W693)&gt;0.01,0,SUM($G697:W697)-SUM($G700:W700))</f>
        <v>78450.211864406796</v>
      </c>
      <c r="X701" s="185">
        <f ca="1">IF(SUM($G693:X693)&gt;0.01,0,SUM($G697:X697)-SUM($G700:X700))</f>
        <v>77688.559322033907</v>
      </c>
      <c r="Y701" s="185">
        <f ca="1">IF(SUM($G693:Y693)&gt;0.01,0,SUM($G697:Y697)-SUM($G700:Y700))</f>
        <v>76926.906779661032</v>
      </c>
      <c r="Z701" s="185">
        <f ca="1">IF(SUM($G693:Z693)&gt;0.01,0,SUM($G697:Z697)-SUM($G700:Z700))</f>
        <v>76165.254237288143</v>
      </c>
      <c r="AA701" s="185">
        <f ca="1">IF(SUM($G693:AA693)&gt;0.01,0,SUM($G697:AA697)-SUM($G700:AA700))</f>
        <v>75403.601694915269</v>
      </c>
      <c r="AB701" s="185">
        <f ca="1">IF(SUM($G693:AB693)&gt;0.01,0,SUM($G697:AB697)-SUM($G700:AB700))</f>
        <v>74641.94915254238</v>
      </c>
      <c r="AC701" s="185">
        <f ca="1">IF(SUM($G693:AC693)&gt;0.01,0,SUM($G697:AC697)-SUM($G700:AC700))</f>
        <v>73880.296610169506</v>
      </c>
      <c r="AD701" s="185">
        <f ca="1">IF(SUM($G693:AD693)&gt;0.01,0,SUM($G697:AD697)-SUM($G700:AD700))</f>
        <v>73118.644067796617</v>
      </c>
      <c r="AE701" s="185">
        <f ca="1">IF(SUM($G693:AE693)&gt;0.01,0,SUM($G697:AE697)-SUM($G700:AE700))</f>
        <v>72356.991525423742</v>
      </c>
      <c r="AF701" s="185">
        <f ca="1">IF(SUM($G693:AF693)&gt;0.01,0,SUM($G697:AF697)-SUM($G700:AF700))</f>
        <v>71595.338983050853</v>
      </c>
      <c r="AG701" s="185">
        <f ca="1">IF(SUM($G693:AG693)&gt;0.01,0,SUM($G697:AG697)-SUM($G700:AG700))</f>
        <v>70833.686440677979</v>
      </c>
      <c r="AH701" s="185">
        <f ca="1">IF(SUM($G693:AH693)&gt;0.01,0,SUM($G697:AH697)-SUM($G700:AH700))</f>
        <v>70072.03389830509</v>
      </c>
      <c r="AI701" s="185">
        <f ca="1">IF(SUM($G693:AI693)&gt;0.01,0,SUM($G697:AI697)-SUM($G700:AI700))</f>
        <v>69310.381355932215</v>
      </c>
      <c r="AJ701" s="185">
        <f ca="1">IF(SUM($G693:AJ693)&gt;0.01,0,SUM($G697:AJ697)-SUM($G700:AJ700))</f>
        <v>68548.728813559326</v>
      </c>
      <c r="AK701" s="185">
        <f ca="1">IF(SUM($G693:AK693)&gt;0.01,0,SUM($G697:AK697)-SUM($G700:AK700))</f>
        <v>67787.076271186452</v>
      </c>
      <c r="AL701" s="185">
        <f ca="1">IF(SUM($G693:AL693)&gt;0.01,0,SUM($G697:AL697)-SUM($G700:AL700))</f>
        <v>67025.423728813563</v>
      </c>
      <c r="AM701" s="185">
        <f ca="1">IF(SUM($G693:AM693)&gt;0.01,0,SUM($G697:AM697)-SUM($G700:AM700))</f>
        <v>66263.771186440688</v>
      </c>
      <c r="AN701" s="185">
        <f ca="1">IF(SUM($G693:AN693)&gt;0.01,0,SUM($G697:AN697)-SUM($G700:AN700))</f>
        <v>65502.118644067799</v>
      </c>
      <c r="AO701" s="185">
        <f ca="1">IF(SUM($G693:AO693)&gt;0.01,0,SUM($G697:AO697)-SUM($G700:AO700))</f>
        <v>64740.466101694925</v>
      </c>
      <c r="AP701" s="185">
        <f ca="1">IF(SUM($G693:AP693)&gt;0.01,0,SUM($G697:AP697)-SUM($G700:AP700))</f>
        <v>63978.813559322036</v>
      </c>
      <c r="AQ701" s="185">
        <f ca="1">IF(SUM($G693:AQ693)&gt;0.01,0,SUM($G697:AQ697)-SUM($G700:AQ700))</f>
        <v>63217.161016949161</v>
      </c>
      <c r="AR701" s="185">
        <f ca="1">IF(SUM($G693:AR693)&gt;0.01,0,SUM($G697:AR697)-SUM($G700:AR700))</f>
        <v>62455.508474576272</v>
      </c>
      <c r="AS701" s="185">
        <f ca="1">IF(SUM($G693:AS693)&gt;0.01,0,SUM($G697:AS697)-SUM($G700:AS700))</f>
        <v>61693.855932203398</v>
      </c>
      <c r="AT701" s="185">
        <f ca="1">IF(SUM($G693:AT693)&gt;0.01,0,SUM($G697:AT697)-SUM($G700:AT700))</f>
        <v>60932.203389830509</v>
      </c>
      <c r="AU701" s="185">
        <f ca="1">IF(SUM($G693:AU693)&gt;0.01,0,SUM($G697:AU697)-SUM($G700:AU700))</f>
        <v>60170.550847457635</v>
      </c>
      <c r="AV701" s="185">
        <f ca="1">IF(SUM($G693:AV693)&gt;0.01,0,SUM($G697:AV697)-SUM($G700:AV700))</f>
        <v>59408.898305084746</v>
      </c>
      <c r="AW701" s="180"/>
      <c r="AX701" s="87"/>
    </row>
    <row r="702" spans="1:50" hidden="1" outlineLevel="1" x14ac:dyDescent="0.2">
      <c r="A702" s="217" t="str">
        <f ca="1">Language!A$873</f>
        <v>выплаченный НДС</v>
      </c>
      <c r="B702" s="57"/>
      <c r="C702" s="82" t="str">
        <f t="shared" ca="1" si="3237"/>
        <v>тыс. руб.</v>
      </c>
      <c r="D702" s="66">
        <v>1</v>
      </c>
      <c r="E702" s="57" t="s">
        <v>764</v>
      </c>
      <c r="F702" s="57" t="s">
        <v>753</v>
      </c>
      <c r="G702" s="180">
        <f t="shared" ref="G702:AV702" si="3238">G694*G692</f>
        <v>5630.0338983050851</v>
      </c>
      <c r="H702" s="180">
        <f t="shared" si="3238"/>
        <v>4576.2711864406783</v>
      </c>
      <c r="I702" s="180">
        <f t="shared" si="3238"/>
        <v>3050.8474576271187</v>
      </c>
      <c r="J702" s="180">
        <f t="shared" si="3238"/>
        <v>3194.5423728813562</v>
      </c>
      <c r="K702" s="180">
        <f t="shared" si="3238"/>
        <v>0</v>
      </c>
      <c r="L702" s="180">
        <f t="shared" si="3238"/>
        <v>0</v>
      </c>
      <c r="M702" s="180">
        <f t="shared" si="3238"/>
        <v>0</v>
      </c>
      <c r="N702" s="180">
        <f t="shared" si="3238"/>
        <v>0</v>
      </c>
      <c r="O702" s="180">
        <f t="shared" si="3238"/>
        <v>0</v>
      </c>
      <c r="P702" s="180">
        <f t="shared" si="3238"/>
        <v>0</v>
      </c>
      <c r="Q702" s="180">
        <f t="shared" si="3238"/>
        <v>0</v>
      </c>
      <c r="R702" s="180">
        <f t="shared" si="3238"/>
        <v>0</v>
      </c>
      <c r="S702" s="180">
        <f t="shared" si="3238"/>
        <v>0</v>
      </c>
      <c r="T702" s="180">
        <f t="shared" si="3238"/>
        <v>0</v>
      </c>
      <c r="U702" s="180">
        <f t="shared" si="3238"/>
        <v>0</v>
      </c>
      <c r="V702" s="180">
        <f t="shared" si="3238"/>
        <v>0</v>
      </c>
      <c r="W702" s="180">
        <f t="shared" si="3238"/>
        <v>0</v>
      </c>
      <c r="X702" s="180">
        <f t="shared" si="3238"/>
        <v>0</v>
      </c>
      <c r="Y702" s="180">
        <f t="shared" si="3238"/>
        <v>0</v>
      </c>
      <c r="Z702" s="180">
        <f t="shared" si="3238"/>
        <v>0</v>
      </c>
      <c r="AA702" s="180">
        <f t="shared" si="3238"/>
        <v>0</v>
      </c>
      <c r="AB702" s="180">
        <f t="shared" si="3238"/>
        <v>0</v>
      </c>
      <c r="AC702" s="180">
        <f t="shared" si="3238"/>
        <v>0</v>
      </c>
      <c r="AD702" s="180">
        <f t="shared" si="3238"/>
        <v>0</v>
      </c>
      <c r="AE702" s="180">
        <f t="shared" si="3238"/>
        <v>0</v>
      </c>
      <c r="AF702" s="180">
        <f t="shared" si="3238"/>
        <v>0</v>
      </c>
      <c r="AG702" s="180">
        <f t="shared" si="3238"/>
        <v>0</v>
      </c>
      <c r="AH702" s="180">
        <f t="shared" si="3238"/>
        <v>0</v>
      </c>
      <c r="AI702" s="180">
        <f t="shared" si="3238"/>
        <v>0</v>
      </c>
      <c r="AJ702" s="180">
        <f t="shared" si="3238"/>
        <v>0</v>
      </c>
      <c r="AK702" s="180">
        <f t="shared" si="3238"/>
        <v>0</v>
      </c>
      <c r="AL702" s="180">
        <f t="shared" si="3238"/>
        <v>0</v>
      </c>
      <c r="AM702" s="180">
        <f t="shared" si="3238"/>
        <v>0</v>
      </c>
      <c r="AN702" s="180">
        <f t="shared" si="3238"/>
        <v>0</v>
      </c>
      <c r="AO702" s="180">
        <f t="shared" si="3238"/>
        <v>0</v>
      </c>
      <c r="AP702" s="180">
        <f t="shared" si="3238"/>
        <v>0</v>
      </c>
      <c r="AQ702" s="180">
        <f t="shared" si="3238"/>
        <v>0</v>
      </c>
      <c r="AR702" s="180">
        <f t="shared" si="3238"/>
        <v>0</v>
      </c>
      <c r="AS702" s="180">
        <f t="shared" si="3238"/>
        <v>0</v>
      </c>
      <c r="AT702" s="180">
        <f t="shared" si="3238"/>
        <v>0</v>
      </c>
      <c r="AU702" s="180">
        <f t="shared" si="3238"/>
        <v>0</v>
      </c>
      <c r="AV702" s="180">
        <f t="shared" si="3238"/>
        <v>0</v>
      </c>
      <c r="AW702" s="180"/>
      <c r="AX702" s="189">
        <f>SUM(G702:AW702)</f>
        <v>16451.694915254237</v>
      </c>
    </row>
    <row r="703" spans="1:50" hidden="1" outlineLevel="1" x14ac:dyDescent="0.2">
      <c r="A703" s="217" t="str">
        <f ca="1">Language!A$874</f>
        <v>зачтенный НДС</v>
      </c>
      <c r="B703" s="57"/>
      <c r="C703" s="82" t="str">
        <f t="shared" ca="1" si="3237"/>
        <v>тыс. руб.</v>
      </c>
      <c r="D703" s="66">
        <v>1</v>
      </c>
      <c r="E703" s="57" t="s">
        <v>765</v>
      </c>
      <c r="F703" s="57" t="s">
        <v>753</v>
      </c>
      <c r="G703" s="180">
        <f t="shared" ref="G703:AV703" si="3239">G697*G692</f>
        <v>16451.69491525424</v>
      </c>
      <c r="H703" s="180">
        <f t="shared" si="3239"/>
        <v>0</v>
      </c>
      <c r="I703" s="180">
        <f t="shared" si="3239"/>
        <v>0</v>
      </c>
      <c r="J703" s="180">
        <f t="shared" si="3239"/>
        <v>0</v>
      </c>
      <c r="K703" s="180">
        <f t="shared" si="3239"/>
        <v>0</v>
      </c>
      <c r="L703" s="180">
        <f t="shared" si="3239"/>
        <v>0</v>
      </c>
      <c r="M703" s="180">
        <f t="shared" si="3239"/>
        <v>0</v>
      </c>
      <c r="N703" s="180">
        <f t="shared" si="3239"/>
        <v>0</v>
      </c>
      <c r="O703" s="180">
        <f t="shared" si="3239"/>
        <v>0</v>
      </c>
      <c r="P703" s="180">
        <f t="shared" si="3239"/>
        <v>0</v>
      </c>
      <c r="Q703" s="180">
        <f t="shared" si="3239"/>
        <v>0</v>
      </c>
      <c r="R703" s="180">
        <f t="shared" si="3239"/>
        <v>0</v>
      </c>
      <c r="S703" s="180">
        <f t="shared" si="3239"/>
        <v>0</v>
      </c>
      <c r="T703" s="180">
        <f t="shared" si="3239"/>
        <v>0</v>
      </c>
      <c r="U703" s="180">
        <f t="shared" si="3239"/>
        <v>0</v>
      </c>
      <c r="V703" s="180">
        <f t="shared" si="3239"/>
        <v>0</v>
      </c>
      <c r="W703" s="180">
        <f t="shared" si="3239"/>
        <v>0</v>
      </c>
      <c r="X703" s="180">
        <f t="shared" si="3239"/>
        <v>0</v>
      </c>
      <c r="Y703" s="180">
        <f t="shared" si="3239"/>
        <v>0</v>
      </c>
      <c r="Z703" s="180">
        <f t="shared" si="3239"/>
        <v>0</v>
      </c>
      <c r="AA703" s="180">
        <f t="shared" si="3239"/>
        <v>0</v>
      </c>
      <c r="AB703" s="180">
        <f t="shared" si="3239"/>
        <v>0</v>
      </c>
      <c r="AC703" s="180">
        <f t="shared" si="3239"/>
        <v>0</v>
      </c>
      <c r="AD703" s="180">
        <f t="shared" si="3239"/>
        <v>0</v>
      </c>
      <c r="AE703" s="180">
        <f t="shared" si="3239"/>
        <v>0</v>
      </c>
      <c r="AF703" s="180">
        <f t="shared" si="3239"/>
        <v>0</v>
      </c>
      <c r="AG703" s="180">
        <f t="shared" si="3239"/>
        <v>0</v>
      </c>
      <c r="AH703" s="180">
        <f t="shared" si="3239"/>
        <v>0</v>
      </c>
      <c r="AI703" s="180">
        <f t="shared" si="3239"/>
        <v>0</v>
      </c>
      <c r="AJ703" s="180">
        <f t="shared" si="3239"/>
        <v>0</v>
      </c>
      <c r="AK703" s="180">
        <f t="shared" si="3239"/>
        <v>0</v>
      </c>
      <c r="AL703" s="180">
        <f t="shared" si="3239"/>
        <v>0</v>
      </c>
      <c r="AM703" s="180">
        <f t="shared" si="3239"/>
        <v>0</v>
      </c>
      <c r="AN703" s="180">
        <f t="shared" si="3239"/>
        <v>0</v>
      </c>
      <c r="AO703" s="180">
        <f t="shared" si="3239"/>
        <v>0</v>
      </c>
      <c r="AP703" s="180">
        <f t="shared" si="3239"/>
        <v>0</v>
      </c>
      <c r="AQ703" s="180">
        <f t="shared" si="3239"/>
        <v>0</v>
      </c>
      <c r="AR703" s="180">
        <f t="shared" si="3239"/>
        <v>0</v>
      </c>
      <c r="AS703" s="180">
        <f t="shared" si="3239"/>
        <v>0</v>
      </c>
      <c r="AT703" s="180">
        <f t="shared" si="3239"/>
        <v>0</v>
      </c>
      <c r="AU703" s="180">
        <f t="shared" si="3239"/>
        <v>0</v>
      </c>
      <c r="AV703" s="180">
        <f t="shared" si="3239"/>
        <v>0</v>
      </c>
      <c r="AW703" s="180"/>
      <c r="AX703" s="189">
        <f>SUM(G703:AW703)</f>
        <v>16451.69491525424</v>
      </c>
    </row>
    <row r="704" spans="1:50" hidden="1" outlineLevel="1" x14ac:dyDescent="0.2">
      <c r="A704" s="217" t="str">
        <f ca="1">Language!A$875</f>
        <v>амортизация (налоговая)</v>
      </c>
      <c r="B704" s="57"/>
      <c r="C704" s="82" t="str">
        <f t="shared" ca="1" si="3237"/>
        <v>тыс. руб.</v>
      </c>
      <c r="D704" s="66">
        <v>1</v>
      </c>
      <c r="E704" s="57" t="s">
        <v>766</v>
      </c>
      <c r="F704" s="57" t="s">
        <v>753</v>
      </c>
      <c r="G704" s="185">
        <f ca="1">IF(SUM($G693:G693)&gt;0.01,0,$B691*G697+IF($B690=0,0,MIN((SUM($G697:G697)-IF(G$2&gt;$B690*12/Prj_Step,SUM($G697:OFFSET(G697,0,-$B690*12/Prj_Step)),0))*(1-$B691)/$B690/12*Параметры!G$31,IF(G$2=1,G697,F705+SUM($F697:G697)*(1-$B691)-SUM($F697:F697)*(1-$B691)))))</f>
        <v>761.6525423728815</v>
      </c>
      <c r="H704" s="185">
        <f ca="1">IF(SUM($G693:H693)&gt;0.01,0,$B691*H697+IF($B690=0,0,MIN((SUM($G697:H697)-IF(H$2&gt;$B690*12/Prj_Step,SUM($G697:OFFSET(H697,0,-$B690*12/Prj_Step)),0))*(1-$B691)/$B690/12*Параметры!H$31,IF(H$2=1,H697,G705+SUM($F697:H697)*(1-$B691)-SUM($F697:G697)*(1-$B691)))))</f>
        <v>761.6525423728815</v>
      </c>
      <c r="I704" s="185">
        <f ca="1">IF(SUM($G693:I693)&gt;0.01,0,$B691*I697+IF($B690=0,0,MIN((SUM($G697:I697)-IF(I$2&gt;$B690*12/Prj_Step,SUM($G697:OFFSET(I697,0,-$B690*12/Prj_Step)),0))*(1-$B691)/$B690/12*Параметры!I$31,IF(I$2=1,I697,H705+SUM($F697:I697)*(1-$B691)-SUM($F697:H697)*(1-$B691)))))</f>
        <v>761.6525423728815</v>
      </c>
      <c r="J704" s="185">
        <f ca="1">IF(SUM($G693:J693)&gt;0.01,0,$B691*J697+IF($B690=0,0,MIN((SUM($G697:J697)-IF(J$2&gt;$B690*12/Prj_Step,SUM($G697:OFFSET(J697,0,-$B690*12/Prj_Step)),0))*(1-$B691)/$B690/12*Параметры!J$31,IF(J$2=1,J697,I705+SUM($F697:J697)*(1-$B691)-SUM($F697:I697)*(1-$B691)))))</f>
        <v>761.6525423728815</v>
      </c>
      <c r="K704" s="185">
        <f ca="1">IF(SUM($G693:K693)&gt;0.01,0,$B691*K697+IF($B690=0,0,MIN((SUM($G697:K697)-IF(K$2&gt;$B690*12/Prj_Step,SUM($G697:OFFSET(K697,0,-$B690*12/Prj_Step)),0))*(1-$B691)/$B690/12*Параметры!K$31,IF(K$2=1,K697,J705+SUM($F697:K697)*(1-$B691)-SUM($F697:J697)*(1-$B691)))))</f>
        <v>761.6525423728815</v>
      </c>
      <c r="L704" s="185">
        <f ca="1">IF(SUM($G693:L693)&gt;0.01,0,$B691*L697+IF($B690=0,0,MIN((SUM($G697:L697)-IF(L$2&gt;$B690*12/Prj_Step,SUM($G697:OFFSET(L697,0,-$B690*12/Prj_Step)),0))*(1-$B691)/$B690/12*Параметры!L$31,IF(L$2=1,L697,K705+SUM($F697:L697)*(1-$B691)-SUM($F697:K697)*(1-$B691)))))</f>
        <v>761.6525423728815</v>
      </c>
      <c r="M704" s="185">
        <f ca="1">IF(SUM($G693:M693)&gt;0.01,0,$B691*M697+IF($B690=0,0,MIN((SUM($G697:M697)-IF(M$2&gt;$B690*12/Prj_Step,SUM($G697:OFFSET(M697,0,-$B690*12/Prj_Step)),0))*(1-$B691)/$B690/12*Параметры!M$31,IF(M$2=1,M697,L705+SUM($F697:M697)*(1-$B691)-SUM($F697:L697)*(1-$B691)))))</f>
        <v>761.6525423728815</v>
      </c>
      <c r="N704" s="185">
        <f ca="1">IF(SUM($G693:N693)&gt;0.01,0,$B691*N697+IF($B690=0,0,MIN((SUM($G697:N697)-IF(N$2&gt;$B690*12/Prj_Step,SUM($G697:OFFSET(N697,0,-$B690*12/Prj_Step)),0))*(1-$B691)/$B690/12*Параметры!N$31,IF(N$2=1,N697,M705+SUM($F697:N697)*(1-$B691)-SUM($F697:M697)*(1-$B691)))))</f>
        <v>761.6525423728815</v>
      </c>
      <c r="O704" s="185">
        <f ca="1">IF(SUM($G693:O693)&gt;0.01,0,$B691*O697+IF($B690=0,0,MIN((SUM($G697:O697)-IF(O$2&gt;$B690*12/Prj_Step,SUM($G697:OFFSET(O697,0,-$B690*12/Prj_Step)),0))*(1-$B691)/$B690/12*Параметры!O$31,IF(O$2=1,O697,N705+SUM($F697:O697)*(1-$B691)-SUM($F697:N697)*(1-$B691)))))</f>
        <v>761.6525423728815</v>
      </c>
      <c r="P704" s="185">
        <f ca="1">IF(SUM($G693:P693)&gt;0.01,0,$B691*P697+IF($B690=0,0,MIN((SUM($G697:P697)-IF(P$2&gt;$B690*12/Prj_Step,SUM($G697:OFFSET(P697,0,-$B690*12/Prj_Step)),0))*(1-$B691)/$B690/12*Параметры!P$31,IF(P$2=1,P697,O705+SUM($F697:P697)*(1-$B691)-SUM($F697:O697)*(1-$B691)))))</f>
        <v>761.6525423728815</v>
      </c>
      <c r="Q704" s="185">
        <f ca="1">IF(SUM($G693:Q693)&gt;0.01,0,$B691*Q697+IF($B690=0,0,MIN((SUM($G697:Q697)-IF(Q$2&gt;$B690*12/Prj_Step,SUM($G697:OFFSET(Q697,0,-$B690*12/Prj_Step)),0))*(1-$B691)/$B690/12*Параметры!Q$31,IF(Q$2=1,Q697,P705+SUM($F697:Q697)*(1-$B691)-SUM($F697:P697)*(1-$B691)))))</f>
        <v>761.6525423728815</v>
      </c>
      <c r="R704" s="185">
        <f ca="1">IF(SUM($G693:R693)&gt;0.01,0,$B691*R697+IF($B690=0,0,MIN((SUM($G697:R697)-IF(R$2&gt;$B690*12/Prj_Step,SUM($G697:OFFSET(R697,0,-$B690*12/Prj_Step)),0))*(1-$B691)/$B690/12*Параметры!R$31,IF(R$2=1,R697,Q705+SUM($F697:R697)*(1-$B691)-SUM($F697:Q697)*(1-$B691)))))</f>
        <v>761.6525423728815</v>
      </c>
      <c r="S704" s="185">
        <f ca="1">IF(SUM($G693:S693)&gt;0.01,0,$B691*S697+IF($B690=0,0,MIN((SUM($G697:S697)-IF(S$2&gt;$B690*12/Prj_Step,SUM($G697:OFFSET(S697,0,-$B690*12/Prj_Step)),0))*(1-$B691)/$B690/12*Параметры!S$31,IF(S$2=1,S697,R705+SUM($F697:S697)*(1-$B691)-SUM($F697:R697)*(1-$B691)))))</f>
        <v>761.6525423728815</v>
      </c>
      <c r="T704" s="185">
        <f ca="1">IF(SUM($G693:T693)&gt;0.01,0,$B691*T697+IF($B690=0,0,MIN((SUM($G697:T697)-IF(T$2&gt;$B690*12/Prj_Step,SUM($G697:OFFSET(T697,0,-$B690*12/Prj_Step)),0))*(1-$B691)/$B690/12*Параметры!T$31,IF(T$2=1,T697,S705+SUM($F697:T697)*(1-$B691)-SUM($F697:S697)*(1-$B691)))))</f>
        <v>761.6525423728815</v>
      </c>
      <c r="U704" s="185">
        <f ca="1">IF(SUM($G693:U693)&gt;0.01,0,$B691*U697+IF($B690=0,0,MIN((SUM($G697:U697)-IF(U$2&gt;$B690*12/Prj_Step,SUM($G697:OFFSET(U697,0,-$B690*12/Prj_Step)),0))*(1-$B691)/$B690/12*Параметры!U$31,IF(U$2=1,U697,T705+SUM($F697:U697)*(1-$B691)-SUM($F697:T697)*(1-$B691)))))</f>
        <v>761.6525423728815</v>
      </c>
      <c r="V704" s="185">
        <f ca="1">IF(SUM($G693:V693)&gt;0.01,0,$B691*V697+IF($B690=0,0,MIN((SUM($G697:V697)-IF(V$2&gt;$B690*12/Prj_Step,SUM($G697:OFFSET(V697,0,-$B690*12/Prj_Step)),0))*(1-$B691)/$B690/12*Параметры!V$31,IF(V$2=1,V697,U705+SUM($F697:V697)*(1-$B691)-SUM($F697:U697)*(1-$B691)))))</f>
        <v>761.6525423728815</v>
      </c>
      <c r="W704" s="185">
        <f ca="1">IF(SUM($G693:W693)&gt;0.01,0,$B691*W697+IF($B690=0,0,MIN((SUM($G697:W697)-IF(W$2&gt;$B690*12/Prj_Step,SUM($G697:OFFSET(W697,0,-$B690*12/Prj_Step)),0))*(1-$B691)/$B690/12*Параметры!W$31,IF(W$2=1,W697,V705+SUM($F697:W697)*(1-$B691)-SUM($F697:V697)*(1-$B691)))))</f>
        <v>761.6525423728815</v>
      </c>
      <c r="X704" s="185">
        <f ca="1">IF(SUM($G693:X693)&gt;0.01,0,$B691*X697+IF($B690=0,0,MIN((SUM($G697:X697)-IF(X$2&gt;$B690*12/Prj_Step,SUM($G697:OFFSET(X697,0,-$B690*12/Prj_Step)),0))*(1-$B691)/$B690/12*Параметры!X$31,IF(X$2=1,X697,W705+SUM($F697:X697)*(1-$B691)-SUM($F697:W697)*(1-$B691)))))</f>
        <v>761.6525423728815</v>
      </c>
      <c r="Y704" s="185">
        <f ca="1">IF(SUM($G693:Y693)&gt;0.01,0,$B691*Y697+IF($B690=0,0,MIN((SUM($G697:Y697)-IF(Y$2&gt;$B690*12/Prj_Step,SUM($G697:OFFSET(Y697,0,-$B690*12/Prj_Step)),0))*(1-$B691)/$B690/12*Параметры!Y$31,IF(Y$2=1,Y697,X705+SUM($F697:Y697)*(1-$B691)-SUM($F697:X697)*(1-$B691)))))</f>
        <v>761.6525423728815</v>
      </c>
      <c r="Z704" s="185">
        <f ca="1">IF(SUM($G693:Z693)&gt;0.01,0,$B691*Z697+IF($B690=0,0,MIN((SUM($G697:Z697)-IF(Z$2&gt;$B690*12/Prj_Step,SUM($G697:OFFSET(Z697,0,-$B690*12/Prj_Step)),0))*(1-$B691)/$B690/12*Параметры!Z$31,IF(Z$2=1,Z697,Y705+SUM($F697:Z697)*(1-$B691)-SUM($F697:Y697)*(1-$B691)))))</f>
        <v>761.6525423728815</v>
      </c>
      <c r="AA704" s="185">
        <f ca="1">IF(SUM($G693:AA693)&gt;0.01,0,$B691*AA697+IF($B690=0,0,MIN((SUM($G697:AA697)-IF(AA$2&gt;$B690*12/Prj_Step,SUM($G697:OFFSET(AA697,0,-$B690*12/Prj_Step)),0))*(1-$B691)/$B690/12*Параметры!AA$31,IF(AA$2=1,AA697,Z705+SUM($F697:AA697)*(1-$B691)-SUM($F697:Z697)*(1-$B691)))))</f>
        <v>761.6525423728815</v>
      </c>
      <c r="AB704" s="185">
        <f ca="1">IF(SUM($G693:AB693)&gt;0.01,0,$B691*AB697+IF($B690=0,0,MIN((SUM($G697:AB697)-IF(AB$2&gt;$B690*12/Prj_Step,SUM($G697:OFFSET(AB697,0,-$B690*12/Prj_Step)),0))*(1-$B691)/$B690/12*Параметры!AB$31,IF(AB$2=1,AB697,AA705+SUM($F697:AB697)*(1-$B691)-SUM($F697:AA697)*(1-$B691)))))</f>
        <v>761.6525423728815</v>
      </c>
      <c r="AC704" s="185">
        <f ca="1">IF(SUM($G693:AC693)&gt;0.01,0,$B691*AC697+IF($B690=0,0,MIN((SUM($G697:AC697)-IF(AC$2&gt;$B690*12/Prj_Step,SUM($G697:OFFSET(AC697,0,-$B690*12/Prj_Step)),0))*(1-$B691)/$B690/12*Параметры!AC$31,IF(AC$2=1,AC697,AB705+SUM($F697:AC697)*(1-$B691)-SUM($F697:AB697)*(1-$B691)))))</f>
        <v>761.6525423728815</v>
      </c>
      <c r="AD704" s="185">
        <f ca="1">IF(SUM($G693:AD693)&gt;0.01,0,$B691*AD697+IF($B690=0,0,MIN((SUM($G697:AD697)-IF(AD$2&gt;$B690*12/Prj_Step,SUM($G697:OFFSET(AD697,0,-$B690*12/Prj_Step)),0))*(1-$B691)/$B690/12*Параметры!AD$31,IF(AD$2=1,AD697,AC705+SUM($F697:AD697)*(1-$B691)-SUM($F697:AC697)*(1-$B691)))))</f>
        <v>761.6525423728815</v>
      </c>
      <c r="AE704" s="185">
        <f ca="1">IF(SUM($G693:AE693)&gt;0.01,0,$B691*AE697+IF($B690=0,0,MIN((SUM($G697:AE697)-IF(AE$2&gt;$B690*12/Prj_Step,SUM($G697:OFFSET(AE697,0,-$B690*12/Prj_Step)),0))*(1-$B691)/$B690/12*Параметры!AE$31,IF(AE$2=1,AE697,AD705+SUM($F697:AE697)*(1-$B691)-SUM($F697:AD697)*(1-$B691)))))</f>
        <v>761.6525423728815</v>
      </c>
      <c r="AF704" s="185">
        <f ca="1">IF(SUM($G693:AF693)&gt;0.01,0,$B691*AF697+IF($B690=0,0,MIN((SUM($G697:AF697)-IF(AF$2&gt;$B690*12/Prj_Step,SUM($G697:OFFSET(AF697,0,-$B690*12/Prj_Step)),0))*(1-$B691)/$B690/12*Параметры!AF$31,IF(AF$2=1,AF697,AE705+SUM($F697:AF697)*(1-$B691)-SUM($F697:AE697)*(1-$B691)))))</f>
        <v>761.6525423728815</v>
      </c>
      <c r="AG704" s="185">
        <f ca="1">IF(SUM($G693:AG693)&gt;0.01,0,$B691*AG697+IF($B690=0,0,MIN((SUM($G697:AG697)-IF(AG$2&gt;$B690*12/Prj_Step,SUM($G697:OFFSET(AG697,0,-$B690*12/Prj_Step)),0))*(1-$B691)/$B690/12*Параметры!AG$31,IF(AG$2=1,AG697,AF705+SUM($F697:AG697)*(1-$B691)-SUM($F697:AF697)*(1-$B691)))))</f>
        <v>761.6525423728815</v>
      </c>
      <c r="AH704" s="185">
        <f ca="1">IF(SUM($G693:AH693)&gt;0.01,0,$B691*AH697+IF($B690=0,0,MIN((SUM($G697:AH697)-IF(AH$2&gt;$B690*12/Prj_Step,SUM($G697:OFFSET(AH697,0,-$B690*12/Prj_Step)),0))*(1-$B691)/$B690/12*Параметры!AH$31,IF(AH$2=1,AH697,AG705+SUM($F697:AH697)*(1-$B691)-SUM($F697:AG697)*(1-$B691)))))</f>
        <v>761.6525423728815</v>
      </c>
      <c r="AI704" s="185">
        <f ca="1">IF(SUM($G693:AI693)&gt;0.01,0,$B691*AI697+IF($B690=0,0,MIN((SUM($G697:AI697)-IF(AI$2&gt;$B690*12/Prj_Step,SUM($G697:OFFSET(AI697,0,-$B690*12/Prj_Step)),0))*(1-$B691)/$B690/12*Параметры!AI$31,IF(AI$2=1,AI697,AH705+SUM($F697:AI697)*(1-$B691)-SUM($F697:AH697)*(1-$B691)))))</f>
        <v>761.6525423728815</v>
      </c>
      <c r="AJ704" s="185">
        <f ca="1">IF(SUM($G693:AJ693)&gt;0.01,0,$B691*AJ697+IF($B690=0,0,MIN((SUM($G697:AJ697)-IF(AJ$2&gt;$B690*12/Prj_Step,SUM($G697:OFFSET(AJ697,0,-$B690*12/Prj_Step)),0))*(1-$B691)/$B690/12*Параметры!AJ$31,IF(AJ$2=1,AJ697,AI705+SUM($F697:AJ697)*(1-$B691)-SUM($F697:AI697)*(1-$B691)))))</f>
        <v>761.6525423728815</v>
      </c>
      <c r="AK704" s="185">
        <f ca="1">IF(SUM($G693:AK693)&gt;0.01,0,$B691*AK697+IF($B690=0,0,MIN((SUM($G697:AK697)-IF(AK$2&gt;$B690*12/Prj_Step,SUM($G697:OFFSET(AK697,0,-$B690*12/Prj_Step)),0))*(1-$B691)/$B690/12*Параметры!AK$31,IF(AK$2=1,AK697,AJ705+SUM($F697:AK697)*(1-$B691)-SUM($F697:AJ697)*(1-$B691)))))</f>
        <v>761.6525423728815</v>
      </c>
      <c r="AL704" s="185">
        <f ca="1">IF(SUM($G693:AL693)&gt;0.01,0,$B691*AL697+IF($B690=0,0,MIN((SUM($G697:AL697)-IF(AL$2&gt;$B690*12/Prj_Step,SUM($G697:OFFSET(AL697,0,-$B690*12/Prj_Step)),0))*(1-$B691)/$B690/12*Параметры!AL$31,IF(AL$2=1,AL697,AK705+SUM($F697:AL697)*(1-$B691)-SUM($F697:AK697)*(1-$B691)))))</f>
        <v>761.6525423728815</v>
      </c>
      <c r="AM704" s="185">
        <f ca="1">IF(SUM($G693:AM693)&gt;0.01,0,$B691*AM697+IF($B690=0,0,MIN((SUM($G697:AM697)-IF(AM$2&gt;$B690*12/Prj_Step,SUM($G697:OFFSET(AM697,0,-$B690*12/Prj_Step)),0))*(1-$B691)/$B690/12*Параметры!AM$31,IF(AM$2=1,AM697,AL705+SUM($F697:AM697)*(1-$B691)-SUM($F697:AL697)*(1-$B691)))))</f>
        <v>761.6525423728815</v>
      </c>
      <c r="AN704" s="185">
        <f ca="1">IF(SUM($G693:AN693)&gt;0.01,0,$B691*AN697+IF($B690=0,0,MIN((SUM($G697:AN697)-IF(AN$2&gt;$B690*12/Prj_Step,SUM($G697:OFFSET(AN697,0,-$B690*12/Prj_Step)),0))*(1-$B691)/$B690/12*Параметры!AN$31,IF(AN$2=1,AN697,AM705+SUM($F697:AN697)*(1-$B691)-SUM($F697:AM697)*(1-$B691)))))</f>
        <v>761.6525423728815</v>
      </c>
      <c r="AO704" s="185">
        <f ca="1">IF(SUM($G693:AO693)&gt;0.01,0,$B691*AO697+IF($B690=0,0,MIN((SUM($G697:AO697)-IF(AO$2&gt;$B690*12/Prj_Step,SUM($G697:OFFSET(AO697,0,-$B690*12/Prj_Step)),0))*(1-$B691)/$B690/12*Параметры!AO$31,IF(AO$2=1,AO697,AN705+SUM($F697:AO697)*(1-$B691)-SUM($F697:AN697)*(1-$B691)))))</f>
        <v>761.6525423728815</v>
      </c>
      <c r="AP704" s="185">
        <f ca="1">IF(SUM($G693:AP693)&gt;0.01,0,$B691*AP697+IF($B690=0,0,MIN((SUM($G697:AP697)-IF(AP$2&gt;$B690*12/Prj_Step,SUM($G697:OFFSET(AP697,0,-$B690*12/Prj_Step)),0))*(1-$B691)/$B690/12*Параметры!AP$31,IF(AP$2=1,AP697,AO705+SUM($F697:AP697)*(1-$B691)-SUM($F697:AO697)*(1-$B691)))))</f>
        <v>761.6525423728815</v>
      </c>
      <c r="AQ704" s="185">
        <f ca="1">IF(SUM($G693:AQ693)&gt;0.01,0,$B691*AQ697+IF($B690=0,0,MIN((SUM($G697:AQ697)-IF(AQ$2&gt;$B690*12/Prj_Step,SUM($G697:OFFSET(AQ697,0,-$B690*12/Prj_Step)),0))*(1-$B691)/$B690/12*Параметры!AQ$31,IF(AQ$2=1,AQ697,AP705+SUM($F697:AQ697)*(1-$B691)-SUM($F697:AP697)*(1-$B691)))))</f>
        <v>761.6525423728815</v>
      </c>
      <c r="AR704" s="185">
        <f ca="1">IF(SUM($G693:AR693)&gt;0.01,0,$B691*AR697+IF($B690=0,0,MIN((SUM($G697:AR697)-IF(AR$2&gt;$B690*12/Prj_Step,SUM($G697:OFFSET(AR697,0,-$B690*12/Prj_Step)),0))*(1-$B691)/$B690/12*Параметры!AR$31,IF(AR$2=1,AR697,AQ705+SUM($F697:AR697)*(1-$B691)-SUM($F697:AQ697)*(1-$B691)))))</f>
        <v>761.6525423728815</v>
      </c>
      <c r="AS704" s="185">
        <f ca="1">IF(SUM($G693:AS693)&gt;0.01,0,$B691*AS697+IF($B690=0,0,MIN((SUM($G697:AS697)-IF(AS$2&gt;$B690*12/Prj_Step,SUM($G697:OFFSET(AS697,0,-$B690*12/Prj_Step)),0))*(1-$B691)/$B690/12*Параметры!AS$31,IF(AS$2=1,AS697,AR705+SUM($F697:AS697)*(1-$B691)-SUM($F697:AR697)*(1-$B691)))))</f>
        <v>761.6525423728815</v>
      </c>
      <c r="AT704" s="185">
        <f ca="1">IF(SUM($G693:AT693)&gt;0.01,0,$B691*AT697+IF($B690=0,0,MIN((SUM($G697:AT697)-IF(AT$2&gt;$B690*12/Prj_Step,SUM($G697:OFFSET(AT697,0,-$B690*12/Prj_Step)),0))*(1-$B691)/$B690/12*Параметры!AT$31,IF(AT$2=1,AT697,AS705+SUM($F697:AT697)*(1-$B691)-SUM($F697:AS697)*(1-$B691)))))</f>
        <v>761.6525423728815</v>
      </c>
      <c r="AU704" s="185">
        <f ca="1">IF(SUM($G693:AU693)&gt;0.01,0,$B691*AU697+IF($B690=0,0,MIN((SUM($G697:AU697)-IF(AU$2&gt;$B690*12/Prj_Step,SUM($G697:OFFSET(AU697,0,-$B690*12/Prj_Step)),0))*(1-$B691)/$B690/12*Параметры!AU$31,IF(AU$2=1,AU697,AT705+SUM($F697:AU697)*(1-$B691)-SUM($F697:AT697)*(1-$B691)))))</f>
        <v>761.6525423728815</v>
      </c>
      <c r="AV704" s="185">
        <f ca="1">IF(SUM($G693:AV693)&gt;0.01,0,$B691*AV697+IF($B690=0,0,MIN((SUM($G697:AV697)-IF(AV$2&gt;$B690*12/Prj_Step,SUM($G697:OFFSET(AV697,0,-$B690*12/Prj_Step)),0))*(1-$B691)/$B690/12*Параметры!AV$31,IF(AV$2=1,AV697,AU705+SUM($F697:AV697)*(1-$B691)-SUM($F697:AU697)*(1-$B691)))))</f>
        <v>761.6525423728815</v>
      </c>
      <c r="AW704" s="180"/>
      <c r="AX704" s="189">
        <f ca="1">SUM(G704:AW704)</f>
        <v>31989.406779661029</v>
      </c>
    </row>
    <row r="705" spans="1:50" hidden="1" outlineLevel="1" x14ac:dyDescent="0.2">
      <c r="A705" s="217" t="str">
        <f ca="1">Language!A$876</f>
        <v>балансовая стоимость (налоговая)</v>
      </c>
      <c r="B705" s="57"/>
      <c r="C705" s="82" t="str">
        <f t="shared" ca="1" si="3237"/>
        <v>тыс. руб.</v>
      </c>
      <c r="D705" s="66">
        <v>1</v>
      </c>
      <c r="E705" s="57" t="s">
        <v>767</v>
      </c>
      <c r="F705" s="57" t="s">
        <v>754</v>
      </c>
      <c r="G705" s="185">
        <f ca="1">IF(SUM($G693:G693)&gt;0.01,0,SUM($G697:G697)-SUM($G704:G704))</f>
        <v>90636.652542372904</v>
      </c>
      <c r="H705" s="185">
        <f ca="1">IF(SUM($G693:H693)&gt;0.01,0,SUM($G697:H697)-SUM($G704:H704))</f>
        <v>89875.000000000015</v>
      </c>
      <c r="I705" s="185">
        <f ca="1">IF(SUM($G693:I693)&gt;0.01,0,SUM($G697:I697)-SUM($G704:I704))</f>
        <v>89113.34745762714</v>
      </c>
      <c r="J705" s="185">
        <f ca="1">IF(SUM($G693:J693)&gt;0.01,0,SUM($G697:J697)-SUM($G704:J704))</f>
        <v>88351.694915254251</v>
      </c>
      <c r="K705" s="185">
        <f ca="1">IF(SUM($G693:K693)&gt;0.01,0,SUM($G697:K697)-SUM($G704:K704))</f>
        <v>87590.042372881377</v>
      </c>
      <c r="L705" s="185">
        <f ca="1">IF(SUM($G693:L693)&gt;0.01,0,SUM($G697:L697)-SUM($G704:L704))</f>
        <v>86828.389830508488</v>
      </c>
      <c r="M705" s="185">
        <f ca="1">IF(SUM($G693:M693)&gt;0.01,0,SUM($G697:M697)-SUM($G704:M704))</f>
        <v>86066.737288135613</v>
      </c>
      <c r="N705" s="185">
        <f ca="1">IF(SUM($G693:N693)&gt;0.01,0,SUM($G697:N697)-SUM($G704:N704))</f>
        <v>85305.084745762724</v>
      </c>
      <c r="O705" s="185">
        <f ca="1">IF(SUM($G693:O693)&gt;0.01,0,SUM($G697:O697)-SUM($G704:O704))</f>
        <v>84543.43220338985</v>
      </c>
      <c r="P705" s="185">
        <f ca="1">IF(SUM($G693:P693)&gt;0.01,0,SUM($G697:P697)-SUM($G704:P704))</f>
        <v>83781.779661016961</v>
      </c>
      <c r="Q705" s="185">
        <f ca="1">IF(SUM($G693:Q693)&gt;0.01,0,SUM($G697:Q697)-SUM($G704:Q704))</f>
        <v>83020.127118644086</v>
      </c>
      <c r="R705" s="185">
        <f ca="1">IF(SUM($G693:R693)&gt;0.01,0,SUM($G697:R697)-SUM($G704:R704))</f>
        <v>82258.474576271197</v>
      </c>
      <c r="S705" s="185">
        <f ca="1">IF(SUM($G693:S693)&gt;0.01,0,SUM($G697:S697)-SUM($G704:S704))</f>
        <v>81496.822033898323</v>
      </c>
      <c r="T705" s="185">
        <f ca="1">IF(SUM($G693:T693)&gt;0.01,0,SUM($G697:T697)-SUM($G704:T704))</f>
        <v>80735.169491525434</v>
      </c>
      <c r="U705" s="185">
        <f ca="1">IF(SUM($G693:U693)&gt;0.01,0,SUM($G697:U697)-SUM($G704:U704))</f>
        <v>79973.516949152559</v>
      </c>
      <c r="V705" s="185">
        <f ca="1">IF(SUM($G693:V693)&gt;0.01,0,SUM($G697:V697)-SUM($G704:V704))</f>
        <v>79211.86440677967</v>
      </c>
      <c r="W705" s="185">
        <f ca="1">IF(SUM($G693:W693)&gt;0.01,0,SUM($G697:W697)-SUM($G704:W704))</f>
        <v>78450.211864406796</v>
      </c>
      <c r="X705" s="185">
        <f ca="1">IF(SUM($G693:X693)&gt;0.01,0,SUM($G697:X697)-SUM($G704:X704))</f>
        <v>77688.559322033907</v>
      </c>
      <c r="Y705" s="185">
        <f ca="1">IF(SUM($G693:Y693)&gt;0.01,0,SUM($G697:Y697)-SUM($G704:Y704))</f>
        <v>76926.906779661032</v>
      </c>
      <c r="Z705" s="185">
        <f ca="1">IF(SUM($G693:Z693)&gt;0.01,0,SUM($G697:Z697)-SUM($G704:Z704))</f>
        <v>76165.254237288143</v>
      </c>
      <c r="AA705" s="185">
        <f ca="1">IF(SUM($G693:AA693)&gt;0.01,0,SUM($G697:AA697)-SUM($G704:AA704))</f>
        <v>75403.601694915269</v>
      </c>
      <c r="AB705" s="185">
        <f ca="1">IF(SUM($G693:AB693)&gt;0.01,0,SUM($G697:AB697)-SUM($G704:AB704))</f>
        <v>74641.94915254238</v>
      </c>
      <c r="AC705" s="185">
        <f ca="1">IF(SUM($G693:AC693)&gt;0.01,0,SUM($G697:AC697)-SUM($G704:AC704))</f>
        <v>73880.296610169506</v>
      </c>
      <c r="AD705" s="185">
        <f ca="1">IF(SUM($G693:AD693)&gt;0.01,0,SUM($G697:AD697)-SUM($G704:AD704))</f>
        <v>73118.644067796617</v>
      </c>
      <c r="AE705" s="185">
        <f ca="1">IF(SUM($G693:AE693)&gt;0.01,0,SUM($G697:AE697)-SUM($G704:AE704))</f>
        <v>72356.991525423742</v>
      </c>
      <c r="AF705" s="185">
        <f ca="1">IF(SUM($G693:AF693)&gt;0.01,0,SUM($G697:AF697)-SUM($G704:AF704))</f>
        <v>71595.338983050853</v>
      </c>
      <c r="AG705" s="185">
        <f ca="1">IF(SUM($G693:AG693)&gt;0.01,0,SUM($G697:AG697)-SUM($G704:AG704))</f>
        <v>70833.686440677979</v>
      </c>
      <c r="AH705" s="185">
        <f ca="1">IF(SUM($G693:AH693)&gt;0.01,0,SUM($G697:AH697)-SUM($G704:AH704))</f>
        <v>70072.03389830509</v>
      </c>
      <c r="AI705" s="185">
        <f ca="1">IF(SUM($G693:AI693)&gt;0.01,0,SUM($G697:AI697)-SUM($G704:AI704))</f>
        <v>69310.381355932215</v>
      </c>
      <c r="AJ705" s="185">
        <f ca="1">IF(SUM($G693:AJ693)&gt;0.01,0,SUM($G697:AJ697)-SUM($G704:AJ704))</f>
        <v>68548.728813559326</v>
      </c>
      <c r="AK705" s="185">
        <f ca="1">IF(SUM($G693:AK693)&gt;0.01,0,SUM($G697:AK697)-SUM($G704:AK704))</f>
        <v>67787.076271186452</v>
      </c>
      <c r="AL705" s="185">
        <f ca="1">IF(SUM($G693:AL693)&gt;0.01,0,SUM($G697:AL697)-SUM($G704:AL704))</f>
        <v>67025.423728813563</v>
      </c>
      <c r="AM705" s="185">
        <f ca="1">IF(SUM($G693:AM693)&gt;0.01,0,SUM($G697:AM697)-SUM($G704:AM704))</f>
        <v>66263.771186440688</v>
      </c>
      <c r="AN705" s="185">
        <f ca="1">IF(SUM($G693:AN693)&gt;0.01,0,SUM($G697:AN697)-SUM($G704:AN704))</f>
        <v>65502.118644067799</v>
      </c>
      <c r="AO705" s="185">
        <f ca="1">IF(SUM($G693:AO693)&gt;0.01,0,SUM($G697:AO697)-SUM($G704:AO704))</f>
        <v>64740.466101694925</v>
      </c>
      <c r="AP705" s="185">
        <f ca="1">IF(SUM($G693:AP693)&gt;0.01,0,SUM($G697:AP697)-SUM($G704:AP704))</f>
        <v>63978.813559322036</v>
      </c>
      <c r="AQ705" s="185">
        <f ca="1">IF(SUM($G693:AQ693)&gt;0.01,0,SUM($G697:AQ697)-SUM($G704:AQ704))</f>
        <v>63217.161016949161</v>
      </c>
      <c r="AR705" s="185">
        <f ca="1">IF(SUM($G693:AR693)&gt;0.01,0,SUM($G697:AR697)-SUM($G704:AR704))</f>
        <v>62455.508474576272</v>
      </c>
      <c r="AS705" s="185">
        <f ca="1">IF(SUM($G693:AS693)&gt;0.01,0,SUM($G697:AS697)-SUM($G704:AS704))</f>
        <v>61693.855932203398</v>
      </c>
      <c r="AT705" s="185">
        <f ca="1">IF(SUM($G693:AT693)&gt;0.01,0,SUM($G697:AT697)-SUM($G704:AT704))</f>
        <v>60932.203389830509</v>
      </c>
      <c r="AU705" s="185">
        <f ca="1">IF(SUM($G693:AU693)&gt;0.01,0,SUM($G697:AU697)-SUM($G704:AU704))</f>
        <v>60170.550847457635</v>
      </c>
      <c r="AV705" s="185">
        <f ca="1">IF(SUM($G693:AV693)&gt;0.01,0,SUM($G697:AV697)-SUM($G704:AV704))</f>
        <v>59408.898305084746</v>
      </c>
      <c r="AW705" s="180"/>
      <c r="AX705" s="189"/>
    </row>
    <row r="706" spans="1:50" hidden="1" outlineLevel="1" x14ac:dyDescent="0.2">
      <c r="A706" s="217" t="str">
        <f ca="1">Language!A$877</f>
        <v>прибыль/убыток от продажи актива (бухгалтерская)</v>
      </c>
      <c r="B706" s="219"/>
      <c r="C706" s="82" t="str">
        <f t="shared" ca="1" si="3237"/>
        <v>тыс. руб.</v>
      </c>
      <c r="D706" s="66">
        <v>1</v>
      </c>
      <c r="E706" s="57" t="s">
        <v>768</v>
      </c>
      <c r="F706" s="57" t="s">
        <v>753</v>
      </c>
      <c r="G706" s="185">
        <f t="shared" ref="G706:AV706" si="3240">IF(G693=0,0,G693-IF(G$2=1,G694,F698+F701))</f>
        <v>0</v>
      </c>
      <c r="H706" s="185">
        <f t="shared" si="3240"/>
        <v>0</v>
      </c>
      <c r="I706" s="185">
        <f t="shared" si="3240"/>
        <v>0</v>
      </c>
      <c r="J706" s="185">
        <f t="shared" si="3240"/>
        <v>0</v>
      </c>
      <c r="K706" s="185">
        <f t="shared" si="3240"/>
        <v>0</v>
      </c>
      <c r="L706" s="185">
        <f t="shared" si="3240"/>
        <v>0</v>
      </c>
      <c r="M706" s="185">
        <f t="shared" si="3240"/>
        <v>0</v>
      </c>
      <c r="N706" s="185">
        <f t="shared" si="3240"/>
        <v>0</v>
      </c>
      <c r="O706" s="185">
        <f t="shared" si="3240"/>
        <v>0</v>
      </c>
      <c r="P706" s="185">
        <f t="shared" si="3240"/>
        <v>0</v>
      </c>
      <c r="Q706" s="185">
        <f t="shared" si="3240"/>
        <v>0</v>
      </c>
      <c r="R706" s="185">
        <f t="shared" si="3240"/>
        <v>0</v>
      </c>
      <c r="S706" s="185">
        <f t="shared" si="3240"/>
        <v>0</v>
      </c>
      <c r="T706" s="185">
        <f t="shared" si="3240"/>
        <v>0</v>
      </c>
      <c r="U706" s="185">
        <f t="shared" si="3240"/>
        <v>0</v>
      </c>
      <c r="V706" s="185">
        <f t="shared" si="3240"/>
        <v>0</v>
      </c>
      <c r="W706" s="185">
        <f t="shared" si="3240"/>
        <v>0</v>
      </c>
      <c r="X706" s="185">
        <f t="shared" si="3240"/>
        <v>0</v>
      </c>
      <c r="Y706" s="185">
        <f t="shared" si="3240"/>
        <v>0</v>
      </c>
      <c r="Z706" s="185">
        <f t="shared" si="3240"/>
        <v>0</v>
      </c>
      <c r="AA706" s="185">
        <f t="shared" si="3240"/>
        <v>0</v>
      </c>
      <c r="AB706" s="185">
        <f t="shared" si="3240"/>
        <v>0</v>
      </c>
      <c r="AC706" s="185">
        <f t="shared" si="3240"/>
        <v>0</v>
      </c>
      <c r="AD706" s="185">
        <f t="shared" si="3240"/>
        <v>0</v>
      </c>
      <c r="AE706" s="185">
        <f t="shared" si="3240"/>
        <v>0</v>
      </c>
      <c r="AF706" s="185">
        <f t="shared" si="3240"/>
        <v>0</v>
      </c>
      <c r="AG706" s="185">
        <f t="shared" si="3240"/>
        <v>0</v>
      </c>
      <c r="AH706" s="185">
        <f t="shared" si="3240"/>
        <v>0</v>
      </c>
      <c r="AI706" s="185">
        <f t="shared" si="3240"/>
        <v>0</v>
      </c>
      <c r="AJ706" s="185">
        <f t="shared" si="3240"/>
        <v>0</v>
      </c>
      <c r="AK706" s="185">
        <f t="shared" si="3240"/>
        <v>0</v>
      </c>
      <c r="AL706" s="185">
        <f t="shared" si="3240"/>
        <v>0</v>
      </c>
      <c r="AM706" s="185">
        <f t="shared" si="3240"/>
        <v>0</v>
      </c>
      <c r="AN706" s="185">
        <f t="shared" si="3240"/>
        <v>0</v>
      </c>
      <c r="AO706" s="185">
        <f t="shared" si="3240"/>
        <v>0</v>
      </c>
      <c r="AP706" s="185">
        <f t="shared" si="3240"/>
        <v>0</v>
      </c>
      <c r="AQ706" s="185">
        <f t="shared" si="3240"/>
        <v>0</v>
      </c>
      <c r="AR706" s="185">
        <f t="shared" si="3240"/>
        <v>0</v>
      </c>
      <c r="AS706" s="185">
        <f t="shared" si="3240"/>
        <v>0</v>
      </c>
      <c r="AT706" s="185">
        <f t="shared" si="3240"/>
        <v>0</v>
      </c>
      <c r="AU706" s="185">
        <f t="shared" si="3240"/>
        <v>0</v>
      </c>
      <c r="AV706" s="185">
        <f t="shared" si="3240"/>
        <v>0</v>
      </c>
      <c r="AW706" s="180"/>
      <c r="AX706" s="189">
        <f>SUM(G706:AW706)</f>
        <v>0</v>
      </c>
    </row>
    <row r="707" spans="1:50" hidden="1" outlineLevel="1" x14ac:dyDescent="0.2">
      <c r="A707" s="217" t="str">
        <f ca="1">Language!A$878</f>
        <v>прибыль/убыток от продажи актива (налоговая)</v>
      </c>
      <c r="B707" s="219"/>
      <c r="C707" s="82" t="str">
        <f t="shared" ca="1" si="3237"/>
        <v>тыс. руб.</v>
      </c>
      <c r="D707" s="66">
        <v>1</v>
      </c>
      <c r="E707" s="57" t="s">
        <v>769</v>
      </c>
      <c r="F707" s="57" t="s">
        <v>753</v>
      </c>
      <c r="G707" s="185">
        <f t="shared" ref="G707:AV707" si="3241">IF(G693=0,0,G693-IF(G$2=1,G694,F698+F705))</f>
        <v>0</v>
      </c>
      <c r="H707" s="185">
        <f t="shared" si="3241"/>
        <v>0</v>
      </c>
      <c r="I707" s="185">
        <f t="shared" si="3241"/>
        <v>0</v>
      </c>
      <c r="J707" s="185">
        <f t="shared" si="3241"/>
        <v>0</v>
      </c>
      <c r="K707" s="185">
        <f t="shared" si="3241"/>
        <v>0</v>
      </c>
      <c r="L707" s="185">
        <f t="shared" si="3241"/>
        <v>0</v>
      </c>
      <c r="M707" s="185">
        <f t="shared" si="3241"/>
        <v>0</v>
      </c>
      <c r="N707" s="185">
        <f t="shared" si="3241"/>
        <v>0</v>
      </c>
      <c r="O707" s="185">
        <f t="shared" si="3241"/>
        <v>0</v>
      </c>
      <c r="P707" s="185">
        <f t="shared" si="3241"/>
        <v>0</v>
      </c>
      <c r="Q707" s="185">
        <f t="shared" si="3241"/>
        <v>0</v>
      </c>
      <c r="R707" s="185">
        <f t="shared" si="3241"/>
        <v>0</v>
      </c>
      <c r="S707" s="185">
        <f t="shared" si="3241"/>
        <v>0</v>
      </c>
      <c r="T707" s="185">
        <f t="shared" si="3241"/>
        <v>0</v>
      </c>
      <c r="U707" s="185">
        <f t="shared" si="3241"/>
        <v>0</v>
      </c>
      <c r="V707" s="185">
        <f t="shared" si="3241"/>
        <v>0</v>
      </c>
      <c r="W707" s="185">
        <f t="shared" si="3241"/>
        <v>0</v>
      </c>
      <c r="X707" s="185">
        <f t="shared" si="3241"/>
        <v>0</v>
      </c>
      <c r="Y707" s="185">
        <f t="shared" si="3241"/>
        <v>0</v>
      </c>
      <c r="Z707" s="185">
        <f t="shared" si="3241"/>
        <v>0</v>
      </c>
      <c r="AA707" s="185">
        <f t="shared" si="3241"/>
        <v>0</v>
      </c>
      <c r="AB707" s="185">
        <f t="shared" si="3241"/>
        <v>0</v>
      </c>
      <c r="AC707" s="185">
        <f t="shared" si="3241"/>
        <v>0</v>
      </c>
      <c r="AD707" s="185">
        <f t="shared" si="3241"/>
        <v>0</v>
      </c>
      <c r="AE707" s="185">
        <f t="shared" si="3241"/>
        <v>0</v>
      </c>
      <c r="AF707" s="185">
        <f t="shared" si="3241"/>
        <v>0</v>
      </c>
      <c r="AG707" s="185">
        <f t="shared" si="3241"/>
        <v>0</v>
      </c>
      <c r="AH707" s="185">
        <f t="shared" si="3241"/>
        <v>0</v>
      </c>
      <c r="AI707" s="185">
        <f t="shared" si="3241"/>
        <v>0</v>
      </c>
      <c r="AJ707" s="185">
        <f t="shared" si="3241"/>
        <v>0</v>
      </c>
      <c r="AK707" s="185">
        <f t="shared" si="3241"/>
        <v>0</v>
      </c>
      <c r="AL707" s="185">
        <f t="shared" si="3241"/>
        <v>0</v>
      </c>
      <c r="AM707" s="185">
        <f t="shared" si="3241"/>
        <v>0</v>
      </c>
      <c r="AN707" s="185">
        <f t="shared" si="3241"/>
        <v>0</v>
      </c>
      <c r="AO707" s="185">
        <f t="shared" si="3241"/>
        <v>0</v>
      </c>
      <c r="AP707" s="185">
        <f t="shared" si="3241"/>
        <v>0</v>
      </c>
      <c r="AQ707" s="185">
        <f t="shared" si="3241"/>
        <v>0</v>
      </c>
      <c r="AR707" s="185">
        <f t="shared" si="3241"/>
        <v>0</v>
      </c>
      <c r="AS707" s="185">
        <f t="shared" si="3241"/>
        <v>0</v>
      </c>
      <c r="AT707" s="185">
        <f t="shared" si="3241"/>
        <v>0</v>
      </c>
      <c r="AU707" s="185">
        <f t="shared" si="3241"/>
        <v>0</v>
      </c>
      <c r="AV707" s="185">
        <f t="shared" si="3241"/>
        <v>0</v>
      </c>
      <c r="AW707" s="180"/>
      <c r="AX707" s="189">
        <f>SUM(G707:AW707)</f>
        <v>0</v>
      </c>
    </row>
    <row r="708" spans="1:50" hidden="1" outlineLevel="1" x14ac:dyDescent="0.2">
      <c r="A708" s="217" t="str">
        <f ca="1">Language!A$879</f>
        <v>НДС к выручке от продажи актива</v>
      </c>
      <c r="B708" s="219"/>
      <c r="C708" s="82" t="str">
        <f t="shared" ca="1" si="3237"/>
        <v>тыс. руб.</v>
      </c>
      <c r="D708" s="66">
        <v>1</v>
      </c>
      <c r="E708" s="57" t="s">
        <v>770</v>
      </c>
      <c r="F708" s="57" t="s">
        <v>753</v>
      </c>
      <c r="G708" s="185">
        <f t="shared" ref="G708:AV708" si="3242">G693*G692</f>
        <v>0</v>
      </c>
      <c r="H708" s="185">
        <f t="shared" si="3242"/>
        <v>0</v>
      </c>
      <c r="I708" s="185">
        <f t="shared" si="3242"/>
        <v>0</v>
      </c>
      <c r="J708" s="185">
        <f t="shared" si="3242"/>
        <v>0</v>
      </c>
      <c r="K708" s="185">
        <f t="shared" si="3242"/>
        <v>0</v>
      </c>
      <c r="L708" s="185">
        <f t="shared" si="3242"/>
        <v>0</v>
      </c>
      <c r="M708" s="185">
        <f t="shared" si="3242"/>
        <v>0</v>
      </c>
      <c r="N708" s="185">
        <f t="shared" si="3242"/>
        <v>0</v>
      </c>
      <c r="O708" s="185">
        <f t="shared" si="3242"/>
        <v>0</v>
      </c>
      <c r="P708" s="185">
        <f t="shared" si="3242"/>
        <v>0</v>
      </c>
      <c r="Q708" s="185">
        <f t="shared" si="3242"/>
        <v>0</v>
      </c>
      <c r="R708" s="185">
        <f t="shared" si="3242"/>
        <v>0</v>
      </c>
      <c r="S708" s="185">
        <f t="shared" si="3242"/>
        <v>0</v>
      </c>
      <c r="T708" s="185">
        <f t="shared" si="3242"/>
        <v>0</v>
      </c>
      <c r="U708" s="185">
        <f t="shared" si="3242"/>
        <v>0</v>
      </c>
      <c r="V708" s="185">
        <f t="shared" si="3242"/>
        <v>0</v>
      </c>
      <c r="W708" s="185">
        <f t="shared" si="3242"/>
        <v>0</v>
      </c>
      <c r="X708" s="185">
        <f t="shared" si="3242"/>
        <v>0</v>
      </c>
      <c r="Y708" s="185">
        <f t="shared" si="3242"/>
        <v>0</v>
      </c>
      <c r="Z708" s="185">
        <f t="shared" si="3242"/>
        <v>0</v>
      </c>
      <c r="AA708" s="185">
        <f t="shared" si="3242"/>
        <v>0</v>
      </c>
      <c r="AB708" s="185">
        <f t="shared" si="3242"/>
        <v>0</v>
      </c>
      <c r="AC708" s="185">
        <f t="shared" si="3242"/>
        <v>0</v>
      </c>
      <c r="AD708" s="185">
        <f t="shared" si="3242"/>
        <v>0</v>
      </c>
      <c r="AE708" s="185">
        <f t="shared" si="3242"/>
        <v>0</v>
      </c>
      <c r="AF708" s="185">
        <f t="shared" si="3242"/>
        <v>0</v>
      </c>
      <c r="AG708" s="185">
        <f t="shared" si="3242"/>
        <v>0</v>
      </c>
      <c r="AH708" s="185">
        <f t="shared" si="3242"/>
        <v>0</v>
      </c>
      <c r="AI708" s="185">
        <f t="shared" si="3242"/>
        <v>0</v>
      </c>
      <c r="AJ708" s="185">
        <f t="shared" si="3242"/>
        <v>0</v>
      </c>
      <c r="AK708" s="185">
        <f t="shared" si="3242"/>
        <v>0</v>
      </c>
      <c r="AL708" s="185">
        <f t="shared" si="3242"/>
        <v>0</v>
      </c>
      <c r="AM708" s="185">
        <f t="shared" si="3242"/>
        <v>0</v>
      </c>
      <c r="AN708" s="185">
        <f t="shared" si="3242"/>
        <v>0</v>
      </c>
      <c r="AO708" s="185">
        <f t="shared" si="3242"/>
        <v>0</v>
      </c>
      <c r="AP708" s="185">
        <f t="shared" si="3242"/>
        <v>0</v>
      </c>
      <c r="AQ708" s="185">
        <f t="shared" si="3242"/>
        <v>0</v>
      </c>
      <c r="AR708" s="185">
        <f t="shared" si="3242"/>
        <v>0</v>
      </c>
      <c r="AS708" s="185">
        <f t="shared" si="3242"/>
        <v>0</v>
      </c>
      <c r="AT708" s="185">
        <f t="shared" si="3242"/>
        <v>0</v>
      </c>
      <c r="AU708" s="185">
        <f t="shared" si="3242"/>
        <v>0</v>
      </c>
      <c r="AV708" s="185">
        <f t="shared" si="3242"/>
        <v>0</v>
      </c>
      <c r="AW708" s="180"/>
      <c r="AX708" s="189">
        <f>SUM(G708:AW708)</f>
        <v>0</v>
      </c>
    </row>
    <row r="709" spans="1:50" hidden="1" outlineLevel="1" x14ac:dyDescent="0.2">
      <c r="A709" s="217" t="str">
        <f ca="1">Language!A$880</f>
        <v>курсовые разницы</v>
      </c>
      <c r="B709" s="219"/>
      <c r="C709" s="82" t="str">
        <f t="shared" ca="1" si="3237"/>
        <v>тыс. руб.</v>
      </c>
      <c r="D709" s="66">
        <v>1</v>
      </c>
      <c r="E709" s="57" t="s">
        <v>1270</v>
      </c>
      <c r="F709" s="57" t="s">
        <v>753</v>
      </c>
      <c r="G709" s="185">
        <f>-(SUM($G694:G694)+$B695-G698+G699-SUM($G697:G697)+IF(G$2=1,0,SUM($F709:F709)))</f>
        <v>0</v>
      </c>
      <c r="H709" s="185">
        <f>-(SUM($G694:H694)+$B695-H698+H699-SUM($G697:H697)+IF(H$2=1,0,SUM($F709:G709)))</f>
        <v>0</v>
      </c>
      <c r="I709" s="185">
        <f>-(SUM($G694:I694)+$B695-I698+I699-SUM($G697:I697)+IF(I$2=1,0,SUM($F709:H709)))</f>
        <v>0</v>
      </c>
      <c r="J709" s="185">
        <f>-(SUM($G694:J694)+$B695-J698+J699-SUM($G697:J697)+IF(J$2=1,0,SUM($F709:I709)))</f>
        <v>0</v>
      </c>
      <c r="K709" s="185">
        <f>-(SUM($G694:K694)+$B695-K698+K699-SUM($G697:K697)+IF(K$2=1,0,SUM($F709:J709)))</f>
        <v>0</v>
      </c>
      <c r="L709" s="185">
        <f>-(SUM($G694:L694)+$B695-L698+L699-SUM($G697:L697)+IF(L$2=1,0,SUM($F709:K709)))</f>
        <v>0</v>
      </c>
      <c r="M709" s="185">
        <f>-(SUM($G694:M694)+$B695-M698+M699-SUM($G697:M697)+IF(M$2=1,0,SUM($F709:L709)))</f>
        <v>0</v>
      </c>
      <c r="N709" s="185">
        <f>-(SUM($G694:N694)+$B695-N698+N699-SUM($G697:N697)+IF(N$2=1,0,SUM($F709:M709)))</f>
        <v>0</v>
      </c>
      <c r="O709" s="185">
        <f>-(SUM($G694:O694)+$B695-O698+O699-SUM($G697:O697)+IF(O$2=1,0,SUM($F709:N709)))</f>
        <v>0</v>
      </c>
      <c r="P709" s="185">
        <f>-(SUM($G694:P694)+$B695-P698+P699-SUM($G697:P697)+IF(P$2=1,0,SUM($F709:O709)))</f>
        <v>0</v>
      </c>
      <c r="Q709" s="185">
        <f>-(SUM($G694:Q694)+$B695-Q698+Q699-SUM($G697:Q697)+IF(Q$2=1,0,SUM($F709:P709)))</f>
        <v>0</v>
      </c>
      <c r="R709" s="185">
        <f>-(SUM($G694:R694)+$B695-R698+R699-SUM($G697:R697)+IF(R$2=1,0,SUM($F709:Q709)))</f>
        <v>0</v>
      </c>
      <c r="S709" s="185">
        <f>-(SUM($G694:S694)+$B695-S698+S699-SUM($G697:S697)+IF(S$2=1,0,SUM($F709:R709)))</f>
        <v>0</v>
      </c>
      <c r="T709" s="185">
        <f>-(SUM($G694:T694)+$B695-T698+T699-SUM($G697:T697)+IF(T$2=1,0,SUM($F709:S709)))</f>
        <v>0</v>
      </c>
      <c r="U709" s="185">
        <f>-(SUM($G694:U694)+$B695-U698+U699-SUM($G697:U697)+IF(U$2=1,0,SUM($F709:T709)))</f>
        <v>0</v>
      </c>
      <c r="V709" s="185">
        <f>-(SUM($G694:V694)+$B695-V698+V699-SUM($G697:V697)+IF(V$2=1,0,SUM($F709:U709)))</f>
        <v>0</v>
      </c>
      <c r="W709" s="185">
        <f>-(SUM($G694:W694)+$B695-W698+W699-SUM($G697:W697)+IF(W$2=1,0,SUM($F709:V709)))</f>
        <v>0</v>
      </c>
      <c r="X709" s="185">
        <f>-(SUM($G694:X694)+$B695-X698+X699-SUM($G697:X697)+IF(X$2=1,0,SUM($F709:W709)))</f>
        <v>0</v>
      </c>
      <c r="Y709" s="185">
        <f>-(SUM($G694:Y694)+$B695-Y698+Y699-SUM($G697:Y697)+IF(Y$2=1,0,SUM($F709:X709)))</f>
        <v>0</v>
      </c>
      <c r="Z709" s="185">
        <f>-(SUM($G694:Z694)+$B695-Z698+Z699-SUM($G697:Z697)+IF(Z$2=1,0,SUM($F709:Y709)))</f>
        <v>0</v>
      </c>
      <c r="AA709" s="185">
        <f>-(SUM($G694:AA694)+$B695-AA698+AA699-SUM($G697:AA697)+IF(AA$2=1,0,SUM($F709:Z709)))</f>
        <v>0</v>
      </c>
      <c r="AB709" s="185">
        <f>-(SUM($G694:AB694)+$B695-AB698+AB699-SUM($G697:AB697)+IF(AB$2=1,0,SUM($F709:AA709)))</f>
        <v>0</v>
      </c>
      <c r="AC709" s="185">
        <f>-(SUM($G694:AC694)+$B695-AC698+AC699-SUM($G697:AC697)+IF(AC$2=1,0,SUM($F709:AB709)))</f>
        <v>0</v>
      </c>
      <c r="AD709" s="185">
        <f>-(SUM($G694:AD694)+$B695-AD698+AD699-SUM($G697:AD697)+IF(AD$2=1,0,SUM($F709:AC709)))</f>
        <v>0</v>
      </c>
      <c r="AE709" s="185">
        <f>-(SUM($G694:AE694)+$B695-AE698+AE699-SUM($G697:AE697)+IF(AE$2=1,0,SUM($F709:AD709)))</f>
        <v>0</v>
      </c>
      <c r="AF709" s="185">
        <f>-(SUM($G694:AF694)+$B695-AF698+AF699-SUM($G697:AF697)+IF(AF$2=1,0,SUM($F709:AE709)))</f>
        <v>0</v>
      </c>
      <c r="AG709" s="185">
        <f>-(SUM($G694:AG694)+$B695-AG698+AG699-SUM($G697:AG697)+IF(AG$2=1,0,SUM($F709:AF709)))</f>
        <v>0</v>
      </c>
      <c r="AH709" s="185">
        <f>-(SUM($G694:AH694)+$B695-AH698+AH699-SUM($G697:AH697)+IF(AH$2=1,0,SUM($F709:AG709)))</f>
        <v>0</v>
      </c>
      <c r="AI709" s="185">
        <f>-(SUM($G694:AI694)+$B695-AI698+AI699-SUM($G697:AI697)+IF(AI$2=1,0,SUM($F709:AH709)))</f>
        <v>0</v>
      </c>
      <c r="AJ709" s="185">
        <f>-(SUM($G694:AJ694)+$B695-AJ698+AJ699-SUM($G697:AJ697)+IF(AJ$2=1,0,SUM($F709:AI709)))</f>
        <v>0</v>
      </c>
      <c r="AK709" s="185">
        <f>-(SUM($G694:AK694)+$B695-AK698+AK699-SUM($G697:AK697)+IF(AK$2=1,0,SUM($F709:AJ709)))</f>
        <v>0</v>
      </c>
      <c r="AL709" s="185">
        <f>-(SUM($G694:AL694)+$B695-AL698+AL699-SUM($G697:AL697)+IF(AL$2=1,0,SUM($F709:AK709)))</f>
        <v>0</v>
      </c>
      <c r="AM709" s="185">
        <f>-(SUM($G694:AM694)+$B695-AM698+AM699-SUM($G697:AM697)+IF(AM$2=1,0,SUM($F709:AL709)))</f>
        <v>0</v>
      </c>
      <c r="AN709" s="185">
        <f>-(SUM($G694:AN694)+$B695-AN698+AN699-SUM($G697:AN697)+IF(AN$2=1,0,SUM($F709:AM709)))</f>
        <v>0</v>
      </c>
      <c r="AO709" s="185">
        <f>-(SUM($G694:AO694)+$B695-AO698+AO699-SUM($G697:AO697)+IF(AO$2=1,0,SUM($F709:AN709)))</f>
        <v>0</v>
      </c>
      <c r="AP709" s="185">
        <f>-(SUM($G694:AP694)+$B695-AP698+AP699-SUM($G697:AP697)+IF(AP$2=1,0,SUM($F709:AO709)))</f>
        <v>0</v>
      </c>
      <c r="AQ709" s="185">
        <f>-(SUM($G694:AQ694)+$B695-AQ698+AQ699-SUM($G697:AQ697)+IF(AQ$2=1,0,SUM($F709:AP709)))</f>
        <v>0</v>
      </c>
      <c r="AR709" s="185">
        <f>-(SUM($G694:AR694)+$B695-AR698+AR699-SUM($G697:AR697)+IF(AR$2=1,0,SUM($F709:AQ709)))</f>
        <v>0</v>
      </c>
      <c r="AS709" s="185">
        <f>-(SUM($G694:AS694)+$B695-AS698+AS699-SUM($G697:AS697)+IF(AS$2=1,0,SUM($F709:AR709)))</f>
        <v>0</v>
      </c>
      <c r="AT709" s="185">
        <f>-(SUM($G694:AT694)+$B695-AT698+AT699-SUM($G697:AT697)+IF(AT$2=1,0,SUM($F709:AS709)))</f>
        <v>0</v>
      </c>
      <c r="AU709" s="185">
        <f>-(SUM($G694:AU694)+$B695-AU698+AU699-SUM($G697:AU697)+IF(AU$2=1,0,SUM($F709:AT709)))</f>
        <v>0</v>
      </c>
      <c r="AV709" s="185">
        <f>-(SUM($G694:AV694)+$B695-AV698+AV699-SUM($G697:AV697)+IF(AV$2=1,0,SUM($F709:AU709)))</f>
        <v>0</v>
      </c>
      <c r="AW709" s="180"/>
      <c r="AX709" s="189">
        <f>SUM(G709:AW709)</f>
        <v>0</v>
      </c>
    </row>
    <row r="710" spans="1:50" x14ac:dyDescent="0.2">
      <c r="AW710" s="94"/>
    </row>
    <row r="711" spans="1:50" x14ac:dyDescent="0.2">
      <c r="A711" s="203" t="str">
        <f ca="1">Language!A$931</f>
        <v>Оборудование</v>
      </c>
      <c r="B711" s="51"/>
      <c r="C711" s="51"/>
      <c r="D711" s="68"/>
      <c r="E711" s="68" t="s">
        <v>743</v>
      </c>
      <c r="F711" s="68" t="s">
        <v>2303</v>
      </c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112"/>
      <c r="AX711" s="149"/>
    </row>
    <row r="712" spans="1:50" x14ac:dyDescent="0.2">
      <c r="AW712" s="94"/>
    </row>
    <row r="713" spans="1:50" x14ac:dyDescent="0.2">
      <c r="A713" s="299" t="s">
        <v>2299</v>
      </c>
      <c r="C713" s="146"/>
      <c r="D713" s="158">
        <v>1</v>
      </c>
      <c r="F713" s="57" t="s">
        <v>2300</v>
      </c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  <c r="U713" s="148"/>
      <c r="V713" s="148"/>
      <c r="W713" s="14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71"/>
    </row>
    <row r="714" spans="1:50" collapsed="1" x14ac:dyDescent="0.2">
      <c r="A714" s="99" t="str">
        <f ca="1">Language!A$882</f>
        <v>график оплаты, без НДС</v>
      </c>
      <c r="B714" s="215">
        <f>AX714</f>
        <v>136000</v>
      </c>
      <c r="C714" s="146" t="str">
        <f t="shared" ref="C714:C715" ca="1" si="3243">CHOOSE(D714,CurName1,CurName2,CurName3)</f>
        <v>тыс. руб.</v>
      </c>
      <c r="D714" s="66">
        <f>D713</f>
        <v>1</v>
      </c>
      <c r="F714" s="57" t="s">
        <v>753</v>
      </c>
      <c r="G714" s="311">
        <v>40000</v>
      </c>
      <c r="H714" s="311">
        <v>32000</v>
      </c>
      <c r="I714" s="311">
        <v>32000</v>
      </c>
      <c r="J714" s="311">
        <v>32000</v>
      </c>
      <c r="K714" s="311">
        <v>0</v>
      </c>
      <c r="L714" s="311">
        <v>0</v>
      </c>
      <c r="M714" s="311">
        <v>0</v>
      </c>
      <c r="N714" s="311">
        <v>0</v>
      </c>
      <c r="O714" s="311">
        <v>0</v>
      </c>
      <c r="P714" s="311">
        <v>0</v>
      </c>
      <c r="Q714" s="311">
        <v>0</v>
      </c>
      <c r="R714" s="311">
        <v>0</v>
      </c>
      <c r="S714" s="311">
        <v>0</v>
      </c>
      <c r="T714" s="311">
        <v>0</v>
      </c>
      <c r="U714" s="311">
        <v>0</v>
      </c>
      <c r="V714" s="311">
        <v>0</v>
      </c>
      <c r="W714" s="311">
        <v>0</v>
      </c>
      <c r="X714" s="311">
        <v>0</v>
      </c>
      <c r="Y714" s="311">
        <v>0</v>
      </c>
      <c r="Z714" s="311">
        <v>0</v>
      </c>
      <c r="AA714" s="311">
        <v>0</v>
      </c>
      <c r="AB714" s="311">
        <v>0</v>
      </c>
      <c r="AC714" s="311">
        <v>0</v>
      </c>
      <c r="AD714" s="311">
        <v>0</v>
      </c>
      <c r="AE714" s="311">
        <v>0</v>
      </c>
      <c r="AF714" s="311">
        <v>0</v>
      </c>
      <c r="AG714" s="311">
        <v>0</v>
      </c>
      <c r="AH714" s="311">
        <v>0</v>
      </c>
      <c r="AI714" s="311">
        <v>0</v>
      </c>
      <c r="AJ714" s="311">
        <v>0</v>
      </c>
      <c r="AK714" s="311">
        <v>0</v>
      </c>
      <c r="AL714" s="311">
        <v>0</v>
      </c>
      <c r="AM714" s="311">
        <v>0</v>
      </c>
      <c r="AN714" s="311">
        <v>0</v>
      </c>
      <c r="AO714" s="311">
        <v>0</v>
      </c>
      <c r="AP714" s="311">
        <v>0</v>
      </c>
      <c r="AQ714" s="311">
        <v>0</v>
      </c>
      <c r="AR714" s="311">
        <v>0</v>
      </c>
      <c r="AS714" s="311">
        <v>0</v>
      </c>
      <c r="AT714" s="311">
        <v>0</v>
      </c>
      <c r="AU714" s="311">
        <v>0</v>
      </c>
      <c r="AV714" s="311">
        <v>0</v>
      </c>
      <c r="AW714" s="148"/>
      <c r="AX714" s="171">
        <f>SUM(G714:AW714)</f>
        <v>136000</v>
      </c>
    </row>
    <row r="715" spans="1:50" hidden="1" outlineLevel="1" x14ac:dyDescent="0.2">
      <c r="A715" s="99" t="str">
        <f ca="1">Language!A$883</f>
        <v>ранее осуществленные инвестиции, без НДС</v>
      </c>
      <c r="B715" s="328">
        <v>0</v>
      </c>
      <c r="C715" s="146" t="str">
        <f t="shared" ca="1" si="3243"/>
        <v>тыс. руб.</v>
      </c>
      <c r="D715" s="66">
        <f>D713</f>
        <v>1</v>
      </c>
      <c r="AW715" s="94"/>
    </row>
    <row r="716" spans="1:50" hidden="1" outlineLevel="1" x14ac:dyDescent="0.2">
      <c r="A716" s="99" t="str">
        <f ca="1">Language!A$884</f>
        <v>график ввода в эксплуатацию, без НДС</v>
      </c>
      <c r="B716" s="146"/>
      <c r="C716" s="146" t="str">
        <f ca="1">CHOOSE(D716,CurName1,CurName2,CurName3)</f>
        <v>тыс. руб.</v>
      </c>
      <c r="D716" s="66">
        <f>D713</f>
        <v>1</v>
      </c>
      <c r="F716" s="57" t="s">
        <v>753</v>
      </c>
      <c r="G716" s="311">
        <f>IF(G$2=ROUNDUP(Параметры!$B$18,0)+1,$AX714+$B715,0)</f>
        <v>136000</v>
      </c>
      <c r="H716" s="311">
        <f>IF(H$2=ROUNDUP(Параметры!$B$18,0)+1,$AX714+$B715,0)</f>
        <v>0</v>
      </c>
      <c r="I716" s="311">
        <f>IF(I$2=ROUNDUP(Параметры!$B$18,0)+1,$AX714+$B715,0)</f>
        <v>0</v>
      </c>
      <c r="J716" s="311">
        <f>IF(J$2=ROUNDUP(Параметры!$B$18,0)+1,$AX714+$B715,0)</f>
        <v>0</v>
      </c>
      <c r="K716" s="311">
        <f>IF(K$2=ROUNDUP(Параметры!$B$18,0)+1,$AX714+$B715,0)</f>
        <v>0</v>
      </c>
      <c r="L716" s="311">
        <f>IF(L$2=ROUNDUP(Параметры!$B$18,0)+1,$AX714+$B715,0)</f>
        <v>0</v>
      </c>
      <c r="M716" s="311">
        <f>IF(M$2=ROUNDUP(Параметры!$B$18,0)+1,$AX714+$B715,0)</f>
        <v>0</v>
      </c>
      <c r="N716" s="311">
        <f>IF(N$2=ROUNDUP(Параметры!$B$18,0)+1,$AX714+$B715,0)</f>
        <v>0</v>
      </c>
      <c r="O716" s="311">
        <f>IF(O$2=ROUNDUP(Параметры!$B$18,0)+1,$AX714+$B715,0)</f>
        <v>0</v>
      </c>
      <c r="P716" s="311">
        <f>IF(P$2=ROUNDUP(Параметры!$B$18,0)+1,$AX714+$B715,0)</f>
        <v>0</v>
      </c>
      <c r="Q716" s="311">
        <f>IF(Q$2=ROUNDUP(Параметры!$B$18,0)+1,$AX714+$B715,0)</f>
        <v>0</v>
      </c>
      <c r="R716" s="311">
        <f>IF(R$2=ROUNDUP(Параметры!$B$18,0)+1,$AX714+$B715,0)</f>
        <v>0</v>
      </c>
      <c r="S716" s="311">
        <f>IF(S$2=ROUNDUP(Параметры!$B$18,0)+1,$AX714+$B715,0)</f>
        <v>0</v>
      </c>
      <c r="T716" s="311">
        <f>IF(T$2=ROUNDUP(Параметры!$B$18,0)+1,$AX714+$B715,0)</f>
        <v>0</v>
      </c>
      <c r="U716" s="311">
        <f>IF(U$2=ROUNDUP(Параметры!$B$18,0)+1,$AX714+$B715,0)</f>
        <v>0</v>
      </c>
      <c r="V716" s="311">
        <f>IF(V$2=ROUNDUP(Параметры!$B$18,0)+1,$AX714+$B715,0)</f>
        <v>0</v>
      </c>
      <c r="W716" s="311">
        <f>IF(W$2=ROUNDUP(Параметры!$B$18,0)+1,$AX714+$B715,0)</f>
        <v>0</v>
      </c>
      <c r="X716" s="311">
        <f>IF(X$2=ROUNDUP(Параметры!$B$18,0)+1,$AX714+$B715,0)</f>
        <v>0</v>
      </c>
      <c r="Y716" s="311">
        <f>IF(Y$2=ROUNDUP(Параметры!$B$18,0)+1,$AX714+$B715,0)</f>
        <v>0</v>
      </c>
      <c r="Z716" s="311">
        <f>IF(Z$2=ROUNDUP(Параметры!$B$18,0)+1,$AX714+$B715,0)</f>
        <v>0</v>
      </c>
      <c r="AA716" s="311">
        <f>IF(AA$2=ROUNDUP(Параметры!$B$18,0)+1,$AX714+$B715,0)</f>
        <v>0</v>
      </c>
      <c r="AB716" s="311">
        <f>IF(AB$2=ROUNDUP(Параметры!$B$18,0)+1,$AX714+$B715,0)</f>
        <v>0</v>
      </c>
      <c r="AC716" s="311">
        <f>IF(AC$2=ROUNDUP(Параметры!$B$18,0)+1,$AX714+$B715,0)</f>
        <v>0</v>
      </c>
      <c r="AD716" s="311">
        <f>IF(AD$2=ROUNDUP(Параметры!$B$18,0)+1,$AX714+$B715,0)</f>
        <v>0</v>
      </c>
      <c r="AE716" s="311">
        <f>IF(AE$2=ROUNDUP(Параметры!$B$18,0)+1,$AX714+$B715,0)</f>
        <v>0</v>
      </c>
      <c r="AF716" s="311">
        <f>IF(AF$2=ROUNDUP(Параметры!$B$18,0)+1,$AX714+$B715,0)</f>
        <v>0</v>
      </c>
      <c r="AG716" s="311">
        <f>IF(AG$2=ROUNDUP(Параметры!$B$18,0)+1,$AX714+$B715,0)</f>
        <v>0</v>
      </c>
      <c r="AH716" s="311">
        <f>IF(AH$2=ROUNDUP(Параметры!$B$18,0)+1,$AX714+$B715,0)</f>
        <v>0</v>
      </c>
      <c r="AI716" s="311">
        <f>IF(AI$2=ROUNDUP(Параметры!$B$18,0)+1,$AX714+$B715,0)</f>
        <v>0</v>
      </c>
      <c r="AJ716" s="311">
        <f>IF(AJ$2=ROUNDUP(Параметры!$B$18,0)+1,$AX714+$B715,0)</f>
        <v>0</v>
      </c>
      <c r="AK716" s="311">
        <f>IF(AK$2=ROUNDUP(Параметры!$B$18,0)+1,$AX714+$B715,0)</f>
        <v>0</v>
      </c>
      <c r="AL716" s="311">
        <f>IF(AL$2=ROUNDUP(Параметры!$B$18,0)+1,$AX714+$B715,0)</f>
        <v>0</v>
      </c>
      <c r="AM716" s="311">
        <f>IF(AM$2=ROUNDUP(Параметры!$B$18,0)+1,$AX714+$B715,0)</f>
        <v>0</v>
      </c>
      <c r="AN716" s="311">
        <f>IF(AN$2=ROUNDUP(Параметры!$B$18,0)+1,$AX714+$B715,0)</f>
        <v>0</v>
      </c>
      <c r="AO716" s="311">
        <f>IF(AO$2=ROUNDUP(Параметры!$B$18,0)+1,$AX714+$B715,0)</f>
        <v>0</v>
      </c>
      <c r="AP716" s="311">
        <f>IF(AP$2=ROUNDUP(Параметры!$B$18,0)+1,$AX714+$B715,0)</f>
        <v>0</v>
      </c>
      <c r="AQ716" s="311">
        <f>IF(AQ$2=ROUNDUP(Параметры!$B$18,0)+1,$AX714+$B715,0)</f>
        <v>0</v>
      </c>
      <c r="AR716" s="311">
        <f>IF(AR$2=ROUNDUP(Параметры!$B$18,0)+1,$AX714+$B715,0)</f>
        <v>0</v>
      </c>
      <c r="AS716" s="311">
        <f>IF(AS$2=ROUNDUP(Параметры!$B$18,0)+1,$AX714+$B715,0)</f>
        <v>0</v>
      </c>
      <c r="AT716" s="311">
        <f>IF(AT$2=ROUNDUP(Параметры!$B$18,0)+1,$AX714+$B715,0)</f>
        <v>0</v>
      </c>
      <c r="AU716" s="311">
        <f>IF(AU$2=ROUNDUP(Параметры!$B$18,0)+1,$AX714+$B715,0)</f>
        <v>0</v>
      </c>
      <c r="AV716" s="311">
        <f>IF(AV$2=ROUNDUP(Параметры!$B$18,0)+1,$AX714+$B715,0)</f>
        <v>0</v>
      </c>
      <c r="AW716" s="148"/>
      <c r="AX716" s="171">
        <f>SUM(G716:AW716)</f>
        <v>136000</v>
      </c>
    </row>
    <row r="717" spans="1:50" hidden="1" outlineLevel="1" x14ac:dyDescent="0.2">
      <c r="A717" s="99" t="str">
        <f ca="1">Language!A$885</f>
        <v xml:space="preserve">срок полезного использования </v>
      </c>
      <c r="B717" s="328">
        <v>10</v>
      </c>
      <c r="C717" s="146" t="str">
        <f ca="1">Language!A$48</f>
        <v>лет</v>
      </c>
      <c r="D717" s="66">
        <v>1</v>
      </c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71"/>
    </row>
    <row r="718" spans="1:50" hidden="1" outlineLevel="1" x14ac:dyDescent="0.2">
      <c r="A718" s="99" t="str">
        <f ca="1">Language!A$886</f>
        <v>амортизационная премия для налоговой амортизации</v>
      </c>
      <c r="B718" s="329">
        <v>0</v>
      </c>
      <c r="C718" s="146" t="s">
        <v>1</v>
      </c>
      <c r="D718" s="66">
        <v>1</v>
      </c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48"/>
      <c r="AX718" s="171"/>
    </row>
    <row r="719" spans="1:50" hidden="1" outlineLevel="1" x14ac:dyDescent="0.2">
      <c r="A719" s="99" t="str">
        <f ca="1">Language!A$887</f>
        <v>импорт оборудования</v>
      </c>
      <c r="B719" s="328">
        <v>0</v>
      </c>
      <c r="C719" s="146" t="str">
        <f ca="1">IF(B719=0,Language!$A$1454,Language!$A$1453)</f>
        <v>Не импорт</v>
      </c>
      <c r="D719" s="66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71"/>
    </row>
    <row r="720" spans="1:50" hidden="1" outlineLevel="1" x14ac:dyDescent="0.2">
      <c r="A720" s="99" t="str">
        <f ca="1">Language!A$888</f>
        <v>пересечение границы при импорте</v>
      </c>
      <c r="B720" s="328">
        <v>1</v>
      </c>
      <c r="C720" s="146" t="str">
        <f ca="1">Language!$A$1452</f>
        <v>период</v>
      </c>
      <c r="D720" s="66"/>
      <c r="AW720" s="94"/>
    </row>
    <row r="721" spans="1:50" hidden="1" outlineLevel="1" x14ac:dyDescent="0.2">
      <c r="A721" s="99" t="str">
        <f ca="1">Language!A$889</f>
        <v>импортная пошлина</v>
      </c>
      <c r="B721" s="329">
        <f>IF(B719="Нет",0,10%)</f>
        <v>0.1</v>
      </c>
      <c r="C721" s="146" t="str">
        <f ca="1">CHOOSE(D721,CurName1,CurName2,CurName3)</f>
        <v>тыс. руб.</v>
      </c>
      <c r="D721" s="66">
        <f>D713</f>
        <v>1</v>
      </c>
      <c r="F721" s="57" t="s">
        <v>753</v>
      </c>
      <c r="G721" s="138">
        <f t="shared" ref="G721:AV721" si="3244">IF($B719=0,0,IF(G$2=$B720,($AX714+$B715)*$B721,0))</f>
        <v>0</v>
      </c>
      <c r="H721" s="138">
        <f t="shared" si="3244"/>
        <v>0</v>
      </c>
      <c r="I721" s="138">
        <f t="shared" si="3244"/>
        <v>0</v>
      </c>
      <c r="J721" s="138">
        <f t="shared" si="3244"/>
        <v>0</v>
      </c>
      <c r="K721" s="138">
        <f t="shared" si="3244"/>
        <v>0</v>
      </c>
      <c r="L721" s="138">
        <f t="shared" si="3244"/>
        <v>0</v>
      </c>
      <c r="M721" s="138">
        <f t="shared" si="3244"/>
        <v>0</v>
      </c>
      <c r="N721" s="138">
        <f t="shared" si="3244"/>
        <v>0</v>
      </c>
      <c r="O721" s="138">
        <f t="shared" si="3244"/>
        <v>0</v>
      </c>
      <c r="P721" s="138">
        <f t="shared" si="3244"/>
        <v>0</v>
      </c>
      <c r="Q721" s="138">
        <f t="shared" si="3244"/>
        <v>0</v>
      </c>
      <c r="R721" s="138">
        <f t="shared" si="3244"/>
        <v>0</v>
      </c>
      <c r="S721" s="138">
        <f t="shared" si="3244"/>
        <v>0</v>
      </c>
      <c r="T721" s="138">
        <f t="shared" si="3244"/>
        <v>0</v>
      </c>
      <c r="U721" s="138">
        <f t="shared" si="3244"/>
        <v>0</v>
      </c>
      <c r="V721" s="138">
        <f t="shared" si="3244"/>
        <v>0</v>
      </c>
      <c r="W721" s="138">
        <f t="shared" si="3244"/>
        <v>0</v>
      </c>
      <c r="X721" s="138">
        <f t="shared" si="3244"/>
        <v>0</v>
      </c>
      <c r="Y721" s="138">
        <f t="shared" si="3244"/>
        <v>0</v>
      </c>
      <c r="Z721" s="138">
        <f t="shared" si="3244"/>
        <v>0</v>
      </c>
      <c r="AA721" s="138">
        <f t="shared" si="3244"/>
        <v>0</v>
      </c>
      <c r="AB721" s="138">
        <f t="shared" si="3244"/>
        <v>0</v>
      </c>
      <c r="AC721" s="138">
        <f t="shared" si="3244"/>
        <v>0</v>
      </c>
      <c r="AD721" s="138">
        <f t="shared" si="3244"/>
        <v>0</v>
      </c>
      <c r="AE721" s="138">
        <f t="shared" si="3244"/>
        <v>0</v>
      </c>
      <c r="AF721" s="138">
        <f t="shared" si="3244"/>
        <v>0</v>
      </c>
      <c r="AG721" s="138">
        <f t="shared" si="3244"/>
        <v>0</v>
      </c>
      <c r="AH721" s="138">
        <f t="shared" si="3244"/>
        <v>0</v>
      </c>
      <c r="AI721" s="138">
        <f t="shared" si="3244"/>
        <v>0</v>
      </c>
      <c r="AJ721" s="138">
        <f t="shared" si="3244"/>
        <v>0</v>
      </c>
      <c r="AK721" s="138">
        <f t="shared" si="3244"/>
        <v>0</v>
      </c>
      <c r="AL721" s="138">
        <f t="shared" si="3244"/>
        <v>0</v>
      </c>
      <c r="AM721" s="138">
        <f t="shared" si="3244"/>
        <v>0</v>
      </c>
      <c r="AN721" s="138">
        <f t="shared" si="3244"/>
        <v>0</v>
      </c>
      <c r="AO721" s="138">
        <f t="shared" si="3244"/>
        <v>0</v>
      </c>
      <c r="AP721" s="138">
        <f t="shared" si="3244"/>
        <v>0</v>
      </c>
      <c r="AQ721" s="138">
        <f t="shared" si="3244"/>
        <v>0</v>
      </c>
      <c r="AR721" s="138">
        <f t="shared" si="3244"/>
        <v>0</v>
      </c>
      <c r="AS721" s="138">
        <f t="shared" si="3244"/>
        <v>0</v>
      </c>
      <c r="AT721" s="138">
        <f t="shared" si="3244"/>
        <v>0</v>
      </c>
      <c r="AU721" s="138">
        <f t="shared" si="3244"/>
        <v>0</v>
      </c>
      <c r="AV721" s="138">
        <f t="shared" si="3244"/>
        <v>0</v>
      </c>
      <c r="AW721" s="148"/>
      <c r="AX721" s="171">
        <f>SUM(G721:AW721)</f>
        <v>0</v>
      </c>
    </row>
    <row r="722" spans="1:50" hidden="1" outlineLevel="1" x14ac:dyDescent="0.2">
      <c r="A722" s="99" t="str">
        <f ca="1">Language!A$890</f>
        <v>ставка НДС</v>
      </c>
      <c r="B722" s="198"/>
      <c r="C722" s="146" t="s">
        <v>1</v>
      </c>
      <c r="D722" s="66">
        <v>1</v>
      </c>
      <c r="F722" s="57" t="s">
        <v>756</v>
      </c>
      <c r="G722" s="318">
        <f>Параметры!G$72</f>
        <v>0.18</v>
      </c>
      <c r="H722" s="318">
        <f>Параметры!H$72</f>
        <v>0.18</v>
      </c>
      <c r="I722" s="318">
        <f>Параметры!I$72</f>
        <v>0.18</v>
      </c>
      <c r="J722" s="318">
        <f>Параметры!J$72</f>
        <v>0.18</v>
      </c>
      <c r="K722" s="318">
        <f>Параметры!K$72</f>
        <v>0.18</v>
      </c>
      <c r="L722" s="318">
        <f>Параметры!L$72</f>
        <v>0.18</v>
      </c>
      <c r="M722" s="318">
        <f>Параметры!M$72</f>
        <v>0.18</v>
      </c>
      <c r="N722" s="318">
        <f>Параметры!N$72</f>
        <v>0.18</v>
      </c>
      <c r="O722" s="318">
        <f>Параметры!O$72</f>
        <v>0.18</v>
      </c>
      <c r="P722" s="318">
        <f>Параметры!P$72</f>
        <v>0.18</v>
      </c>
      <c r="Q722" s="318">
        <f>Параметры!Q$72</f>
        <v>0.18</v>
      </c>
      <c r="R722" s="318">
        <f>Параметры!R$72</f>
        <v>0.18</v>
      </c>
      <c r="S722" s="318">
        <f>Параметры!S$72</f>
        <v>0.18</v>
      </c>
      <c r="T722" s="318">
        <f>Параметры!T$72</f>
        <v>0.18</v>
      </c>
      <c r="U722" s="318">
        <f>Параметры!U$72</f>
        <v>0.18</v>
      </c>
      <c r="V722" s="318">
        <f>Параметры!V$72</f>
        <v>0.18</v>
      </c>
      <c r="W722" s="318">
        <f>Параметры!W$72</f>
        <v>0.18</v>
      </c>
      <c r="X722" s="318">
        <f>Параметры!X$72</f>
        <v>0.18</v>
      </c>
      <c r="Y722" s="318">
        <f>Параметры!Y$72</f>
        <v>0.18</v>
      </c>
      <c r="Z722" s="318">
        <f>Параметры!Z$72</f>
        <v>0.18</v>
      </c>
      <c r="AA722" s="318">
        <f>Параметры!AA$72</f>
        <v>0.18</v>
      </c>
      <c r="AB722" s="318">
        <f>Параметры!AB$72</f>
        <v>0.18</v>
      </c>
      <c r="AC722" s="318">
        <f>Параметры!AC$72</f>
        <v>0.18</v>
      </c>
      <c r="AD722" s="318">
        <f>Параметры!AD$72</f>
        <v>0.18</v>
      </c>
      <c r="AE722" s="318">
        <f>Параметры!AE$72</f>
        <v>0.18</v>
      </c>
      <c r="AF722" s="318">
        <f>Параметры!AF$72</f>
        <v>0.18</v>
      </c>
      <c r="AG722" s="318">
        <f>Параметры!AG$72</f>
        <v>0.18</v>
      </c>
      <c r="AH722" s="318">
        <f>Параметры!AH$72</f>
        <v>0.18</v>
      </c>
      <c r="AI722" s="318">
        <f>Параметры!AI$72</f>
        <v>0.18</v>
      </c>
      <c r="AJ722" s="318">
        <f>Параметры!AJ$72</f>
        <v>0.18</v>
      </c>
      <c r="AK722" s="318">
        <f>Параметры!AK$72</f>
        <v>0.18</v>
      </c>
      <c r="AL722" s="318">
        <f>Параметры!AL$72</f>
        <v>0.18</v>
      </c>
      <c r="AM722" s="318">
        <f>Параметры!AM$72</f>
        <v>0.18</v>
      </c>
      <c r="AN722" s="318">
        <f>Параметры!AN$72</f>
        <v>0.18</v>
      </c>
      <c r="AO722" s="318">
        <f>Параметры!AO$72</f>
        <v>0.18</v>
      </c>
      <c r="AP722" s="318">
        <f>Параметры!AP$72</f>
        <v>0.18</v>
      </c>
      <c r="AQ722" s="318">
        <f>Параметры!AQ$72</f>
        <v>0.18</v>
      </c>
      <c r="AR722" s="318">
        <f>Параметры!AR$72</f>
        <v>0.18</v>
      </c>
      <c r="AS722" s="318">
        <f>Параметры!AS$72</f>
        <v>0.18</v>
      </c>
      <c r="AT722" s="318">
        <f>Параметры!AT$72</f>
        <v>0.18</v>
      </c>
      <c r="AU722" s="318">
        <f>Параметры!AU$72</f>
        <v>0.18</v>
      </c>
      <c r="AV722" s="318">
        <f>Параметры!AV$72</f>
        <v>0.18</v>
      </c>
      <c r="AW722" s="175"/>
    </row>
    <row r="723" spans="1:50" hidden="1" outlineLevel="1" x14ac:dyDescent="0.2">
      <c r="A723" s="99" t="str">
        <f ca="1">Language!A$891</f>
        <v>выручка от продажи актива, без НДС</v>
      </c>
      <c r="B723" s="216"/>
      <c r="C723" s="146" t="str">
        <f ca="1">CHOOSE(D723,CurName1,CurName2,CurName3)</f>
        <v>тыс. руб.</v>
      </c>
      <c r="D723" s="66">
        <v>1</v>
      </c>
      <c r="E723" s="57" t="s">
        <v>761</v>
      </c>
      <c r="F723" s="57" t="s">
        <v>753</v>
      </c>
      <c r="G723" s="311">
        <v>0</v>
      </c>
      <c r="H723" s="311">
        <v>0</v>
      </c>
      <c r="I723" s="311">
        <v>0</v>
      </c>
      <c r="J723" s="311">
        <v>0</v>
      </c>
      <c r="K723" s="311">
        <v>0</v>
      </c>
      <c r="L723" s="311">
        <v>0</v>
      </c>
      <c r="M723" s="311">
        <v>0</v>
      </c>
      <c r="N723" s="311">
        <v>0</v>
      </c>
      <c r="O723" s="311">
        <v>0</v>
      </c>
      <c r="P723" s="311">
        <v>0</v>
      </c>
      <c r="Q723" s="311">
        <v>0</v>
      </c>
      <c r="R723" s="311">
        <v>0</v>
      </c>
      <c r="S723" s="311">
        <v>0</v>
      </c>
      <c r="T723" s="311">
        <v>0</v>
      </c>
      <c r="U723" s="311">
        <v>0</v>
      </c>
      <c r="V723" s="311">
        <v>0</v>
      </c>
      <c r="W723" s="311">
        <v>0</v>
      </c>
      <c r="X723" s="311">
        <v>0</v>
      </c>
      <c r="Y723" s="311">
        <v>0</v>
      </c>
      <c r="Z723" s="311">
        <v>0</v>
      </c>
      <c r="AA723" s="311">
        <v>0</v>
      </c>
      <c r="AB723" s="311">
        <v>0</v>
      </c>
      <c r="AC723" s="311">
        <v>0</v>
      </c>
      <c r="AD723" s="311">
        <v>0</v>
      </c>
      <c r="AE723" s="311">
        <v>0</v>
      </c>
      <c r="AF723" s="311">
        <v>0</v>
      </c>
      <c r="AG723" s="311">
        <v>0</v>
      </c>
      <c r="AH723" s="311">
        <v>0</v>
      </c>
      <c r="AI723" s="311">
        <v>0</v>
      </c>
      <c r="AJ723" s="311">
        <v>0</v>
      </c>
      <c r="AK723" s="311">
        <v>0</v>
      </c>
      <c r="AL723" s="311">
        <v>0</v>
      </c>
      <c r="AM723" s="311">
        <v>0</v>
      </c>
      <c r="AN723" s="311">
        <v>0</v>
      </c>
      <c r="AO723" s="311">
        <v>0</v>
      </c>
      <c r="AP723" s="311">
        <v>0</v>
      </c>
      <c r="AQ723" s="311">
        <v>0</v>
      </c>
      <c r="AR723" s="311">
        <v>0</v>
      </c>
      <c r="AS723" s="311">
        <v>0</v>
      </c>
      <c r="AT723" s="311">
        <v>0</v>
      </c>
      <c r="AU723" s="311">
        <v>0</v>
      </c>
      <c r="AV723" s="311">
        <v>0</v>
      </c>
      <c r="AW723" s="148"/>
      <c r="AX723" s="171">
        <f>SUM(G723:AW723)</f>
        <v>0</v>
      </c>
    </row>
    <row r="724" spans="1:50" hidden="1" outlineLevel="1" x14ac:dyDescent="0.2">
      <c r="A724" s="217" t="str">
        <f ca="1">Language!A$892</f>
        <v>суммы в осн. валюте: график оплаты, без НДС</v>
      </c>
      <c r="B724" s="221"/>
      <c r="C724" s="82" t="str">
        <f t="shared" ref="C724:C740" ca="1" si="3245">CHOOSE(D724,CurName1,CurName2,CurName3)</f>
        <v>тыс. руб.</v>
      </c>
      <c r="D724" s="66">
        <v>1</v>
      </c>
      <c r="E724" s="57" t="s">
        <v>758</v>
      </c>
      <c r="F724" s="57" t="s">
        <v>753</v>
      </c>
      <c r="G724" s="180">
        <f>G714*CHOOSE($D714,1,Параметры!G$53,Параметры!G$59)</f>
        <v>40000</v>
      </c>
      <c r="H724" s="180">
        <f>H714*CHOOSE($D714,1,Параметры!H$53,Параметры!H$59)</f>
        <v>32000</v>
      </c>
      <c r="I724" s="180">
        <f>I714*CHOOSE($D714,1,Параметры!I$53,Параметры!I$59)</f>
        <v>32000</v>
      </c>
      <c r="J724" s="180">
        <f>J714*CHOOSE($D714,1,Параметры!J$53,Параметры!J$59)</f>
        <v>32000</v>
      </c>
      <c r="K724" s="180">
        <f>K714*CHOOSE($D714,1,Параметры!K$53,Параметры!K$59)</f>
        <v>0</v>
      </c>
      <c r="L724" s="180">
        <f>L714*CHOOSE($D714,1,Параметры!L$53,Параметры!L$59)</f>
        <v>0</v>
      </c>
      <c r="M724" s="180">
        <f>M714*CHOOSE($D714,1,Параметры!M$53,Параметры!M$59)</f>
        <v>0</v>
      </c>
      <c r="N724" s="180">
        <f>N714*CHOOSE($D714,1,Параметры!N$53,Параметры!N$59)</f>
        <v>0</v>
      </c>
      <c r="O724" s="180">
        <f>O714*CHOOSE($D714,1,Параметры!O$53,Параметры!O$59)</f>
        <v>0</v>
      </c>
      <c r="P724" s="180">
        <f>P714*CHOOSE($D714,1,Параметры!P$53,Параметры!P$59)</f>
        <v>0</v>
      </c>
      <c r="Q724" s="180">
        <f>Q714*CHOOSE($D714,1,Параметры!Q$53,Параметры!Q$59)</f>
        <v>0</v>
      </c>
      <c r="R724" s="180">
        <f>R714*CHOOSE($D714,1,Параметры!R$53,Параметры!R$59)</f>
        <v>0</v>
      </c>
      <c r="S724" s="180">
        <f>S714*CHOOSE($D714,1,Параметры!S$53,Параметры!S$59)</f>
        <v>0</v>
      </c>
      <c r="T724" s="180">
        <f>T714*CHOOSE($D714,1,Параметры!T$53,Параметры!T$59)</f>
        <v>0</v>
      </c>
      <c r="U724" s="180">
        <f>U714*CHOOSE($D714,1,Параметры!U$53,Параметры!U$59)</f>
        <v>0</v>
      </c>
      <c r="V724" s="180">
        <f>V714*CHOOSE($D714,1,Параметры!V$53,Параметры!V$59)</f>
        <v>0</v>
      </c>
      <c r="W724" s="180">
        <f>W714*CHOOSE($D714,1,Параметры!W$53,Параметры!W$59)</f>
        <v>0</v>
      </c>
      <c r="X724" s="180">
        <f>X714*CHOOSE($D714,1,Параметры!X$53,Параметры!X$59)</f>
        <v>0</v>
      </c>
      <c r="Y724" s="180">
        <f>Y714*CHOOSE($D714,1,Параметры!Y$53,Параметры!Y$59)</f>
        <v>0</v>
      </c>
      <c r="Z724" s="180">
        <f>Z714*CHOOSE($D714,1,Параметры!Z$53,Параметры!Z$59)</f>
        <v>0</v>
      </c>
      <c r="AA724" s="180">
        <f>AA714*CHOOSE($D714,1,Параметры!AA$53,Параметры!AA$59)</f>
        <v>0</v>
      </c>
      <c r="AB724" s="180">
        <f>AB714*CHOOSE($D714,1,Параметры!AB$53,Параметры!AB$59)</f>
        <v>0</v>
      </c>
      <c r="AC724" s="180">
        <f>AC714*CHOOSE($D714,1,Параметры!AC$53,Параметры!AC$59)</f>
        <v>0</v>
      </c>
      <c r="AD724" s="180">
        <f>AD714*CHOOSE($D714,1,Параметры!AD$53,Параметры!AD$59)</f>
        <v>0</v>
      </c>
      <c r="AE724" s="180">
        <f>AE714*CHOOSE($D714,1,Параметры!AE$53,Параметры!AE$59)</f>
        <v>0</v>
      </c>
      <c r="AF724" s="180">
        <f>AF714*CHOOSE($D714,1,Параметры!AF$53,Параметры!AF$59)</f>
        <v>0</v>
      </c>
      <c r="AG724" s="180">
        <f>AG714*CHOOSE($D714,1,Параметры!AG$53,Параметры!AG$59)</f>
        <v>0</v>
      </c>
      <c r="AH724" s="180">
        <f>AH714*CHOOSE($D714,1,Параметры!AH$53,Параметры!AH$59)</f>
        <v>0</v>
      </c>
      <c r="AI724" s="180">
        <f>AI714*CHOOSE($D714,1,Параметры!AI$53,Параметры!AI$59)</f>
        <v>0</v>
      </c>
      <c r="AJ724" s="180">
        <f>AJ714*CHOOSE($D714,1,Параметры!AJ$53,Параметры!AJ$59)</f>
        <v>0</v>
      </c>
      <c r="AK724" s="180">
        <f>AK714*CHOOSE($D714,1,Параметры!AK$53,Параметры!AK$59)</f>
        <v>0</v>
      </c>
      <c r="AL724" s="180">
        <f>AL714*CHOOSE($D714,1,Параметры!AL$53,Параметры!AL$59)</f>
        <v>0</v>
      </c>
      <c r="AM724" s="180">
        <f>AM714*CHOOSE($D714,1,Параметры!AM$53,Параметры!AM$59)</f>
        <v>0</v>
      </c>
      <c r="AN724" s="180">
        <f>AN714*CHOOSE($D714,1,Параметры!AN$53,Параметры!AN$59)</f>
        <v>0</v>
      </c>
      <c r="AO724" s="180">
        <f>AO714*CHOOSE($D714,1,Параметры!AO$53,Параметры!AO$59)</f>
        <v>0</v>
      </c>
      <c r="AP724" s="180">
        <f>AP714*CHOOSE($D714,1,Параметры!AP$53,Параметры!AP$59)</f>
        <v>0</v>
      </c>
      <c r="AQ724" s="180">
        <f>AQ714*CHOOSE($D714,1,Параметры!AQ$53,Параметры!AQ$59)</f>
        <v>0</v>
      </c>
      <c r="AR724" s="180">
        <f>AR714*CHOOSE($D714,1,Параметры!AR$53,Параметры!AR$59)</f>
        <v>0</v>
      </c>
      <c r="AS724" s="180">
        <f>AS714*CHOOSE($D714,1,Параметры!AS$53,Параметры!AS$59)</f>
        <v>0</v>
      </c>
      <c r="AT724" s="180">
        <f>AT714*CHOOSE($D714,1,Параметры!AT$53,Параметры!AT$59)</f>
        <v>0</v>
      </c>
      <c r="AU724" s="180">
        <f>AU714*CHOOSE($D714,1,Параметры!AU$53,Параметры!AU$59)</f>
        <v>0</v>
      </c>
      <c r="AV724" s="180">
        <f>AV714*CHOOSE($D714,1,Параметры!AV$53,Параметры!AV$59)</f>
        <v>0</v>
      </c>
      <c r="AW724" s="180"/>
      <c r="AX724" s="189">
        <f>SUM(G724:AW724)</f>
        <v>136000</v>
      </c>
    </row>
    <row r="725" spans="1:50" hidden="1" outlineLevel="1" x14ac:dyDescent="0.2">
      <c r="A725" s="218" t="str">
        <f ca="1">Language!A$893</f>
        <v>ранее осуществленные инвестиции, без НДС</v>
      </c>
      <c r="B725" s="214">
        <f>B715*CHOOSE(D715,1,Параметры!G$53,Параметры!G$59)</f>
        <v>0</v>
      </c>
      <c r="C725" s="82" t="str">
        <f t="shared" ca="1" si="3245"/>
        <v>тыс. руб.</v>
      </c>
      <c r="D725" s="66">
        <v>1</v>
      </c>
      <c r="E725" s="57" t="s">
        <v>1262</v>
      </c>
      <c r="G725" s="57">
        <f>B725</f>
        <v>0</v>
      </c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114"/>
      <c r="AX725" s="189"/>
    </row>
    <row r="726" spans="1:50" hidden="1" outlineLevel="1" x14ac:dyDescent="0.2">
      <c r="A726" s="218" t="str">
        <f ca="1">Language!A$894</f>
        <v>НДС к ранее осуществленным инвестициям</v>
      </c>
      <c r="B726" s="214">
        <f>B725*G722</f>
        <v>0</v>
      </c>
      <c r="C726" s="82" t="str">
        <f t="shared" ca="1" si="3245"/>
        <v>тыс. руб.</v>
      </c>
      <c r="D726" s="66">
        <v>1</v>
      </c>
      <c r="E726" s="57" t="s">
        <v>1266</v>
      </c>
      <c r="G726" s="180">
        <f>B726</f>
        <v>0</v>
      </c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  <c r="AF726" s="180"/>
      <c r="AG726" s="180"/>
      <c r="AH726" s="180"/>
      <c r="AI726" s="180"/>
      <c r="AJ726" s="180"/>
      <c r="AK726" s="180"/>
      <c r="AL726" s="180"/>
      <c r="AM726" s="180"/>
      <c r="AN726" s="180"/>
      <c r="AO726" s="180"/>
      <c r="AP726" s="180"/>
      <c r="AQ726" s="180"/>
      <c r="AR726" s="180"/>
      <c r="AS726" s="180"/>
      <c r="AT726" s="180"/>
      <c r="AU726" s="180"/>
      <c r="AV726" s="180"/>
      <c r="AW726" s="180"/>
      <c r="AX726" s="189"/>
    </row>
    <row r="727" spans="1:50" hidden="1" outlineLevel="1" x14ac:dyDescent="0.2">
      <c r="A727" s="218" t="str">
        <f ca="1">Language!A$895</f>
        <v>график ввода в эксплуатацию, без НДС</v>
      </c>
      <c r="B727" s="221"/>
      <c r="C727" s="82" t="str">
        <f t="shared" ca="1" si="3245"/>
        <v>тыс. руб.</v>
      </c>
      <c r="D727" s="66">
        <v>1</v>
      </c>
      <c r="F727" s="57" t="s">
        <v>753</v>
      </c>
      <c r="G727" s="180">
        <f>G716*CHOOSE($D716,1,Параметры!G$53,Параметры!G$59)</f>
        <v>136000</v>
      </c>
      <c r="H727" s="180">
        <f>H716*CHOOSE($D716,1,Параметры!H$53,Параметры!H$59)</f>
        <v>0</v>
      </c>
      <c r="I727" s="180">
        <f>I716*CHOOSE($D716,1,Параметры!I$53,Параметры!I$59)</f>
        <v>0</v>
      </c>
      <c r="J727" s="180">
        <f>J716*CHOOSE($D716,1,Параметры!J$53,Параметры!J$59)</f>
        <v>0</v>
      </c>
      <c r="K727" s="180">
        <f>K716*CHOOSE($D716,1,Параметры!K$53,Параметры!K$59)</f>
        <v>0</v>
      </c>
      <c r="L727" s="180">
        <f>L716*CHOOSE($D716,1,Параметры!L$53,Параметры!L$59)</f>
        <v>0</v>
      </c>
      <c r="M727" s="180">
        <f>M716*CHOOSE($D716,1,Параметры!M$53,Параметры!M$59)</f>
        <v>0</v>
      </c>
      <c r="N727" s="180">
        <f>N716*CHOOSE($D716,1,Параметры!N$53,Параметры!N$59)</f>
        <v>0</v>
      </c>
      <c r="O727" s="180">
        <f>O716*CHOOSE($D716,1,Параметры!O$53,Параметры!O$59)</f>
        <v>0</v>
      </c>
      <c r="P727" s="180">
        <f>P716*CHOOSE($D716,1,Параметры!P$53,Параметры!P$59)</f>
        <v>0</v>
      </c>
      <c r="Q727" s="180">
        <f>Q716*CHOOSE($D716,1,Параметры!Q$53,Параметры!Q$59)</f>
        <v>0</v>
      </c>
      <c r="R727" s="180">
        <f>R716*CHOOSE($D716,1,Параметры!R$53,Параметры!R$59)</f>
        <v>0</v>
      </c>
      <c r="S727" s="180">
        <f>S716*CHOOSE($D716,1,Параметры!S$53,Параметры!S$59)</f>
        <v>0</v>
      </c>
      <c r="T727" s="180">
        <f>T716*CHOOSE($D716,1,Параметры!T$53,Параметры!T$59)</f>
        <v>0</v>
      </c>
      <c r="U727" s="180">
        <f>U716*CHOOSE($D716,1,Параметры!U$53,Параметры!U$59)</f>
        <v>0</v>
      </c>
      <c r="V727" s="180">
        <f>V716*CHOOSE($D716,1,Параметры!V$53,Параметры!V$59)</f>
        <v>0</v>
      </c>
      <c r="W727" s="180">
        <f>W716*CHOOSE($D716,1,Параметры!W$53,Параметры!W$59)</f>
        <v>0</v>
      </c>
      <c r="X727" s="180">
        <f>X716*CHOOSE($D716,1,Параметры!X$53,Параметры!X$59)</f>
        <v>0</v>
      </c>
      <c r="Y727" s="180">
        <f>Y716*CHOOSE($D716,1,Параметры!Y$53,Параметры!Y$59)</f>
        <v>0</v>
      </c>
      <c r="Z727" s="180">
        <f>Z716*CHOOSE($D716,1,Параметры!Z$53,Параметры!Z$59)</f>
        <v>0</v>
      </c>
      <c r="AA727" s="180">
        <f>AA716*CHOOSE($D716,1,Параметры!AA$53,Параметры!AA$59)</f>
        <v>0</v>
      </c>
      <c r="AB727" s="180">
        <f>AB716*CHOOSE($D716,1,Параметры!AB$53,Параметры!AB$59)</f>
        <v>0</v>
      </c>
      <c r="AC727" s="180">
        <f>AC716*CHOOSE($D716,1,Параметры!AC$53,Параметры!AC$59)</f>
        <v>0</v>
      </c>
      <c r="AD727" s="180">
        <f>AD716*CHOOSE($D716,1,Параметры!AD$53,Параметры!AD$59)</f>
        <v>0</v>
      </c>
      <c r="AE727" s="180">
        <f>AE716*CHOOSE($D716,1,Параметры!AE$53,Параметры!AE$59)</f>
        <v>0</v>
      </c>
      <c r="AF727" s="180">
        <f>AF716*CHOOSE($D716,1,Параметры!AF$53,Параметры!AF$59)</f>
        <v>0</v>
      </c>
      <c r="AG727" s="180">
        <f>AG716*CHOOSE($D716,1,Параметры!AG$53,Параметры!AG$59)</f>
        <v>0</v>
      </c>
      <c r="AH727" s="180">
        <f>AH716*CHOOSE($D716,1,Параметры!AH$53,Параметры!AH$59)</f>
        <v>0</v>
      </c>
      <c r="AI727" s="180">
        <f>AI716*CHOOSE($D716,1,Параметры!AI$53,Параметры!AI$59)</f>
        <v>0</v>
      </c>
      <c r="AJ727" s="180">
        <f>AJ716*CHOOSE($D716,1,Параметры!AJ$53,Параметры!AJ$59)</f>
        <v>0</v>
      </c>
      <c r="AK727" s="180">
        <f>AK716*CHOOSE($D716,1,Параметры!AK$53,Параметры!AK$59)</f>
        <v>0</v>
      </c>
      <c r="AL727" s="180">
        <f>AL716*CHOOSE($D716,1,Параметры!AL$53,Параметры!AL$59)</f>
        <v>0</v>
      </c>
      <c r="AM727" s="180">
        <f>AM716*CHOOSE($D716,1,Параметры!AM$53,Параметры!AM$59)</f>
        <v>0</v>
      </c>
      <c r="AN727" s="180">
        <f>AN716*CHOOSE($D716,1,Параметры!AN$53,Параметры!AN$59)</f>
        <v>0</v>
      </c>
      <c r="AO727" s="180">
        <f>AO716*CHOOSE($D716,1,Параметры!AO$53,Параметры!AO$59)</f>
        <v>0</v>
      </c>
      <c r="AP727" s="180">
        <f>AP716*CHOOSE($D716,1,Параметры!AP$53,Параметры!AP$59)</f>
        <v>0</v>
      </c>
      <c r="AQ727" s="180">
        <f>AQ716*CHOOSE($D716,1,Параметры!AQ$53,Параметры!AQ$59)</f>
        <v>0</v>
      </c>
      <c r="AR727" s="180">
        <f>AR716*CHOOSE($D716,1,Параметры!AR$53,Параметры!AR$59)</f>
        <v>0</v>
      </c>
      <c r="AS727" s="180">
        <f>AS716*CHOOSE($D716,1,Параметры!AS$53,Параметры!AS$59)</f>
        <v>0</v>
      </c>
      <c r="AT727" s="180">
        <f>AT716*CHOOSE($D716,1,Параметры!AT$53,Параметры!AT$59)</f>
        <v>0</v>
      </c>
      <c r="AU727" s="180">
        <f>AU716*CHOOSE($D716,1,Параметры!AU$53,Параметры!AU$59)</f>
        <v>0</v>
      </c>
      <c r="AV727" s="180">
        <f>AV716*CHOOSE($D716,1,Параметры!AV$53,Параметры!AV$59)</f>
        <v>0</v>
      </c>
      <c r="AW727" s="180"/>
      <c r="AX727" s="189">
        <f>SUM(G727:AW727)</f>
        <v>136000</v>
      </c>
    </row>
    <row r="728" spans="1:50" hidden="1" outlineLevel="1" x14ac:dyDescent="0.2">
      <c r="A728" s="218" t="str">
        <f ca="1">Language!A$896</f>
        <v>импортная пошлина</v>
      </c>
      <c r="B728" s="221"/>
      <c r="C728" s="82" t="str">
        <f t="shared" ca="1" si="3245"/>
        <v>тыс. руб.</v>
      </c>
      <c r="D728" s="66">
        <v>1</v>
      </c>
      <c r="E728" s="57" t="s">
        <v>771</v>
      </c>
      <c r="F728" s="57" t="s">
        <v>753</v>
      </c>
      <c r="G728" s="180">
        <f>G721*CHOOSE($D721,1,Параметры!G$53,Параметры!G$59)</f>
        <v>0</v>
      </c>
      <c r="H728" s="180">
        <f>H721*CHOOSE($D721,1,Параметры!H$53,Параметры!H$59)</f>
        <v>0</v>
      </c>
      <c r="I728" s="180">
        <f>I721*CHOOSE($D721,1,Параметры!I$53,Параметры!I$59)</f>
        <v>0</v>
      </c>
      <c r="J728" s="180">
        <f>J721*CHOOSE($D721,1,Параметры!J$53,Параметры!J$59)</f>
        <v>0</v>
      </c>
      <c r="K728" s="180">
        <f>K721*CHOOSE($D721,1,Параметры!K$53,Параметры!K$59)</f>
        <v>0</v>
      </c>
      <c r="L728" s="180">
        <f>L721*CHOOSE($D721,1,Параметры!L$53,Параметры!L$59)</f>
        <v>0</v>
      </c>
      <c r="M728" s="180">
        <f>M721*CHOOSE($D721,1,Параметры!M$53,Параметры!M$59)</f>
        <v>0</v>
      </c>
      <c r="N728" s="180">
        <f>N721*CHOOSE($D721,1,Параметры!N$53,Параметры!N$59)</f>
        <v>0</v>
      </c>
      <c r="O728" s="180">
        <f>O721*CHOOSE($D721,1,Параметры!O$53,Параметры!O$59)</f>
        <v>0</v>
      </c>
      <c r="P728" s="180">
        <f>P721*CHOOSE($D721,1,Параметры!P$53,Параметры!P$59)</f>
        <v>0</v>
      </c>
      <c r="Q728" s="180">
        <f>Q721*CHOOSE($D721,1,Параметры!Q$53,Параметры!Q$59)</f>
        <v>0</v>
      </c>
      <c r="R728" s="180">
        <f>R721*CHOOSE($D721,1,Параметры!R$53,Параметры!R$59)</f>
        <v>0</v>
      </c>
      <c r="S728" s="180">
        <f>S721*CHOOSE($D721,1,Параметры!S$53,Параметры!S$59)</f>
        <v>0</v>
      </c>
      <c r="T728" s="180">
        <f>T721*CHOOSE($D721,1,Параметры!T$53,Параметры!T$59)</f>
        <v>0</v>
      </c>
      <c r="U728" s="180">
        <f>U721*CHOOSE($D721,1,Параметры!U$53,Параметры!U$59)</f>
        <v>0</v>
      </c>
      <c r="V728" s="180">
        <f>V721*CHOOSE($D721,1,Параметры!V$53,Параметры!V$59)</f>
        <v>0</v>
      </c>
      <c r="W728" s="180">
        <f>W721*CHOOSE($D721,1,Параметры!W$53,Параметры!W$59)</f>
        <v>0</v>
      </c>
      <c r="X728" s="180">
        <f>X721*CHOOSE($D721,1,Параметры!X$53,Параметры!X$59)</f>
        <v>0</v>
      </c>
      <c r="Y728" s="180">
        <f>Y721*CHOOSE($D721,1,Параметры!Y$53,Параметры!Y$59)</f>
        <v>0</v>
      </c>
      <c r="Z728" s="180">
        <f>Z721*CHOOSE($D721,1,Параметры!Z$53,Параметры!Z$59)</f>
        <v>0</v>
      </c>
      <c r="AA728" s="180">
        <f>AA721*CHOOSE($D721,1,Параметры!AA$53,Параметры!AA$59)</f>
        <v>0</v>
      </c>
      <c r="AB728" s="180">
        <f>AB721*CHOOSE($D721,1,Параметры!AB$53,Параметры!AB$59)</f>
        <v>0</v>
      </c>
      <c r="AC728" s="180">
        <f>AC721*CHOOSE($D721,1,Параметры!AC$53,Параметры!AC$59)</f>
        <v>0</v>
      </c>
      <c r="AD728" s="180">
        <f>AD721*CHOOSE($D721,1,Параметры!AD$53,Параметры!AD$59)</f>
        <v>0</v>
      </c>
      <c r="AE728" s="180">
        <f>AE721*CHOOSE($D721,1,Параметры!AE$53,Параметры!AE$59)</f>
        <v>0</v>
      </c>
      <c r="AF728" s="180">
        <f>AF721*CHOOSE($D721,1,Параметры!AF$53,Параметры!AF$59)</f>
        <v>0</v>
      </c>
      <c r="AG728" s="180">
        <f>AG721*CHOOSE($D721,1,Параметры!AG$53,Параметры!AG$59)</f>
        <v>0</v>
      </c>
      <c r="AH728" s="180">
        <f>AH721*CHOOSE($D721,1,Параметры!AH$53,Параметры!AH$59)</f>
        <v>0</v>
      </c>
      <c r="AI728" s="180">
        <f>AI721*CHOOSE($D721,1,Параметры!AI$53,Параметры!AI$59)</f>
        <v>0</v>
      </c>
      <c r="AJ728" s="180">
        <f>AJ721*CHOOSE($D721,1,Параметры!AJ$53,Параметры!AJ$59)</f>
        <v>0</v>
      </c>
      <c r="AK728" s="180">
        <f>AK721*CHOOSE($D721,1,Параметры!AK$53,Параметры!AK$59)</f>
        <v>0</v>
      </c>
      <c r="AL728" s="180">
        <f>AL721*CHOOSE($D721,1,Параметры!AL$53,Параметры!AL$59)</f>
        <v>0</v>
      </c>
      <c r="AM728" s="180">
        <f>AM721*CHOOSE($D721,1,Параметры!AM$53,Параметры!AM$59)</f>
        <v>0</v>
      </c>
      <c r="AN728" s="180">
        <f>AN721*CHOOSE($D721,1,Параметры!AN$53,Параметры!AN$59)</f>
        <v>0</v>
      </c>
      <c r="AO728" s="180">
        <f>AO721*CHOOSE($D721,1,Параметры!AO$53,Параметры!AO$59)</f>
        <v>0</v>
      </c>
      <c r="AP728" s="180">
        <f>AP721*CHOOSE($D721,1,Параметры!AP$53,Параметры!AP$59)</f>
        <v>0</v>
      </c>
      <c r="AQ728" s="180">
        <f>AQ721*CHOOSE($D721,1,Параметры!AQ$53,Параметры!AQ$59)</f>
        <v>0</v>
      </c>
      <c r="AR728" s="180">
        <f>AR721*CHOOSE($D721,1,Параметры!AR$53,Параметры!AR$59)</f>
        <v>0</v>
      </c>
      <c r="AS728" s="180">
        <f>AS721*CHOOSE($D721,1,Параметры!AS$53,Параметры!AS$59)</f>
        <v>0</v>
      </c>
      <c r="AT728" s="180">
        <f>AT721*CHOOSE($D721,1,Параметры!AT$53,Параметры!AT$59)</f>
        <v>0</v>
      </c>
      <c r="AU728" s="180">
        <f>AU721*CHOOSE($D721,1,Параметры!AU$53,Параметры!AU$59)</f>
        <v>0</v>
      </c>
      <c r="AV728" s="180">
        <f>AV721*CHOOSE($D721,1,Параметры!AV$53,Параметры!AV$59)</f>
        <v>0</v>
      </c>
      <c r="AW728" s="180"/>
      <c r="AX728" s="189">
        <f>SUM(G728:AW728)</f>
        <v>0</v>
      </c>
    </row>
    <row r="729" spans="1:50" hidden="1" outlineLevel="1" x14ac:dyDescent="0.2">
      <c r="A729" s="217" t="str">
        <f ca="1">Language!A$897</f>
        <v>незавершенные инвестиции</v>
      </c>
      <c r="B729" s="57"/>
      <c r="C729" s="82" t="str">
        <f t="shared" ca="1" si="3245"/>
        <v>тыс. руб.</v>
      </c>
      <c r="D729" s="66">
        <v>1</v>
      </c>
      <c r="E729" s="57" t="s">
        <v>760</v>
      </c>
      <c r="F729" s="57" t="s">
        <v>754</v>
      </c>
      <c r="G729" s="185">
        <f>IF(SUM($G723:G723)&gt;0.01,0,MAX(SUM($G714:G714)+$B715-SUM($G716:G716),0)+IF($B719=0,0,MAX(SUM($G721:G721)-SUM($G716:G716)*$B721,0)))*CHOOSE($D714,1,Параметры!G$53,Параметры!G$59)</f>
        <v>0</v>
      </c>
      <c r="H729" s="185">
        <f>IF(SUM($G723:H723)&gt;0.01,0,MAX(SUM($G714:H714)+$B715-SUM($G716:H716),0)+IF($B719=0,0,MAX(SUM($G721:H721)-SUM($G716:H716)*$B721,0)))*CHOOSE($D714,1,Параметры!H$53,Параметры!H$59)</f>
        <v>0</v>
      </c>
      <c r="I729" s="185">
        <f>IF(SUM($G723:I723)&gt;0.01,0,MAX(SUM($G714:I714)+$B715-SUM($G716:I716),0)+IF($B719=0,0,MAX(SUM($G721:I721)-SUM($G716:I716)*$B721,0)))*CHOOSE($D714,1,Параметры!I$53,Параметры!I$59)</f>
        <v>0</v>
      </c>
      <c r="J729" s="185">
        <f>IF(SUM($G723:J723)&gt;0.01,0,MAX(SUM($G714:J714)+$B715-SUM($G716:J716),0)+IF($B719=0,0,MAX(SUM($G721:J721)-SUM($G716:J716)*$B721,0)))*CHOOSE($D714,1,Параметры!J$53,Параметры!J$59)</f>
        <v>0</v>
      </c>
      <c r="K729" s="185">
        <f>IF(SUM($G723:K723)&gt;0.01,0,MAX(SUM($G714:K714)+$B715-SUM($G716:K716),0)+IF($B719=0,0,MAX(SUM($G721:K721)-SUM($G716:K716)*$B721,0)))*CHOOSE($D714,1,Параметры!K$53,Параметры!K$59)</f>
        <v>0</v>
      </c>
      <c r="L729" s="185">
        <f>IF(SUM($G723:L723)&gt;0.01,0,MAX(SUM($G714:L714)+$B715-SUM($G716:L716),0)+IF($B719=0,0,MAX(SUM($G721:L721)-SUM($G716:L716)*$B721,0)))*CHOOSE($D714,1,Параметры!L$53,Параметры!L$59)</f>
        <v>0</v>
      </c>
      <c r="M729" s="185">
        <f>IF(SUM($G723:M723)&gt;0.01,0,MAX(SUM($G714:M714)+$B715-SUM($G716:M716),0)+IF($B719=0,0,MAX(SUM($G721:M721)-SUM($G716:M716)*$B721,0)))*CHOOSE($D714,1,Параметры!M$53,Параметры!M$59)</f>
        <v>0</v>
      </c>
      <c r="N729" s="185">
        <f>IF(SUM($G723:N723)&gt;0.01,0,MAX(SUM($G714:N714)+$B715-SUM($G716:N716),0)+IF($B719=0,0,MAX(SUM($G721:N721)-SUM($G716:N716)*$B721,0)))*CHOOSE($D714,1,Параметры!N$53,Параметры!N$59)</f>
        <v>0</v>
      </c>
      <c r="O729" s="185">
        <f>IF(SUM($G723:O723)&gt;0.01,0,MAX(SUM($G714:O714)+$B715-SUM($G716:O716),0)+IF($B719=0,0,MAX(SUM($G721:O721)-SUM($G716:O716)*$B721,0)))*CHOOSE($D714,1,Параметры!O$53,Параметры!O$59)</f>
        <v>0</v>
      </c>
      <c r="P729" s="185">
        <f>IF(SUM($G723:P723)&gt;0.01,0,MAX(SUM($G714:P714)+$B715-SUM($G716:P716),0)+IF($B719=0,0,MAX(SUM($G721:P721)-SUM($G716:P716)*$B721,0)))*CHOOSE($D714,1,Параметры!P$53,Параметры!P$59)</f>
        <v>0</v>
      </c>
      <c r="Q729" s="185">
        <f>IF(SUM($G723:Q723)&gt;0.01,0,MAX(SUM($G714:Q714)+$B715-SUM($G716:Q716),0)+IF($B719=0,0,MAX(SUM($G721:Q721)-SUM($G716:Q716)*$B721,0)))*CHOOSE($D714,1,Параметры!Q$53,Параметры!Q$59)</f>
        <v>0</v>
      </c>
      <c r="R729" s="185">
        <f>IF(SUM($G723:R723)&gt;0.01,0,MAX(SUM($G714:R714)+$B715-SUM($G716:R716),0)+IF($B719=0,0,MAX(SUM($G721:R721)-SUM($G716:R716)*$B721,0)))*CHOOSE($D714,1,Параметры!R$53,Параметры!R$59)</f>
        <v>0</v>
      </c>
      <c r="S729" s="185">
        <f>IF(SUM($G723:S723)&gt;0.01,0,MAX(SUM($G714:S714)+$B715-SUM($G716:S716),0)+IF($B719=0,0,MAX(SUM($G721:S721)-SUM($G716:S716)*$B721,0)))*CHOOSE($D714,1,Параметры!S$53,Параметры!S$59)</f>
        <v>0</v>
      </c>
      <c r="T729" s="185">
        <f>IF(SUM($G723:T723)&gt;0.01,0,MAX(SUM($G714:T714)+$B715-SUM($G716:T716),0)+IF($B719=0,0,MAX(SUM($G721:T721)-SUM($G716:T716)*$B721,0)))*CHOOSE($D714,1,Параметры!T$53,Параметры!T$59)</f>
        <v>0</v>
      </c>
      <c r="U729" s="185">
        <f>IF(SUM($G723:U723)&gt;0.01,0,MAX(SUM($G714:U714)+$B715-SUM($G716:U716),0)+IF($B719=0,0,MAX(SUM($G721:U721)-SUM($G716:U716)*$B721,0)))*CHOOSE($D714,1,Параметры!U$53,Параметры!U$59)</f>
        <v>0</v>
      </c>
      <c r="V729" s="185">
        <f>IF(SUM($G723:V723)&gt;0.01,0,MAX(SUM($G714:V714)+$B715-SUM($G716:V716),0)+IF($B719=0,0,MAX(SUM($G721:V721)-SUM($G716:V716)*$B721,0)))*CHOOSE($D714,1,Параметры!V$53,Параметры!V$59)</f>
        <v>0</v>
      </c>
      <c r="W729" s="185">
        <f>IF(SUM($G723:W723)&gt;0.01,0,MAX(SUM($G714:W714)+$B715-SUM($G716:W716),0)+IF($B719=0,0,MAX(SUM($G721:W721)-SUM($G716:W716)*$B721,0)))*CHOOSE($D714,1,Параметры!W$53,Параметры!W$59)</f>
        <v>0</v>
      </c>
      <c r="X729" s="185">
        <f>IF(SUM($G723:X723)&gt;0.01,0,MAX(SUM($G714:X714)+$B715-SUM($G716:X716),0)+IF($B719=0,0,MAX(SUM($G721:X721)-SUM($G716:X716)*$B721,0)))*CHOOSE($D714,1,Параметры!X$53,Параметры!X$59)</f>
        <v>0</v>
      </c>
      <c r="Y729" s="185">
        <f>IF(SUM($G723:Y723)&gt;0.01,0,MAX(SUM($G714:Y714)+$B715-SUM($G716:Y716),0)+IF($B719=0,0,MAX(SUM($G721:Y721)-SUM($G716:Y716)*$B721,0)))*CHOOSE($D714,1,Параметры!Y$53,Параметры!Y$59)</f>
        <v>0</v>
      </c>
      <c r="Z729" s="185">
        <f>IF(SUM($G723:Z723)&gt;0.01,0,MAX(SUM($G714:Z714)+$B715-SUM($G716:Z716),0)+IF($B719=0,0,MAX(SUM($G721:Z721)-SUM($G716:Z716)*$B721,0)))*CHOOSE($D714,1,Параметры!Z$53,Параметры!Z$59)</f>
        <v>0</v>
      </c>
      <c r="AA729" s="185">
        <f>IF(SUM($G723:AA723)&gt;0.01,0,MAX(SUM($G714:AA714)+$B715-SUM($G716:AA716),0)+IF($B719=0,0,MAX(SUM($G721:AA721)-SUM($G716:AA716)*$B721,0)))*CHOOSE($D714,1,Параметры!AA$53,Параметры!AA$59)</f>
        <v>0</v>
      </c>
      <c r="AB729" s="185">
        <f>IF(SUM($G723:AB723)&gt;0.01,0,MAX(SUM($G714:AB714)+$B715-SUM($G716:AB716),0)+IF($B719=0,0,MAX(SUM($G721:AB721)-SUM($G716:AB716)*$B721,0)))*CHOOSE($D714,1,Параметры!AB$53,Параметры!AB$59)</f>
        <v>0</v>
      </c>
      <c r="AC729" s="185">
        <f>IF(SUM($G723:AC723)&gt;0.01,0,MAX(SUM($G714:AC714)+$B715-SUM($G716:AC716),0)+IF($B719=0,0,MAX(SUM($G721:AC721)-SUM($G716:AC716)*$B721,0)))*CHOOSE($D714,1,Параметры!AC$53,Параметры!AC$59)</f>
        <v>0</v>
      </c>
      <c r="AD729" s="185">
        <f>IF(SUM($G723:AD723)&gt;0.01,0,MAX(SUM($G714:AD714)+$B715-SUM($G716:AD716),0)+IF($B719=0,0,MAX(SUM($G721:AD721)-SUM($G716:AD716)*$B721,0)))*CHOOSE($D714,1,Параметры!AD$53,Параметры!AD$59)</f>
        <v>0</v>
      </c>
      <c r="AE729" s="185">
        <f>IF(SUM($G723:AE723)&gt;0.01,0,MAX(SUM($G714:AE714)+$B715-SUM($G716:AE716),0)+IF($B719=0,0,MAX(SUM($G721:AE721)-SUM($G716:AE716)*$B721,0)))*CHOOSE($D714,1,Параметры!AE$53,Параметры!AE$59)</f>
        <v>0</v>
      </c>
      <c r="AF729" s="185">
        <f>IF(SUM($G723:AF723)&gt;0.01,0,MAX(SUM($G714:AF714)+$B715-SUM($G716:AF716),0)+IF($B719=0,0,MAX(SUM($G721:AF721)-SUM($G716:AF716)*$B721,0)))*CHOOSE($D714,1,Параметры!AF$53,Параметры!AF$59)</f>
        <v>0</v>
      </c>
      <c r="AG729" s="185">
        <f>IF(SUM($G723:AG723)&gt;0.01,0,MAX(SUM($G714:AG714)+$B715-SUM($G716:AG716),0)+IF($B719=0,0,MAX(SUM($G721:AG721)-SUM($G716:AG716)*$B721,0)))*CHOOSE($D714,1,Параметры!AG$53,Параметры!AG$59)</f>
        <v>0</v>
      </c>
      <c r="AH729" s="185">
        <f>IF(SUM($G723:AH723)&gt;0.01,0,MAX(SUM($G714:AH714)+$B715-SUM($G716:AH716),0)+IF($B719=0,0,MAX(SUM($G721:AH721)-SUM($G716:AH716)*$B721,0)))*CHOOSE($D714,1,Параметры!AH$53,Параметры!AH$59)</f>
        <v>0</v>
      </c>
      <c r="AI729" s="185">
        <f>IF(SUM($G723:AI723)&gt;0.01,0,MAX(SUM($G714:AI714)+$B715-SUM($G716:AI716),0)+IF($B719=0,0,MAX(SUM($G721:AI721)-SUM($G716:AI716)*$B721,0)))*CHOOSE($D714,1,Параметры!AI$53,Параметры!AI$59)</f>
        <v>0</v>
      </c>
      <c r="AJ729" s="185">
        <f>IF(SUM($G723:AJ723)&gt;0.01,0,MAX(SUM($G714:AJ714)+$B715-SUM($G716:AJ716),0)+IF($B719=0,0,MAX(SUM($G721:AJ721)-SUM($G716:AJ716)*$B721,0)))*CHOOSE($D714,1,Параметры!AJ$53,Параметры!AJ$59)</f>
        <v>0</v>
      </c>
      <c r="AK729" s="185">
        <f>IF(SUM($G723:AK723)&gt;0.01,0,MAX(SUM($G714:AK714)+$B715-SUM($G716:AK716),0)+IF($B719=0,0,MAX(SUM($G721:AK721)-SUM($G716:AK716)*$B721,0)))*CHOOSE($D714,1,Параметры!AK$53,Параметры!AK$59)</f>
        <v>0</v>
      </c>
      <c r="AL729" s="185">
        <f>IF(SUM($G723:AL723)&gt;0.01,0,MAX(SUM($G714:AL714)+$B715-SUM($G716:AL716),0)+IF($B719=0,0,MAX(SUM($G721:AL721)-SUM($G716:AL716)*$B721,0)))*CHOOSE($D714,1,Параметры!AL$53,Параметры!AL$59)</f>
        <v>0</v>
      </c>
      <c r="AM729" s="185">
        <f>IF(SUM($G723:AM723)&gt;0.01,0,MAX(SUM($G714:AM714)+$B715-SUM($G716:AM716),0)+IF($B719=0,0,MAX(SUM($G721:AM721)-SUM($G716:AM716)*$B721,0)))*CHOOSE($D714,1,Параметры!AM$53,Параметры!AM$59)</f>
        <v>0</v>
      </c>
      <c r="AN729" s="185">
        <f>IF(SUM($G723:AN723)&gt;0.01,0,MAX(SUM($G714:AN714)+$B715-SUM($G716:AN716),0)+IF($B719=0,0,MAX(SUM($G721:AN721)-SUM($G716:AN716)*$B721,0)))*CHOOSE($D714,1,Параметры!AN$53,Параметры!AN$59)</f>
        <v>0</v>
      </c>
      <c r="AO729" s="185">
        <f>IF(SUM($G723:AO723)&gt;0.01,0,MAX(SUM($G714:AO714)+$B715-SUM($G716:AO716),0)+IF($B719=0,0,MAX(SUM($G721:AO721)-SUM($G716:AO716)*$B721,0)))*CHOOSE($D714,1,Параметры!AO$53,Параметры!AO$59)</f>
        <v>0</v>
      </c>
      <c r="AP729" s="185">
        <f>IF(SUM($G723:AP723)&gt;0.01,0,MAX(SUM($G714:AP714)+$B715-SUM($G716:AP716),0)+IF($B719=0,0,MAX(SUM($G721:AP721)-SUM($G716:AP716)*$B721,0)))*CHOOSE($D714,1,Параметры!AP$53,Параметры!AP$59)</f>
        <v>0</v>
      </c>
      <c r="AQ729" s="185">
        <f>IF(SUM($G723:AQ723)&gt;0.01,0,MAX(SUM($G714:AQ714)+$B715-SUM($G716:AQ716),0)+IF($B719=0,0,MAX(SUM($G721:AQ721)-SUM($G716:AQ716)*$B721,0)))*CHOOSE($D714,1,Параметры!AQ$53,Параметры!AQ$59)</f>
        <v>0</v>
      </c>
      <c r="AR729" s="185">
        <f>IF(SUM($G723:AR723)&gt;0.01,0,MAX(SUM($G714:AR714)+$B715-SUM($G716:AR716),0)+IF($B719=0,0,MAX(SUM($G721:AR721)-SUM($G716:AR716)*$B721,0)))*CHOOSE($D714,1,Параметры!AR$53,Параметры!AR$59)</f>
        <v>0</v>
      </c>
      <c r="AS729" s="185">
        <f>IF(SUM($G723:AS723)&gt;0.01,0,MAX(SUM($G714:AS714)+$B715-SUM($G716:AS716),0)+IF($B719=0,0,MAX(SUM($G721:AS721)-SUM($G716:AS716)*$B721,0)))*CHOOSE($D714,1,Параметры!AS$53,Параметры!AS$59)</f>
        <v>0</v>
      </c>
      <c r="AT729" s="185">
        <f>IF(SUM($G723:AT723)&gt;0.01,0,MAX(SUM($G714:AT714)+$B715-SUM($G716:AT716),0)+IF($B719=0,0,MAX(SUM($G721:AT721)-SUM($G716:AT716)*$B721,0)))*CHOOSE($D714,1,Параметры!AT$53,Параметры!AT$59)</f>
        <v>0</v>
      </c>
      <c r="AU729" s="185">
        <f>IF(SUM($G723:AU723)&gt;0.01,0,MAX(SUM($G714:AU714)+$B715-SUM($G716:AU716),0)+IF($B719=0,0,MAX(SUM($G721:AU721)-SUM($G716:AU716)*$B721,0)))*CHOOSE($D714,1,Параметры!AU$53,Параметры!AU$59)</f>
        <v>0</v>
      </c>
      <c r="AV729" s="185">
        <f>IF(SUM($G723:AV723)&gt;0.01,0,MAX(SUM($G714:AV714)+$B715-SUM($G716:AV716),0)+IF($B719=0,0,MAX(SUM($G721:AV721)-SUM($G716:AV716)*$B721,0)))*CHOOSE($D714,1,Параметры!AV$53,Параметры!AV$59)</f>
        <v>0</v>
      </c>
      <c r="AW729" s="180"/>
      <c r="AX729" s="87"/>
    </row>
    <row r="730" spans="1:50" hidden="1" outlineLevel="1" x14ac:dyDescent="0.2">
      <c r="A730" s="217" t="str">
        <f ca="1">Language!A$898</f>
        <v>кредиторская задолженность</v>
      </c>
      <c r="B730" s="57"/>
      <c r="C730" s="82" t="str">
        <f t="shared" ca="1" si="3245"/>
        <v>тыс. руб.</v>
      </c>
      <c r="D730" s="66">
        <v>1</v>
      </c>
      <c r="E730" s="57" t="s">
        <v>759</v>
      </c>
      <c r="F730" s="57" t="s">
        <v>754</v>
      </c>
      <c r="G730" s="185">
        <f>IF(SUM($G723:G723)&gt;0.01,0,MAX(SUM($G716:G716)-SUM($G714:G714)-$B715,0)+IF($B719=0,0,MAX(SUM($G716:G716)*$B721-SUM($G721:G721),0)))*CHOOSE($D714,1,Параметры!G$53,Параметры!G$59)</f>
        <v>96000</v>
      </c>
      <c r="H730" s="185">
        <f>IF(SUM($G723:H723)&gt;0.01,0,MAX(SUM($G716:H716)-SUM($G714:H714)-$B715,0)+IF($B719=0,0,MAX(SUM($G716:H716)*$B721-SUM($G721:H721),0)))*CHOOSE($D714,1,Параметры!H$53,Параметры!H$59)</f>
        <v>64000</v>
      </c>
      <c r="I730" s="185">
        <f>IF(SUM($G723:I723)&gt;0.01,0,MAX(SUM($G716:I716)-SUM($G714:I714)-$B715,0)+IF($B719=0,0,MAX(SUM($G716:I716)*$B721-SUM($G721:I721),0)))*CHOOSE($D714,1,Параметры!I$53,Параметры!I$59)</f>
        <v>32000</v>
      </c>
      <c r="J730" s="185">
        <f>IF(SUM($G723:J723)&gt;0.01,0,MAX(SUM($G716:J716)-SUM($G714:J714)-$B715,0)+IF($B719=0,0,MAX(SUM($G716:J716)*$B721-SUM($G721:J721),0)))*CHOOSE($D714,1,Параметры!J$53,Параметры!J$59)</f>
        <v>0</v>
      </c>
      <c r="K730" s="185">
        <f>IF(SUM($G723:K723)&gt;0.01,0,MAX(SUM($G716:K716)-SUM($G714:K714)-$B715,0)+IF($B719=0,0,MAX(SUM($G716:K716)*$B721-SUM($G721:K721),0)))*CHOOSE($D714,1,Параметры!K$53,Параметры!K$59)</f>
        <v>0</v>
      </c>
      <c r="L730" s="185">
        <f>IF(SUM($G723:L723)&gt;0.01,0,MAX(SUM($G716:L716)-SUM($G714:L714)-$B715,0)+IF($B719=0,0,MAX(SUM($G716:L716)*$B721-SUM($G721:L721),0)))*CHOOSE($D714,1,Параметры!L$53,Параметры!L$59)</f>
        <v>0</v>
      </c>
      <c r="M730" s="185">
        <f>IF(SUM($G723:M723)&gt;0.01,0,MAX(SUM($G716:M716)-SUM($G714:M714)-$B715,0)+IF($B719=0,0,MAX(SUM($G716:M716)*$B721-SUM($G721:M721),0)))*CHOOSE($D714,1,Параметры!M$53,Параметры!M$59)</f>
        <v>0</v>
      </c>
      <c r="N730" s="185">
        <f>IF(SUM($G723:N723)&gt;0.01,0,MAX(SUM($G716:N716)-SUM($G714:N714)-$B715,0)+IF($B719=0,0,MAX(SUM($G716:N716)*$B721-SUM($G721:N721),0)))*CHOOSE($D714,1,Параметры!N$53,Параметры!N$59)</f>
        <v>0</v>
      </c>
      <c r="O730" s="185">
        <f>IF(SUM($G723:O723)&gt;0.01,0,MAX(SUM($G716:O716)-SUM($G714:O714)-$B715,0)+IF($B719=0,0,MAX(SUM($G716:O716)*$B721-SUM($G721:O721),0)))*CHOOSE($D714,1,Параметры!O$53,Параметры!O$59)</f>
        <v>0</v>
      </c>
      <c r="P730" s="185">
        <f>IF(SUM($G723:P723)&gt;0.01,0,MAX(SUM($G716:P716)-SUM($G714:P714)-$B715,0)+IF($B719=0,0,MAX(SUM($G716:P716)*$B721-SUM($G721:P721),0)))*CHOOSE($D714,1,Параметры!P$53,Параметры!P$59)</f>
        <v>0</v>
      </c>
      <c r="Q730" s="185">
        <f>IF(SUM($G723:Q723)&gt;0.01,0,MAX(SUM($G716:Q716)-SUM($G714:Q714)-$B715,0)+IF($B719=0,0,MAX(SUM($G716:Q716)*$B721-SUM($G721:Q721),0)))*CHOOSE($D714,1,Параметры!Q$53,Параметры!Q$59)</f>
        <v>0</v>
      </c>
      <c r="R730" s="185">
        <f>IF(SUM($G723:R723)&gt;0.01,0,MAX(SUM($G716:R716)-SUM($G714:R714)-$B715,0)+IF($B719=0,0,MAX(SUM($G716:R716)*$B721-SUM($G721:R721),0)))*CHOOSE($D714,1,Параметры!R$53,Параметры!R$59)</f>
        <v>0</v>
      </c>
      <c r="S730" s="185">
        <f>IF(SUM($G723:S723)&gt;0.01,0,MAX(SUM($G716:S716)-SUM($G714:S714)-$B715,0)+IF($B719=0,0,MAX(SUM($G716:S716)*$B721-SUM($G721:S721),0)))*CHOOSE($D714,1,Параметры!S$53,Параметры!S$59)</f>
        <v>0</v>
      </c>
      <c r="T730" s="185">
        <f>IF(SUM($G723:T723)&gt;0.01,0,MAX(SUM($G716:T716)-SUM($G714:T714)-$B715,0)+IF($B719=0,0,MAX(SUM($G716:T716)*$B721-SUM($G721:T721),0)))*CHOOSE($D714,1,Параметры!T$53,Параметры!T$59)</f>
        <v>0</v>
      </c>
      <c r="U730" s="185">
        <f>IF(SUM($G723:U723)&gt;0.01,0,MAX(SUM($G716:U716)-SUM($G714:U714)-$B715,0)+IF($B719=0,0,MAX(SUM($G716:U716)*$B721-SUM($G721:U721),0)))*CHOOSE($D714,1,Параметры!U$53,Параметры!U$59)</f>
        <v>0</v>
      </c>
      <c r="V730" s="185">
        <f>IF(SUM($G723:V723)&gt;0.01,0,MAX(SUM($G716:V716)-SUM($G714:V714)-$B715,0)+IF($B719=0,0,MAX(SUM($G716:V716)*$B721-SUM($G721:V721),0)))*CHOOSE($D714,1,Параметры!V$53,Параметры!V$59)</f>
        <v>0</v>
      </c>
      <c r="W730" s="185">
        <f>IF(SUM($G723:W723)&gt;0.01,0,MAX(SUM($G716:W716)-SUM($G714:W714)-$B715,0)+IF($B719=0,0,MAX(SUM($G716:W716)*$B721-SUM($G721:W721),0)))*CHOOSE($D714,1,Параметры!W$53,Параметры!W$59)</f>
        <v>0</v>
      </c>
      <c r="X730" s="185">
        <f>IF(SUM($G723:X723)&gt;0.01,0,MAX(SUM($G716:X716)-SUM($G714:X714)-$B715,0)+IF($B719=0,0,MAX(SUM($G716:X716)*$B721-SUM($G721:X721),0)))*CHOOSE($D714,1,Параметры!X$53,Параметры!X$59)</f>
        <v>0</v>
      </c>
      <c r="Y730" s="185">
        <f>IF(SUM($G723:Y723)&gt;0.01,0,MAX(SUM($G716:Y716)-SUM($G714:Y714)-$B715,0)+IF($B719=0,0,MAX(SUM($G716:Y716)*$B721-SUM($G721:Y721),0)))*CHOOSE($D714,1,Параметры!Y$53,Параметры!Y$59)</f>
        <v>0</v>
      </c>
      <c r="Z730" s="185">
        <f>IF(SUM($G723:Z723)&gt;0.01,0,MAX(SUM($G716:Z716)-SUM($G714:Z714)-$B715,0)+IF($B719=0,0,MAX(SUM($G716:Z716)*$B721-SUM($G721:Z721),0)))*CHOOSE($D714,1,Параметры!Z$53,Параметры!Z$59)</f>
        <v>0</v>
      </c>
      <c r="AA730" s="185">
        <f>IF(SUM($G723:AA723)&gt;0.01,0,MAX(SUM($G716:AA716)-SUM($G714:AA714)-$B715,0)+IF($B719=0,0,MAX(SUM($G716:AA716)*$B721-SUM($G721:AA721),0)))*CHOOSE($D714,1,Параметры!AA$53,Параметры!AA$59)</f>
        <v>0</v>
      </c>
      <c r="AB730" s="185">
        <f>IF(SUM($G723:AB723)&gt;0.01,0,MAX(SUM($G716:AB716)-SUM($G714:AB714)-$B715,0)+IF($B719=0,0,MAX(SUM($G716:AB716)*$B721-SUM($G721:AB721),0)))*CHOOSE($D714,1,Параметры!AB$53,Параметры!AB$59)</f>
        <v>0</v>
      </c>
      <c r="AC730" s="185">
        <f>IF(SUM($G723:AC723)&gt;0.01,0,MAX(SUM($G716:AC716)-SUM($G714:AC714)-$B715,0)+IF($B719=0,0,MAX(SUM($G716:AC716)*$B721-SUM($G721:AC721),0)))*CHOOSE($D714,1,Параметры!AC$53,Параметры!AC$59)</f>
        <v>0</v>
      </c>
      <c r="AD730" s="185">
        <f>IF(SUM($G723:AD723)&gt;0.01,0,MAX(SUM($G716:AD716)-SUM($G714:AD714)-$B715,0)+IF($B719=0,0,MAX(SUM($G716:AD716)*$B721-SUM($G721:AD721),0)))*CHOOSE($D714,1,Параметры!AD$53,Параметры!AD$59)</f>
        <v>0</v>
      </c>
      <c r="AE730" s="185">
        <f>IF(SUM($G723:AE723)&gt;0.01,0,MAX(SUM($G716:AE716)-SUM($G714:AE714)-$B715,0)+IF($B719=0,0,MAX(SUM($G716:AE716)*$B721-SUM($G721:AE721),0)))*CHOOSE($D714,1,Параметры!AE$53,Параметры!AE$59)</f>
        <v>0</v>
      </c>
      <c r="AF730" s="185">
        <f>IF(SUM($G723:AF723)&gt;0.01,0,MAX(SUM($G716:AF716)-SUM($G714:AF714)-$B715,0)+IF($B719=0,0,MAX(SUM($G716:AF716)*$B721-SUM($G721:AF721),0)))*CHOOSE($D714,1,Параметры!AF$53,Параметры!AF$59)</f>
        <v>0</v>
      </c>
      <c r="AG730" s="185">
        <f>IF(SUM($G723:AG723)&gt;0.01,0,MAX(SUM($G716:AG716)-SUM($G714:AG714)-$B715,0)+IF($B719=0,0,MAX(SUM($G716:AG716)*$B721-SUM($G721:AG721),0)))*CHOOSE($D714,1,Параметры!AG$53,Параметры!AG$59)</f>
        <v>0</v>
      </c>
      <c r="AH730" s="185">
        <f>IF(SUM($G723:AH723)&gt;0.01,0,MAX(SUM($G716:AH716)-SUM($G714:AH714)-$B715,0)+IF($B719=0,0,MAX(SUM($G716:AH716)*$B721-SUM($G721:AH721),0)))*CHOOSE($D714,1,Параметры!AH$53,Параметры!AH$59)</f>
        <v>0</v>
      </c>
      <c r="AI730" s="185">
        <f>IF(SUM($G723:AI723)&gt;0.01,0,MAX(SUM($G716:AI716)-SUM($G714:AI714)-$B715,0)+IF($B719=0,0,MAX(SUM($G716:AI716)*$B721-SUM($G721:AI721),0)))*CHOOSE($D714,1,Параметры!AI$53,Параметры!AI$59)</f>
        <v>0</v>
      </c>
      <c r="AJ730" s="185">
        <f>IF(SUM($G723:AJ723)&gt;0.01,0,MAX(SUM($G716:AJ716)-SUM($G714:AJ714)-$B715,0)+IF($B719=0,0,MAX(SUM($G716:AJ716)*$B721-SUM($G721:AJ721),0)))*CHOOSE($D714,1,Параметры!AJ$53,Параметры!AJ$59)</f>
        <v>0</v>
      </c>
      <c r="AK730" s="185">
        <f>IF(SUM($G723:AK723)&gt;0.01,0,MAX(SUM($G716:AK716)-SUM($G714:AK714)-$B715,0)+IF($B719=0,0,MAX(SUM($G716:AK716)*$B721-SUM($G721:AK721),0)))*CHOOSE($D714,1,Параметры!AK$53,Параметры!AK$59)</f>
        <v>0</v>
      </c>
      <c r="AL730" s="185">
        <f>IF(SUM($G723:AL723)&gt;0.01,0,MAX(SUM($G716:AL716)-SUM($G714:AL714)-$B715,0)+IF($B719=0,0,MAX(SUM($G716:AL716)*$B721-SUM($G721:AL721),0)))*CHOOSE($D714,1,Параметры!AL$53,Параметры!AL$59)</f>
        <v>0</v>
      </c>
      <c r="AM730" s="185">
        <f>IF(SUM($G723:AM723)&gt;0.01,0,MAX(SUM($G716:AM716)-SUM($G714:AM714)-$B715,0)+IF($B719=0,0,MAX(SUM($G716:AM716)*$B721-SUM($G721:AM721),0)))*CHOOSE($D714,1,Параметры!AM$53,Параметры!AM$59)</f>
        <v>0</v>
      </c>
      <c r="AN730" s="185">
        <f>IF(SUM($G723:AN723)&gt;0.01,0,MAX(SUM($G716:AN716)-SUM($G714:AN714)-$B715,0)+IF($B719=0,0,MAX(SUM($G716:AN716)*$B721-SUM($G721:AN721),0)))*CHOOSE($D714,1,Параметры!AN$53,Параметры!AN$59)</f>
        <v>0</v>
      </c>
      <c r="AO730" s="185">
        <f>IF(SUM($G723:AO723)&gt;0.01,0,MAX(SUM($G716:AO716)-SUM($G714:AO714)-$B715,0)+IF($B719=0,0,MAX(SUM($G716:AO716)*$B721-SUM($G721:AO721),0)))*CHOOSE($D714,1,Параметры!AO$53,Параметры!AO$59)</f>
        <v>0</v>
      </c>
      <c r="AP730" s="185">
        <f>IF(SUM($G723:AP723)&gt;0.01,0,MAX(SUM($G716:AP716)-SUM($G714:AP714)-$B715,0)+IF($B719=0,0,MAX(SUM($G716:AP716)*$B721-SUM($G721:AP721),0)))*CHOOSE($D714,1,Параметры!AP$53,Параметры!AP$59)</f>
        <v>0</v>
      </c>
      <c r="AQ730" s="185">
        <f>IF(SUM($G723:AQ723)&gt;0.01,0,MAX(SUM($G716:AQ716)-SUM($G714:AQ714)-$B715,0)+IF($B719=0,0,MAX(SUM($G716:AQ716)*$B721-SUM($G721:AQ721),0)))*CHOOSE($D714,1,Параметры!AQ$53,Параметры!AQ$59)</f>
        <v>0</v>
      </c>
      <c r="AR730" s="185">
        <f>IF(SUM($G723:AR723)&gt;0.01,0,MAX(SUM($G716:AR716)-SUM($G714:AR714)-$B715,0)+IF($B719=0,0,MAX(SUM($G716:AR716)*$B721-SUM($G721:AR721),0)))*CHOOSE($D714,1,Параметры!AR$53,Параметры!AR$59)</f>
        <v>0</v>
      </c>
      <c r="AS730" s="185">
        <f>IF(SUM($G723:AS723)&gt;0.01,0,MAX(SUM($G716:AS716)-SUM($G714:AS714)-$B715,0)+IF($B719=0,0,MAX(SUM($G716:AS716)*$B721-SUM($G721:AS721),0)))*CHOOSE($D714,1,Параметры!AS$53,Параметры!AS$59)</f>
        <v>0</v>
      </c>
      <c r="AT730" s="185">
        <f>IF(SUM($G723:AT723)&gt;0.01,0,MAX(SUM($G716:AT716)-SUM($G714:AT714)-$B715,0)+IF($B719=0,0,MAX(SUM($G716:AT716)*$B721-SUM($G721:AT721),0)))*CHOOSE($D714,1,Параметры!AT$53,Параметры!AT$59)</f>
        <v>0</v>
      </c>
      <c r="AU730" s="185">
        <f>IF(SUM($G723:AU723)&gt;0.01,0,MAX(SUM($G716:AU716)-SUM($G714:AU714)-$B715,0)+IF($B719=0,0,MAX(SUM($G716:AU716)*$B721-SUM($G721:AU721),0)))*CHOOSE($D714,1,Параметры!AU$53,Параметры!AU$59)</f>
        <v>0</v>
      </c>
      <c r="AV730" s="185">
        <f>IF(SUM($G723:AV723)&gt;0.01,0,MAX(SUM($G716:AV716)-SUM($G714:AV714)-$B715,0)+IF($B719=0,0,MAX(SUM($G716:AV716)*$B721-SUM($G721:AV721),0)))*CHOOSE($D714,1,Параметры!AV$53,Параметры!AV$59)</f>
        <v>0</v>
      </c>
      <c r="AW730" s="180"/>
      <c r="AX730" s="87"/>
    </row>
    <row r="731" spans="1:50" hidden="1" outlineLevel="1" x14ac:dyDescent="0.2">
      <c r="A731" s="217" t="str">
        <f ca="1">Language!A$899</f>
        <v>амортизация (бухгалтерская)</v>
      </c>
      <c r="B731" s="219"/>
      <c r="C731" s="82" t="str">
        <f t="shared" ca="1" si="3245"/>
        <v>тыс. руб.</v>
      </c>
      <c r="D731" s="66">
        <v>1</v>
      </c>
      <c r="E731" s="57" t="s">
        <v>762</v>
      </c>
      <c r="F731" s="57" t="s">
        <v>753</v>
      </c>
      <c r="G731" s="185">
        <f ca="1">IF(SUM($G723:G723)&gt;0.01,0,IF($B717=0,0,MIN((SUM($G727:G727)-IF(G$2&gt;$B717*12/Prj_Step,SUM($G727:OFFSET(G727,0,-$B717*12/Prj_Step)),0))*IF($B719=0,1,(1+$B721))/$B717/12*Параметры!G$31,IF(G$2=1,G727,F732+SUM($F727:G727)*IF($B719=0,1,(1+$B721))-SUM($F727:F727)*IF($B719=0,1,(1+$B721))))))</f>
        <v>3400</v>
      </c>
      <c r="H731" s="185">
        <f ca="1">IF(SUM($G723:H723)&gt;0.01,0,IF($B717=0,0,MIN((SUM($G727:H727)-IF(H$2&gt;$B717*12/Prj_Step,SUM($G727:OFFSET(H727,0,-$B717*12/Prj_Step)),0))*IF($B719=0,1,(1+$B721))/$B717/12*Параметры!H$31,IF(H$2=1,H727,G732+SUM($F727:H727)*IF($B719=0,1,(1+$B721))-SUM($F727:G727)*IF($B719=0,1,(1+$B721))))))</f>
        <v>3400</v>
      </c>
      <c r="I731" s="185">
        <f ca="1">IF(SUM($G723:I723)&gt;0.01,0,IF($B717=0,0,MIN((SUM($G727:I727)-IF(I$2&gt;$B717*12/Prj_Step,SUM($G727:OFFSET(I727,0,-$B717*12/Prj_Step)),0))*IF($B719=0,1,(1+$B721))/$B717/12*Параметры!I$31,IF(I$2=1,I727,H732+SUM($F727:I727)*IF($B719=0,1,(1+$B721))-SUM($F727:H727)*IF($B719=0,1,(1+$B721))))))</f>
        <v>3400</v>
      </c>
      <c r="J731" s="185">
        <f ca="1">IF(SUM($G723:J723)&gt;0.01,0,IF($B717=0,0,MIN((SUM($G727:J727)-IF(J$2&gt;$B717*12/Prj_Step,SUM($G727:OFFSET(J727,0,-$B717*12/Prj_Step)),0))*IF($B719=0,1,(1+$B721))/$B717/12*Параметры!J$31,IF(J$2=1,J727,I732+SUM($F727:J727)*IF($B719=0,1,(1+$B721))-SUM($F727:I727)*IF($B719=0,1,(1+$B721))))))</f>
        <v>3400</v>
      </c>
      <c r="K731" s="185">
        <f ca="1">IF(SUM($G723:K723)&gt;0.01,0,IF($B717=0,0,MIN((SUM($G727:K727)-IF(K$2&gt;$B717*12/Prj_Step,SUM($G727:OFFSET(K727,0,-$B717*12/Prj_Step)),0))*IF($B719=0,1,(1+$B721))/$B717/12*Параметры!K$31,IF(K$2=1,K727,J732+SUM($F727:K727)*IF($B719=0,1,(1+$B721))-SUM($F727:J727)*IF($B719=0,1,(1+$B721))))))</f>
        <v>3400</v>
      </c>
      <c r="L731" s="185">
        <f ca="1">IF(SUM($G723:L723)&gt;0.01,0,IF($B717=0,0,MIN((SUM($G727:L727)-IF(L$2&gt;$B717*12/Prj_Step,SUM($G727:OFFSET(L727,0,-$B717*12/Prj_Step)),0))*IF($B719=0,1,(1+$B721))/$B717/12*Параметры!L$31,IF(L$2=1,L727,K732+SUM($F727:L727)*IF($B719=0,1,(1+$B721))-SUM($F727:K727)*IF($B719=0,1,(1+$B721))))))</f>
        <v>3400</v>
      </c>
      <c r="M731" s="185">
        <f ca="1">IF(SUM($G723:M723)&gt;0.01,0,IF($B717=0,0,MIN((SUM($G727:M727)-IF(M$2&gt;$B717*12/Prj_Step,SUM($G727:OFFSET(M727,0,-$B717*12/Prj_Step)),0))*IF($B719=0,1,(1+$B721))/$B717/12*Параметры!M$31,IF(M$2=1,M727,L732+SUM($F727:M727)*IF($B719=0,1,(1+$B721))-SUM($F727:L727)*IF($B719=0,1,(1+$B721))))))</f>
        <v>3400</v>
      </c>
      <c r="N731" s="185">
        <f ca="1">IF(SUM($G723:N723)&gt;0.01,0,IF($B717=0,0,MIN((SUM($G727:N727)-IF(N$2&gt;$B717*12/Prj_Step,SUM($G727:OFFSET(N727,0,-$B717*12/Prj_Step)),0))*IF($B719=0,1,(1+$B721))/$B717/12*Параметры!N$31,IF(N$2=1,N727,M732+SUM($F727:N727)*IF($B719=0,1,(1+$B721))-SUM($F727:M727)*IF($B719=0,1,(1+$B721))))))</f>
        <v>3400</v>
      </c>
      <c r="O731" s="185">
        <f ca="1">IF(SUM($G723:O723)&gt;0.01,0,IF($B717=0,0,MIN((SUM($G727:O727)-IF(O$2&gt;$B717*12/Prj_Step,SUM($G727:OFFSET(O727,0,-$B717*12/Prj_Step)),0))*IF($B719=0,1,(1+$B721))/$B717/12*Параметры!O$31,IF(O$2=1,O727,N732+SUM($F727:O727)*IF($B719=0,1,(1+$B721))-SUM($F727:N727)*IF($B719=0,1,(1+$B721))))))</f>
        <v>3400</v>
      </c>
      <c r="P731" s="185">
        <f ca="1">IF(SUM($G723:P723)&gt;0.01,0,IF($B717=0,0,MIN((SUM($G727:P727)-IF(P$2&gt;$B717*12/Prj_Step,SUM($G727:OFFSET(P727,0,-$B717*12/Prj_Step)),0))*IF($B719=0,1,(1+$B721))/$B717/12*Параметры!P$31,IF(P$2=1,P727,O732+SUM($F727:P727)*IF($B719=0,1,(1+$B721))-SUM($F727:O727)*IF($B719=0,1,(1+$B721))))))</f>
        <v>3400</v>
      </c>
      <c r="Q731" s="185">
        <f ca="1">IF(SUM($G723:Q723)&gt;0.01,0,IF($B717=0,0,MIN((SUM($G727:Q727)-IF(Q$2&gt;$B717*12/Prj_Step,SUM($G727:OFFSET(Q727,0,-$B717*12/Prj_Step)),0))*IF($B719=0,1,(1+$B721))/$B717/12*Параметры!Q$31,IF(Q$2=1,Q727,P732+SUM($F727:Q727)*IF($B719=0,1,(1+$B721))-SUM($F727:P727)*IF($B719=0,1,(1+$B721))))))</f>
        <v>3400</v>
      </c>
      <c r="R731" s="185">
        <f ca="1">IF(SUM($G723:R723)&gt;0.01,0,IF($B717=0,0,MIN((SUM($G727:R727)-IF(R$2&gt;$B717*12/Prj_Step,SUM($G727:OFFSET(R727,0,-$B717*12/Prj_Step)),0))*IF($B719=0,1,(1+$B721))/$B717/12*Параметры!R$31,IF(R$2=1,R727,Q732+SUM($F727:R727)*IF($B719=0,1,(1+$B721))-SUM($F727:Q727)*IF($B719=0,1,(1+$B721))))))</f>
        <v>3400</v>
      </c>
      <c r="S731" s="185">
        <f ca="1">IF(SUM($G723:S723)&gt;0.01,0,IF($B717=0,0,MIN((SUM($G727:S727)-IF(S$2&gt;$B717*12/Prj_Step,SUM($G727:OFFSET(S727,0,-$B717*12/Prj_Step)),0))*IF($B719=0,1,(1+$B721))/$B717/12*Параметры!S$31,IF(S$2=1,S727,R732+SUM($F727:S727)*IF($B719=0,1,(1+$B721))-SUM($F727:R727)*IF($B719=0,1,(1+$B721))))))</f>
        <v>3400</v>
      </c>
      <c r="T731" s="185">
        <f ca="1">IF(SUM($G723:T723)&gt;0.01,0,IF($B717=0,0,MIN((SUM($G727:T727)-IF(T$2&gt;$B717*12/Prj_Step,SUM($G727:OFFSET(T727,0,-$B717*12/Prj_Step)),0))*IF($B719=0,1,(1+$B721))/$B717/12*Параметры!T$31,IF(T$2=1,T727,S732+SUM($F727:T727)*IF($B719=0,1,(1+$B721))-SUM($F727:S727)*IF($B719=0,1,(1+$B721))))))</f>
        <v>3400</v>
      </c>
      <c r="U731" s="185">
        <f ca="1">IF(SUM($G723:U723)&gt;0.01,0,IF($B717=0,0,MIN((SUM($G727:U727)-IF(U$2&gt;$B717*12/Prj_Step,SUM($G727:OFFSET(U727,0,-$B717*12/Prj_Step)),0))*IF($B719=0,1,(1+$B721))/$B717/12*Параметры!U$31,IF(U$2=1,U727,T732+SUM($F727:U727)*IF($B719=0,1,(1+$B721))-SUM($F727:T727)*IF($B719=0,1,(1+$B721))))))</f>
        <v>3400</v>
      </c>
      <c r="V731" s="185">
        <f ca="1">IF(SUM($G723:V723)&gt;0.01,0,IF($B717=0,0,MIN((SUM($G727:V727)-IF(V$2&gt;$B717*12/Prj_Step,SUM($G727:OFFSET(V727,0,-$B717*12/Prj_Step)),0))*IF($B719=0,1,(1+$B721))/$B717/12*Параметры!V$31,IF(V$2=1,V727,U732+SUM($F727:V727)*IF($B719=0,1,(1+$B721))-SUM($F727:U727)*IF($B719=0,1,(1+$B721))))))</f>
        <v>3400</v>
      </c>
      <c r="W731" s="185">
        <f ca="1">IF(SUM($G723:W723)&gt;0.01,0,IF($B717=0,0,MIN((SUM($G727:W727)-IF(W$2&gt;$B717*12/Prj_Step,SUM($G727:OFFSET(W727,0,-$B717*12/Prj_Step)),0))*IF($B719=0,1,(1+$B721))/$B717/12*Параметры!W$31,IF(W$2=1,W727,V732+SUM($F727:W727)*IF($B719=0,1,(1+$B721))-SUM($F727:V727)*IF($B719=0,1,(1+$B721))))))</f>
        <v>3400</v>
      </c>
      <c r="X731" s="185">
        <f ca="1">IF(SUM($G723:X723)&gt;0.01,0,IF($B717=0,0,MIN((SUM($G727:X727)-IF(X$2&gt;$B717*12/Prj_Step,SUM($G727:OFFSET(X727,0,-$B717*12/Prj_Step)),0))*IF($B719=0,1,(1+$B721))/$B717/12*Параметры!X$31,IF(X$2=1,X727,W732+SUM($F727:X727)*IF($B719=0,1,(1+$B721))-SUM($F727:W727)*IF($B719=0,1,(1+$B721))))))</f>
        <v>3400</v>
      </c>
      <c r="Y731" s="185">
        <f ca="1">IF(SUM($G723:Y723)&gt;0.01,0,IF($B717=0,0,MIN((SUM($G727:Y727)-IF(Y$2&gt;$B717*12/Prj_Step,SUM($G727:OFFSET(Y727,0,-$B717*12/Prj_Step)),0))*IF($B719=0,1,(1+$B721))/$B717/12*Параметры!Y$31,IF(Y$2=1,Y727,X732+SUM($F727:Y727)*IF($B719=0,1,(1+$B721))-SUM($F727:X727)*IF($B719=0,1,(1+$B721))))))</f>
        <v>3400</v>
      </c>
      <c r="Z731" s="185">
        <f ca="1">IF(SUM($G723:Z723)&gt;0.01,0,IF($B717=0,0,MIN((SUM($G727:Z727)-IF(Z$2&gt;$B717*12/Prj_Step,SUM($G727:OFFSET(Z727,0,-$B717*12/Prj_Step)),0))*IF($B719=0,1,(1+$B721))/$B717/12*Параметры!Z$31,IF(Z$2=1,Z727,Y732+SUM($F727:Z727)*IF($B719=0,1,(1+$B721))-SUM($F727:Y727)*IF($B719=0,1,(1+$B721))))))</f>
        <v>3400</v>
      </c>
      <c r="AA731" s="185">
        <f ca="1">IF(SUM($G723:AA723)&gt;0.01,0,IF($B717=0,0,MIN((SUM($G727:AA727)-IF(AA$2&gt;$B717*12/Prj_Step,SUM($G727:OFFSET(AA727,0,-$B717*12/Prj_Step)),0))*IF($B719=0,1,(1+$B721))/$B717/12*Параметры!AA$31,IF(AA$2=1,AA727,Z732+SUM($F727:AA727)*IF($B719=0,1,(1+$B721))-SUM($F727:Z727)*IF($B719=0,1,(1+$B721))))))</f>
        <v>3400</v>
      </c>
      <c r="AB731" s="185">
        <f ca="1">IF(SUM($G723:AB723)&gt;0.01,0,IF($B717=0,0,MIN((SUM($G727:AB727)-IF(AB$2&gt;$B717*12/Prj_Step,SUM($G727:OFFSET(AB727,0,-$B717*12/Prj_Step)),0))*IF($B719=0,1,(1+$B721))/$B717/12*Параметры!AB$31,IF(AB$2=1,AB727,AA732+SUM($F727:AB727)*IF($B719=0,1,(1+$B721))-SUM($F727:AA727)*IF($B719=0,1,(1+$B721))))))</f>
        <v>3400</v>
      </c>
      <c r="AC731" s="185">
        <f ca="1">IF(SUM($G723:AC723)&gt;0.01,0,IF($B717=0,0,MIN((SUM($G727:AC727)-IF(AC$2&gt;$B717*12/Prj_Step,SUM($G727:OFFSET(AC727,0,-$B717*12/Prj_Step)),0))*IF($B719=0,1,(1+$B721))/$B717/12*Параметры!AC$31,IF(AC$2=1,AC727,AB732+SUM($F727:AC727)*IF($B719=0,1,(1+$B721))-SUM($F727:AB727)*IF($B719=0,1,(1+$B721))))))</f>
        <v>3400</v>
      </c>
      <c r="AD731" s="185">
        <f ca="1">IF(SUM($G723:AD723)&gt;0.01,0,IF($B717=0,0,MIN((SUM($G727:AD727)-IF(AD$2&gt;$B717*12/Prj_Step,SUM($G727:OFFSET(AD727,0,-$B717*12/Prj_Step)),0))*IF($B719=0,1,(1+$B721))/$B717/12*Параметры!AD$31,IF(AD$2=1,AD727,AC732+SUM($F727:AD727)*IF($B719=0,1,(1+$B721))-SUM($F727:AC727)*IF($B719=0,1,(1+$B721))))))</f>
        <v>3400</v>
      </c>
      <c r="AE731" s="185">
        <f ca="1">IF(SUM($G723:AE723)&gt;0.01,0,IF($B717=0,0,MIN((SUM($G727:AE727)-IF(AE$2&gt;$B717*12/Prj_Step,SUM($G727:OFFSET(AE727,0,-$B717*12/Prj_Step)),0))*IF($B719=0,1,(1+$B721))/$B717/12*Параметры!AE$31,IF(AE$2=1,AE727,AD732+SUM($F727:AE727)*IF($B719=0,1,(1+$B721))-SUM($F727:AD727)*IF($B719=0,1,(1+$B721))))))</f>
        <v>3400</v>
      </c>
      <c r="AF731" s="185">
        <f ca="1">IF(SUM($G723:AF723)&gt;0.01,0,IF($B717=0,0,MIN((SUM($G727:AF727)-IF(AF$2&gt;$B717*12/Prj_Step,SUM($G727:OFFSET(AF727,0,-$B717*12/Prj_Step)),0))*IF($B719=0,1,(1+$B721))/$B717/12*Параметры!AF$31,IF(AF$2=1,AF727,AE732+SUM($F727:AF727)*IF($B719=0,1,(1+$B721))-SUM($F727:AE727)*IF($B719=0,1,(1+$B721))))))</f>
        <v>3400</v>
      </c>
      <c r="AG731" s="185">
        <f ca="1">IF(SUM($G723:AG723)&gt;0.01,0,IF($B717=0,0,MIN((SUM($G727:AG727)-IF(AG$2&gt;$B717*12/Prj_Step,SUM($G727:OFFSET(AG727,0,-$B717*12/Prj_Step)),0))*IF($B719=0,1,(1+$B721))/$B717/12*Параметры!AG$31,IF(AG$2=1,AG727,AF732+SUM($F727:AG727)*IF($B719=0,1,(1+$B721))-SUM($F727:AF727)*IF($B719=0,1,(1+$B721))))))</f>
        <v>3400</v>
      </c>
      <c r="AH731" s="185">
        <f ca="1">IF(SUM($G723:AH723)&gt;0.01,0,IF($B717=0,0,MIN((SUM($G727:AH727)-IF(AH$2&gt;$B717*12/Prj_Step,SUM($G727:OFFSET(AH727,0,-$B717*12/Prj_Step)),0))*IF($B719=0,1,(1+$B721))/$B717/12*Параметры!AH$31,IF(AH$2=1,AH727,AG732+SUM($F727:AH727)*IF($B719=0,1,(1+$B721))-SUM($F727:AG727)*IF($B719=0,1,(1+$B721))))))</f>
        <v>3400</v>
      </c>
      <c r="AI731" s="185">
        <f ca="1">IF(SUM($G723:AI723)&gt;0.01,0,IF($B717=0,0,MIN((SUM($G727:AI727)-IF(AI$2&gt;$B717*12/Prj_Step,SUM($G727:OFFSET(AI727,0,-$B717*12/Prj_Step)),0))*IF($B719=0,1,(1+$B721))/$B717/12*Параметры!AI$31,IF(AI$2=1,AI727,AH732+SUM($F727:AI727)*IF($B719=0,1,(1+$B721))-SUM($F727:AH727)*IF($B719=0,1,(1+$B721))))))</f>
        <v>3400</v>
      </c>
      <c r="AJ731" s="185">
        <f ca="1">IF(SUM($G723:AJ723)&gt;0.01,0,IF($B717=0,0,MIN((SUM($G727:AJ727)-IF(AJ$2&gt;$B717*12/Prj_Step,SUM($G727:OFFSET(AJ727,0,-$B717*12/Prj_Step)),0))*IF($B719=0,1,(1+$B721))/$B717/12*Параметры!AJ$31,IF(AJ$2=1,AJ727,AI732+SUM($F727:AJ727)*IF($B719=0,1,(1+$B721))-SUM($F727:AI727)*IF($B719=0,1,(1+$B721))))))</f>
        <v>3400</v>
      </c>
      <c r="AK731" s="185">
        <f ca="1">IF(SUM($G723:AK723)&gt;0.01,0,IF($B717=0,0,MIN((SUM($G727:AK727)-IF(AK$2&gt;$B717*12/Prj_Step,SUM($G727:OFFSET(AK727,0,-$B717*12/Prj_Step)),0))*IF($B719=0,1,(1+$B721))/$B717/12*Параметры!AK$31,IF(AK$2=1,AK727,AJ732+SUM($F727:AK727)*IF($B719=0,1,(1+$B721))-SUM($F727:AJ727)*IF($B719=0,1,(1+$B721))))))</f>
        <v>3400</v>
      </c>
      <c r="AL731" s="185">
        <f ca="1">IF(SUM($G723:AL723)&gt;0.01,0,IF($B717=0,0,MIN((SUM($G727:AL727)-IF(AL$2&gt;$B717*12/Prj_Step,SUM($G727:OFFSET(AL727,0,-$B717*12/Prj_Step)),0))*IF($B719=0,1,(1+$B721))/$B717/12*Параметры!AL$31,IF(AL$2=1,AL727,AK732+SUM($F727:AL727)*IF($B719=0,1,(1+$B721))-SUM($F727:AK727)*IF($B719=0,1,(1+$B721))))))</f>
        <v>3400</v>
      </c>
      <c r="AM731" s="185">
        <f ca="1">IF(SUM($G723:AM723)&gt;0.01,0,IF($B717=0,0,MIN((SUM($G727:AM727)-IF(AM$2&gt;$B717*12/Prj_Step,SUM($G727:OFFSET(AM727,0,-$B717*12/Prj_Step)),0))*IF($B719=0,1,(1+$B721))/$B717/12*Параметры!AM$31,IF(AM$2=1,AM727,AL732+SUM($F727:AM727)*IF($B719=0,1,(1+$B721))-SUM($F727:AL727)*IF($B719=0,1,(1+$B721))))))</f>
        <v>3400</v>
      </c>
      <c r="AN731" s="185">
        <f ca="1">IF(SUM($G723:AN723)&gt;0.01,0,IF($B717=0,0,MIN((SUM($G727:AN727)-IF(AN$2&gt;$B717*12/Prj_Step,SUM($G727:OFFSET(AN727,0,-$B717*12/Prj_Step)),0))*IF($B719=0,1,(1+$B721))/$B717/12*Параметры!AN$31,IF(AN$2=1,AN727,AM732+SUM($F727:AN727)*IF($B719=0,1,(1+$B721))-SUM($F727:AM727)*IF($B719=0,1,(1+$B721))))))</f>
        <v>3400</v>
      </c>
      <c r="AO731" s="185">
        <f ca="1">IF(SUM($G723:AO723)&gt;0.01,0,IF($B717=0,0,MIN((SUM($G727:AO727)-IF(AO$2&gt;$B717*12/Prj_Step,SUM($G727:OFFSET(AO727,0,-$B717*12/Prj_Step)),0))*IF($B719=0,1,(1+$B721))/$B717/12*Параметры!AO$31,IF(AO$2=1,AO727,AN732+SUM($F727:AO727)*IF($B719=0,1,(1+$B721))-SUM($F727:AN727)*IF($B719=0,1,(1+$B721))))))</f>
        <v>3400</v>
      </c>
      <c r="AP731" s="185">
        <f ca="1">IF(SUM($G723:AP723)&gt;0.01,0,IF($B717=0,0,MIN((SUM($G727:AP727)-IF(AP$2&gt;$B717*12/Prj_Step,SUM($G727:OFFSET(AP727,0,-$B717*12/Prj_Step)),0))*IF($B719=0,1,(1+$B721))/$B717/12*Параметры!AP$31,IF(AP$2=1,AP727,AO732+SUM($F727:AP727)*IF($B719=0,1,(1+$B721))-SUM($F727:AO727)*IF($B719=0,1,(1+$B721))))))</f>
        <v>3400</v>
      </c>
      <c r="AQ731" s="185">
        <f ca="1">IF(SUM($G723:AQ723)&gt;0.01,0,IF($B717=0,0,MIN((SUM($G727:AQ727)-IF(AQ$2&gt;$B717*12/Prj_Step,SUM($G727:OFFSET(AQ727,0,-$B717*12/Prj_Step)),0))*IF($B719=0,1,(1+$B721))/$B717/12*Параметры!AQ$31,IF(AQ$2=1,AQ727,AP732+SUM($F727:AQ727)*IF($B719=0,1,(1+$B721))-SUM($F727:AP727)*IF($B719=0,1,(1+$B721))))))</f>
        <v>3400</v>
      </c>
      <c r="AR731" s="185">
        <f ca="1">IF(SUM($G723:AR723)&gt;0.01,0,IF($B717=0,0,MIN((SUM($G727:AR727)-IF(AR$2&gt;$B717*12/Prj_Step,SUM($G727:OFFSET(AR727,0,-$B717*12/Prj_Step)),0))*IF($B719=0,1,(1+$B721))/$B717/12*Параметры!AR$31,IF(AR$2=1,AR727,AQ732+SUM($F727:AR727)*IF($B719=0,1,(1+$B721))-SUM($F727:AQ727)*IF($B719=0,1,(1+$B721))))))</f>
        <v>3400</v>
      </c>
      <c r="AS731" s="185">
        <f ca="1">IF(SUM($G723:AS723)&gt;0.01,0,IF($B717=0,0,MIN((SUM($G727:AS727)-IF(AS$2&gt;$B717*12/Prj_Step,SUM($G727:OFFSET(AS727,0,-$B717*12/Prj_Step)),0))*IF($B719=0,1,(1+$B721))/$B717/12*Параметры!AS$31,IF(AS$2=1,AS727,AR732+SUM($F727:AS727)*IF($B719=0,1,(1+$B721))-SUM($F727:AR727)*IF($B719=0,1,(1+$B721))))))</f>
        <v>3400</v>
      </c>
      <c r="AT731" s="185">
        <f ca="1">IF(SUM($G723:AT723)&gt;0.01,0,IF($B717=0,0,MIN((SUM($G727:AT727)-IF(AT$2&gt;$B717*12/Prj_Step,SUM($G727:OFFSET(AT727,0,-$B717*12/Prj_Step)),0))*IF($B719=0,1,(1+$B721))/$B717/12*Параметры!AT$31,IF(AT$2=1,AT727,AS732+SUM($F727:AT727)*IF($B719=0,1,(1+$B721))-SUM($F727:AS727)*IF($B719=0,1,(1+$B721))))))</f>
        <v>3400</v>
      </c>
      <c r="AU731" s="185">
        <f ca="1">IF(SUM($G723:AU723)&gt;0.01,0,IF($B717=0,0,MIN((SUM($G727:AU727)-IF(AU$2&gt;$B717*12/Prj_Step,SUM($G727:OFFSET(AU727,0,-$B717*12/Prj_Step)),0))*IF($B719=0,1,(1+$B721))/$B717/12*Параметры!AU$31,IF(AU$2=1,AU727,AT732+SUM($F727:AU727)*IF($B719=0,1,(1+$B721))-SUM($F727:AT727)*IF($B719=0,1,(1+$B721))))))</f>
        <v>0</v>
      </c>
      <c r="AV731" s="185">
        <f ca="1">IF(SUM($G723:AV723)&gt;0.01,0,IF($B717=0,0,MIN((SUM($G727:AV727)-IF(AV$2&gt;$B717*12/Prj_Step,SUM($G727:OFFSET(AV727,0,-$B717*12/Prj_Step)),0))*IF($B719=0,1,(1+$B721))/$B717/12*Параметры!AV$31,IF(AV$2=1,AV727,AU732+SUM($F727:AV727)*IF($B719=0,1,(1+$B721))-SUM($F727:AU727)*IF($B719=0,1,(1+$B721))))))</f>
        <v>0</v>
      </c>
      <c r="AW731" s="180"/>
      <c r="AX731" s="189">
        <f ca="1">SUM(G731:AW731)</f>
        <v>136000</v>
      </c>
    </row>
    <row r="732" spans="1:50" hidden="1" outlineLevel="1" x14ac:dyDescent="0.2">
      <c r="A732" s="217" t="str">
        <f ca="1">Language!A$900</f>
        <v>балансовая стоимость (бухгалтерская)</v>
      </c>
      <c r="B732" s="57"/>
      <c r="C732" s="82" t="str">
        <f t="shared" ca="1" si="3245"/>
        <v>тыс. руб.</v>
      </c>
      <c r="D732" s="66">
        <v>1</v>
      </c>
      <c r="E732" s="57" t="s">
        <v>763</v>
      </c>
      <c r="F732" s="57" t="s">
        <v>754</v>
      </c>
      <c r="G732" s="185">
        <f ca="1">IF(SUM($G723:G723)&gt;0.01,0,SUM($G727:G727)*IF($B719=0,1,(1+$B721))-SUM($G731:G731))</f>
        <v>132600</v>
      </c>
      <c r="H732" s="185">
        <f ca="1">IF(SUM($G723:H723)&gt;0.01,0,SUM($G727:H727)*IF($B719=0,1,(1+$B721))-SUM($G731:H731))</f>
        <v>129200</v>
      </c>
      <c r="I732" s="185">
        <f ca="1">IF(SUM($G723:I723)&gt;0.01,0,SUM($G727:I727)*IF($B719=0,1,(1+$B721))-SUM($G731:I731))</f>
        <v>125800</v>
      </c>
      <c r="J732" s="185">
        <f ca="1">IF(SUM($G723:J723)&gt;0.01,0,SUM($G727:J727)*IF($B719=0,1,(1+$B721))-SUM($G731:J731))</f>
        <v>122400</v>
      </c>
      <c r="K732" s="185">
        <f ca="1">IF(SUM($G723:K723)&gt;0.01,0,SUM($G727:K727)*IF($B719=0,1,(1+$B721))-SUM($G731:K731))</f>
        <v>119000</v>
      </c>
      <c r="L732" s="185">
        <f ca="1">IF(SUM($G723:L723)&gt;0.01,0,SUM($G727:L727)*IF($B719=0,1,(1+$B721))-SUM($G731:L731))</f>
        <v>115600</v>
      </c>
      <c r="M732" s="185">
        <f ca="1">IF(SUM($G723:M723)&gt;0.01,0,SUM($G727:M727)*IF($B719=0,1,(1+$B721))-SUM($G731:M731))</f>
        <v>112200</v>
      </c>
      <c r="N732" s="185">
        <f ca="1">IF(SUM($G723:N723)&gt;0.01,0,SUM($G727:N727)*IF($B719=0,1,(1+$B721))-SUM($G731:N731))</f>
        <v>108800</v>
      </c>
      <c r="O732" s="185">
        <f ca="1">IF(SUM($G723:O723)&gt;0.01,0,SUM($G727:O727)*IF($B719=0,1,(1+$B721))-SUM($G731:O731))</f>
        <v>105400</v>
      </c>
      <c r="P732" s="185">
        <f ca="1">IF(SUM($G723:P723)&gt;0.01,0,SUM($G727:P727)*IF($B719=0,1,(1+$B721))-SUM($G731:P731))</f>
        <v>102000</v>
      </c>
      <c r="Q732" s="185">
        <f ca="1">IF(SUM($G723:Q723)&gt;0.01,0,SUM($G727:Q727)*IF($B719=0,1,(1+$B721))-SUM($G731:Q731))</f>
        <v>98600</v>
      </c>
      <c r="R732" s="185">
        <f ca="1">IF(SUM($G723:R723)&gt;0.01,0,SUM($G727:R727)*IF($B719=0,1,(1+$B721))-SUM($G731:R731))</f>
        <v>95200</v>
      </c>
      <c r="S732" s="185">
        <f ca="1">IF(SUM($G723:S723)&gt;0.01,0,SUM($G727:S727)*IF($B719=0,1,(1+$B721))-SUM($G731:S731))</f>
        <v>91800</v>
      </c>
      <c r="T732" s="185">
        <f ca="1">IF(SUM($G723:T723)&gt;0.01,0,SUM($G727:T727)*IF($B719=0,1,(1+$B721))-SUM($G731:T731))</f>
        <v>88400</v>
      </c>
      <c r="U732" s="185">
        <f ca="1">IF(SUM($G723:U723)&gt;0.01,0,SUM($G727:U727)*IF($B719=0,1,(1+$B721))-SUM($G731:U731))</f>
        <v>85000</v>
      </c>
      <c r="V732" s="185">
        <f ca="1">IF(SUM($G723:V723)&gt;0.01,0,SUM($G727:V727)*IF($B719=0,1,(1+$B721))-SUM($G731:V731))</f>
        <v>81600</v>
      </c>
      <c r="W732" s="185">
        <f ca="1">IF(SUM($G723:W723)&gt;0.01,0,SUM($G727:W727)*IF($B719=0,1,(1+$B721))-SUM($G731:W731))</f>
        <v>78200</v>
      </c>
      <c r="X732" s="185">
        <f ca="1">IF(SUM($G723:X723)&gt;0.01,0,SUM($G727:X727)*IF($B719=0,1,(1+$B721))-SUM($G731:X731))</f>
        <v>74800</v>
      </c>
      <c r="Y732" s="185">
        <f ca="1">IF(SUM($G723:Y723)&gt;0.01,0,SUM($G727:Y727)*IF($B719=0,1,(1+$B721))-SUM($G731:Y731))</f>
        <v>71400</v>
      </c>
      <c r="Z732" s="185">
        <f ca="1">IF(SUM($G723:Z723)&gt;0.01,0,SUM($G727:Z727)*IF($B719=0,1,(1+$B721))-SUM($G731:Z731))</f>
        <v>68000</v>
      </c>
      <c r="AA732" s="185">
        <f ca="1">IF(SUM($G723:AA723)&gt;0.01,0,SUM($G727:AA727)*IF($B719=0,1,(1+$B721))-SUM($G731:AA731))</f>
        <v>64600</v>
      </c>
      <c r="AB732" s="185">
        <f ca="1">IF(SUM($G723:AB723)&gt;0.01,0,SUM($G727:AB727)*IF($B719=0,1,(1+$B721))-SUM($G731:AB731))</f>
        <v>61200</v>
      </c>
      <c r="AC732" s="185">
        <f ca="1">IF(SUM($G723:AC723)&gt;0.01,0,SUM($G727:AC727)*IF($B719=0,1,(1+$B721))-SUM($G731:AC731))</f>
        <v>57800</v>
      </c>
      <c r="AD732" s="185">
        <f ca="1">IF(SUM($G723:AD723)&gt;0.01,0,SUM($G727:AD727)*IF($B719=0,1,(1+$B721))-SUM($G731:AD731))</f>
        <v>54400</v>
      </c>
      <c r="AE732" s="185">
        <f ca="1">IF(SUM($G723:AE723)&gt;0.01,0,SUM($G727:AE727)*IF($B719=0,1,(1+$B721))-SUM($G731:AE731))</f>
        <v>51000</v>
      </c>
      <c r="AF732" s="185">
        <f ca="1">IF(SUM($G723:AF723)&gt;0.01,0,SUM($G727:AF727)*IF($B719=0,1,(1+$B721))-SUM($G731:AF731))</f>
        <v>47600</v>
      </c>
      <c r="AG732" s="185">
        <f ca="1">IF(SUM($G723:AG723)&gt;0.01,0,SUM($G727:AG727)*IF($B719=0,1,(1+$B721))-SUM($G731:AG731))</f>
        <v>44200</v>
      </c>
      <c r="AH732" s="185">
        <f ca="1">IF(SUM($G723:AH723)&gt;0.01,0,SUM($G727:AH727)*IF($B719=0,1,(1+$B721))-SUM($G731:AH731))</f>
        <v>40800</v>
      </c>
      <c r="AI732" s="185">
        <f ca="1">IF(SUM($G723:AI723)&gt;0.01,0,SUM($G727:AI727)*IF($B719=0,1,(1+$B721))-SUM($G731:AI731))</f>
        <v>37400</v>
      </c>
      <c r="AJ732" s="185">
        <f ca="1">IF(SUM($G723:AJ723)&gt;0.01,0,SUM($G727:AJ727)*IF($B719=0,1,(1+$B721))-SUM($G731:AJ731))</f>
        <v>34000</v>
      </c>
      <c r="AK732" s="185">
        <f ca="1">IF(SUM($G723:AK723)&gt;0.01,0,SUM($G727:AK727)*IF($B719=0,1,(1+$B721))-SUM($G731:AK731))</f>
        <v>30600</v>
      </c>
      <c r="AL732" s="185">
        <f ca="1">IF(SUM($G723:AL723)&gt;0.01,0,SUM($G727:AL727)*IF($B719=0,1,(1+$B721))-SUM($G731:AL731))</f>
        <v>27200</v>
      </c>
      <c r="AM732" s="185">
        <f ca="1">IF(SUM($G723:AM723)&gt;0.01,0,SUM($G727:AM727)*IF($B719=0,1,(1+$B721))-SUM($G731:AM731))</f>
        <v>23800</v>
      </c>
      <c r="AN732" s="185">
        <f ca="1">IF(SUM($G723:AN723)&gt;0.01,0,SUM($G727:AN727)*IF($B719=0,1,(1+$B721))-SUM($G731:AN731))</f>
        <v>20400</v>
      </c>
      <c r="AO732" s="185">
        <f ca="1">IF(SUM($G723:AO723)&gt;0.01,0,SUM($G727:AO727)*IF($B719=0,1,(1+$B721))-SUM($G731:AO731))</f>
        <v>17000</v>
      </c>
      <c r="AP732" s="185">
        <f ca="1">IF(SUM($G723:AP723)&gt;0.01,0,SUM($G727:AP727)*IF($B719=0,1,(1+$B721))-SUM($G731:AP731))</f>
        <v>13600</v>
      </c>
      <c r="AQ732" s="185">
        <f ca="1">IF(SUM($G723:AQ723)&gt;0.01,0,SUM($G727:AQ727)*IF($B719=0,1,(1+$B721))-SUM($G731:AQ731))</f>
        <v>10200</v>
      </c>
      <c r="AR732" s="185">
        <f ca="1">IF(SUM($G723:AR723)&gt;0.01,0,SUM($G727:AR727)*IF($B719=0,1,(1+$B721))-SUM($G731:AR731))</f>
        <v>6800</v>
      </c>
      <c r="AS732" s="185">
        <f ca="1">IF(SUM($G723:AS723)&gt;0.01,0,SUM($G727:AS727)*IF($B719=0,1,(1+$B721))-SUM($G731:AS731))</f>
        <v>3400</v>
      </c>
      <c r="AT732" s="185">
        <f ca="1">IF(SUM($G723:AT723)&gt;0.01,0,SUM($G727:AT727)*IF($B719=0,1,(1+$B721))-SUM($G731:AT731))</f>
        <v>0</v>
      </c>
      <c r="AU732" s="185">
        <f ca="1">IF(SUM($G723:AU723)&gt;0.01,0,SUM($G727:AU727)*IF($B719=0,1,(1+$B721))-SUM($G731:AU731))</f>
        <v>0</v>
      </c>
      <c r="AV732" s="185">
        <f ca="1">IF(SUM($G723:AV723)&gt;0.01,0,SUM($G727:AV727)*IF($B719=0,1,(1+$B721))-SUM($G731:AV731))</f>
        <v>0</v>
      </c>
      <c r="AW732" s="180"/>
      <c r="AX732" s="87"/>
    </row>
    <row r="733" spans="1:50" hidden="1" outlineLevel="1" x14ac:dyDescent="0.2">
      <c r="A733" s="217" t="str">
        <f ca="1">Language!A$901</f>
        <v>выплаченный НДС</v>
      </c>
      <c r="B733" s="219"/>
      <c r="C733" s="82" t="str">
        <f t="shared" ca="1" si="3245"/>
        <v>тыс. руб.</v>
      </c>
      <c r="D733" s="66">
        <v>1</v>
      </c>
      <c r="E733" s="57" t="s">
        <v>764</v>
      </c>
      <c r="F733" s="57" t="s">
        <v>753</v>
      </c>
      <c r="G733" s="180">
        <f t="shared" ref="G733:AV733" si="3246">IF($B719=0,G724*G722,IF(G$2=$B720,($AX724+$B725+$AX728)*G722,0))</f>
        <v>7200</v>
      </c>
      <c r="H733" s="180">
        <f t="shared" si="3246"/>
        <v>5760</v>
      </c>
      <c r="I733" s="180">
        <f t="shared" si="3246"/>
        <v>5760</v>
      </c>
      <c r="J733" s="180">
        <f t="shared" si="3246"/>
        <v>5760</v>
      </c>
      <c r="K733" s="180">
        <f t="shared" si="3246"/>
        <v>0</v>
      </c>
      <c r="L733" s="180">
        <f t="shared" si="3246"/>
        <v>0</v>
      </c>
      <c r="M733" s="180">
        <f t="shared" si="3246"/>
        <v>0</v>
      </c>
      <c r="N733" s="180">
        <f t="shared" si="3246"/>
        <v>0</v>
      </c>
      <c r="O733" s="180">
        <f t="shared" si="3246"/>
        <v>0</v>
      </c>
      <c r="P733" s="180">
        <f t="shared" si="3246"/>
        <v>0</v>
      </c>
      <c r="Q733" s="180">
        <f t="shared" si="3246"/>
        <v>0</v>
      </c>
      <c r="R733" s="180">
        <f t="shared" si="3246"/>
        <v>0</v>
      </c>
      <c r="S733" s="180">
        <f t="shared" si="3246"/>
        <v>0</v>
      </c>
      <c r="T733" s="180">
        <f t="shared" si="3246"/>
        <v>0</v>
      </c>
      <c r="U733" s="180">
        <f t="shared" si="3246"/>
        <v>0</v>
      </c>
      <c r="V733" s="180">
        <f t="shared" si="3246"/>
        <v>0</v>
      </c>
      <c r="W733" s="180">
        <f t="shared" si="3246"/>
        <v>0</v>
      </c>
      <c r="X733" s="180">
        <f t="shared" si="3246"/>
        <v>0</v>
      </c>
      <c r="Y733" s="180">
        <f t="shared" si="3246"/>
        <v>0</v>
      </c>
      <c r="Z733" s="180">
        <f t="shared" si="3246"/>
        <v>0</v>
      </c>
      <c r="AA733" s="180">
        <f t="shared" si="3246"/>
        <v>0</v>
      </c>
      <c r="AB733" s="180">
        <f t="shared" si="3246"/>
        <v>0</v>
      </c>
      <c r="AC733" s="180">
        <f t="shared" si="3246"/>
        <v>0</v>
      </c>
      <c r="AD733" s="180">
        <f t="shared" si="3246"/>
        <v>0</v>
      </c>
      <c r="AE733" s="180">
        <f t="shared" si="3246"/>
        <v>0</v>
      </c>
      <c r="AF733" s="180">
        <f t="shared" si="3246"/>
        <v>0</v>
      </c>
      <c r="AG733" s="180">
        <f t="shared" si="3246"/>
        <v>0</v>
      </c>
      <c r="AH733" s="180">
        <f t="shared" si="3246"/>
        <v>0</v>
      </c>
      <c r="AI733" s="180">
        <f t="shared" si="3246"/>
        <v>0</v>
      </c>
      <c r="AJ733" s="180">
        <f t="shared" si="3246"/>
        <v>0</v>
      </c>
      <c r="AK733" s="180">
        <f t="shared" si="3246"/>
        <v>0</v>
      </c>
      <c r="AL733" s="180">
        <f t="shared" si="3246"/>
        <v>0</v>
      </c>
      <c r="AM733" s="180">
        <f t="shared" si="3246"/>
        <v>0</v>
      </c>
      <c r="AN733" s="180">
        <f t="shared" si="3246"/>
        <v>0</v>
      </c>
      <c r="AO733" s="180">
        <f t="shared" si="3246"/>
        <v>0</v>
      </c>
      <c r="AP733" s="180">
        <f t="shared" si="3246"/>
        <v>0</v>
      </c>
      <c r="AQ733" s="180">
        <f t="shared" si="3246"/>
        <v>0</v>
      </c>
      <c r="AR733" s="180">
        <f t="shared" si="3246"/>
        <v>0</v>
      </c>
      <c r="AS733" s="180">
        <f t="shared" si="3246"/>
        <v>0</v>
      </c>
      <c r="AT733" s="180">
        <f t="shared" si="3246"/>
        <v>0</v>
      </c>
      <c r="AU733" s="180">
        <f t="shared" si="3246"/>
        <v>0</v>
      </c>
      <c r="AV733" s="180">
        <f t="shared" si="3246"/>
        <v>0</v>
      </c>
      <c r="AW733" s="180"/>
      <c r="AX733" s="189">
        <f>SUM(G733:AW733)</f>
        <v>24480</v>
      </c>
    </row>
    <row r="734" spans="1:50" hidden="1" outlineLevel="1" x14ac:dyDescent="0.2">
      <c r="A734" s="217" t="str">
        <f ca="1">Language!A$902</f>
        <v>зачтенный НДС</v>
      </c>
      <c r="B734" s="219"/>
      <c r="C734" s="82" t="str">
        <f t="shared" ca="1" si="3245"/>
        <v>тыс. руб.</v>
      </c>
      <c r="D734" s="66">
        <v>1</v>
      </c>
      <c r="E734" s="57" t="s">
        <v>765</v>
      </c>
      <c r="F734" s="57" t="s">
        <v>753</v>
      </c>
      <c r="G734" s="180">
        <f t="shared" ref="G734:AV734" si="3247">G727*G722*IF($B719=0,1,1+$B721)</f>
        <v>24480</v>
      </c>
      <c r="H734" s="180">
        <f t="shared" si="3247"/>
        <v>0</v>
      </c>
      <c r="I734" s="180">
        <f t="shared" si="3247"/>
        <v>0</v>
      </c>
      <c r="J734" s="180">
        <f t="shared" si="3247"/>
        <v>0</v>
      </c>
      <c r="K734" s="180">
        <f t="shared" si="3247"/>
        <v>0</v>
      </c>
      <c r="L734" s="180">
        <f t="shared" si="3247"/>
        <v>0</v>
      </c>
      <c r="M734" s="180">
        <f t="shared" si="3247"/>
        <v>0</v>
      </c>
      <c r="N734" s="180">
        <f t="shared" si="3247"/>
        <v>0</v>
      </c>
      <c r="O734" s="180">
        <f t="shared" si="3247"/>
        <v>0</v>
      </c>
      <c r="P734" s="180">
        <f t="shared" si="3247"/>
        <v>0</v>
      </c>
      <c r="Q734" s="180">
        <f t="shared" si="3247"/>
        <v>0</v>
      </c>
      <c r="R734" s="180">
        <f t="shared" si="3247"/>
        <v>0</v>
      </c>
      <c r="S734" s="180">
        <f t="shared" si="3247"/>
        <v>0</v>
      </c>
      <c r="T734" s="180">
        <f t="shared" si="3247"/>
        <v>0</v>
      </c>
      <c r="U734" s="180">
        <f t="shared" si="3247"/>
        <v>0</v>
      </c>
      <c r="V734" s="180">
        <f t="shared" si="3247"/>
        <v>0</v>
      </c>
      <c r="W734" s="180">
        <f t="shared" si="3247"/>
        <v>0</v>
      </c>
      <c r="X734" s="180">
        <f t="shared" si="3247"/>
        <v>0</v>
      </c>
      <c r="Y734" s="180">
        <f t="shared" si="3247"/>
        <v>0</v>
      </c>
      <c r="Z734" s="180">
        <f t="shared" si="3247"/>
        <v>0</v>
      </c>
      <c r="AA734" s="180">
        <f t="shared" si="3247"/>
        <v>0</v>
      </c>
      <c r="AB734" s="180">
        <f t="shared" si="3247"/>
        <v>0</v>
      </c>
      <c r="AC734" s="180">
        <f t="shared" si="3247"/>
        <v>0</v>
      </c>
      <c r="AD734" s="180">
        <f t="shared" si="3247"/>
        <v>0</v>
      </c>
      <c r="AE734" s="180">
        <f t="shared" si="3247"/>
        <v>0</v>
      </c>
      <c r="AF734" s="180">
        <f t="shared" si="3247"/>
        <v>0</v>
      </c>
      <c r="AG734" s="180">
        <f t="shared" si="3247"/>
        <v>0</v>
      </c>
      <c r="AH734" s="180">
        <f t="shared" si="3247"/>
        <v>0</v>
      </c>
      <c r="AI734" s="180">
        <f t="shared" si="3247"/>
        <v>0</v>
      </c>
      <c r="AJ734" s="180">
        <f t="shared" si="3247"/>
        <v>0</v>
      </c>
      <c r="AK734" s="180">
        <f t="shared" si="3247"/>
        <v>0</v>
      </c>
      <c r="AL734" s="180">
        <f t="shared" si="3247"/>
        <v>0</v>
      </c>
      <c r="AM734" s="180">
        <f t="shared" si="3247"/>
        <v>0</v>
      </c>
      <c r="AN734" s="180">
        <f t="shared" si="3247"/>
        <v>0</v>
      </c>
      <c r="AO734" s="180">
        <f t="shared" si="3247"/>
        <v>0</v>
      </c>
      <c r="AP734" s="180">
        <f t="shared" si="3247"/>
        <v>0</v>
      </c>
      <c r="AQ734" s="180">
        <f t="shared" si="3247"/>
        <v>0</v>
      </c>
      <c r="AR734" s="180">
        <f t="shared" si="3247"/>
        <v>0</v>
      </c>
      <c r="AS734" s="180">
        <f t="shared" si="3247"/>
        <v>0</v>
      </c>
      <c r="AT734" s="180">
        <f t="shared" si="3247"/>
        <v>0</v>
      </c>
      <c r="AU734" s="180">
        <f t="shared" si="3247"/>
        <v>0</v>
      </c>
      <c r="AV734" s="180">
        <f t="shared" si="3247"/>
        <v>0</v>
      </c>
      <c r="AW734" s="180"/>
      <c r="AX734" s="189">
        <f>SUM(G734:AW734)</f>
        <v>24480</v>
      </c>
    </row>
    <row r="735" spans="1:50" hidden="1" outlineLevel="1" x14ac:dyDescent="0.2">
      <c r="A735" s="217" t="str">
        <f ca="1">Language!A$903</f>
        <v>амортизация (налоговая)</v>
      </c>
      <c r="B735" s="219"/>
      <c r="C735" s="82" t="str">
        <f t="shared" ca="1" si="3245"/>
        <v>тыс. руб.</v>
      </c>
      <c r="D735" s="66">
        <v>1</v>
      </c>
      <c r="E735" s="57" t="s">
        <v>766</v>
      </c>
      <c r="F735" s="57" t="s">
        <v>753</v>
      </c>
      <c r="G735" s="185">
        <f ca="1">IF(SUM($G723:G723)&gt;0.01,0,$B718*G727*IF($B719=0,1,(1+$B721))+IF($B717=0,0,MIN((SUM($G727:G727)-IF(G$2&gt;$B717*12/Prj_Step,SUM($G727:OFFSET(G727,0,-$B717*12/Prj_Step)),0))*IF($B719=0,1,(1+$B721))*(1-$B718)/$B717/12*Параметры!G$31,IF(G$2=1,G727*IF($B719=0,1,(1+$B721)),F736+SUM($F727:G727)*(1-$B718)*IF($B719=0,1,(1+$B721))-SUM($F727:F727)*(1-$B718)*IF($B719=0,1,(1+$B721))))))</f>
        <v>3400</v>
      </c>
      <c r="H735" s="185">
        <f ca="1">IF(SUM($G723:H723)&gt;0.01,0,$B718*H727*IF($B719=0,1,(1+$B721))+IF($B717=0,0,MIN((SUM($G727:H727)-IF(H$2&gt;$B717*12/Prj_Step,SUM($G727:OFFSET(H727,0,-$B717*12/Prj_Step)),0))*IF($B719=0,1,(1+$B721))*(1-$B718)/$B717/12*Параметры!H$31,IF(H$2=1,H727*IF($B719=0,1,(1+$B721)),G736+SUM($F727:H727)*(1-$B718)*IF($B719=0,1,(1+$B721))-SUM($F727:G727)*(1-$B718)*IF($B719=0,1,(1+$B721))))))</f>
        <v>3400</v>
      </c>
      <c r="I735" s="185">
        <f ca="1">IF(SUM($G723:I723)&gt;0.01,0,$B718*I727*IF($B719=0,1,(1+$B721))+IF($B717=0,0,MIN((SUM($G727:I727)-IF(I$2&gt;$B717*12/Prj_Step,SUM($G727:OFFSET(I727,0,-$B717*12/Prj_Step)),0))*IF($B719=0,1,(1+$B721))*(1-$B718)/$B717/12*Параметры!I$31,IF(I$2=1,I727*IF($B719=0,1,(1+$B721)),H736+SUM($F727:I727)*(1-$B718)*IF($B719=0,1,(1+$B721))-SUM($F727:H727)*(1-$B718)*IF($B719=0,1,(1+$B721))))))</f>
        <v>3400</v>
      </c>
      <c r="J735" s="185">
        <f ca="1">IF(SUM($G723:J723)&gt;0.01,0,$B718*J727*IF($B719=0,1,(1+$B721))+IF($B717=0,0,MIN((SUM($G727:J727)-IF(J$2&gt;$B717*12/Prj_Step,SUM($G727:OFFSET(J727,0,-$B717*12/Prj_Step)),0))*IF($B719=0,1,(1+$B721))*(1-$B718)/$B717/12*Параметры!J$31,IF(J$2=1,J727*IF($B719=0,1,(1+$B721)),I736+SUM($F727:J727)*(1-$B718)*IF($B719=0,1,(1+$B721))-SUM($F727:I727)*(1-$B718)*IF($B719=0,1,(1+$B721))))))</f>
        <v>3400</v>
      </c>
      <c r="K735" s="185">
        <f ca="1">IF(SUM($G723:K723)&gt;0.01,0,$B718*K727*IF($B719=0,1,(1+$B721))+IF($B717=0,0,MIN((SUM($G727:K727)-IF(K$2&gt;$B717*12/Prj_Step,SUM($G727:OFFSET(K727,0,-$B717*12/Prj_Step)),0))*IF($B719=0,1,(1+$B721))*(1-$B718)/$B717/12*Параметры!K$31,IF(K$2=1,K727*IF($B719=0,1,(1+$B721)),J736+SUM($F727:K727)*(1-$B718)*IF($B719=0,1,(1+$B721))-SUM($F727:J727)*(1-$B718)*IF($B719=0,1,(1+$B721))))))</f>
        <v>3400</v>
      </c>
      <c r="L735" s="185">
        <f ca="1">IF(SUM($G723:L723)&gt;0.01,0,$B718*L727*IF($B719=0,1,(1+$B721))+IF($B717=0,0,MIN((SUM($G727:L727)-IF(L$2&gt;$B717*12/Prj_Step,SUM($G727:OFFSET(L727,0,-$B717*12/Prj_Step)),0))*IF($B719=0,1,(1+$B721))*(1-$B718)/$B717/12*Параметры!L$31,IF(L$2=1,L727*IF($B719=0,1,(1+$B721)),K736+SUM($F727:L727)*(1-$B718)*IF($B719=0,1,(1+$B721))-SUM($F727:K727)*(1-$B718)*IF($B719=0,1,(1+$B721))))))</f>
        <v>3400</v>
      </c>
      <c r="M735" s="185">
        <f ca="1">IF(SUM($G723:M723)&gt;0.01,0,$B718*M727*IF($B719=0,1,(1+$B721))+IF($B717=0,0,MIN((SUM($G727:M727)-IF(M$2&gt;$B717*12/Prj_Step,SUM($G727:OFFSET(M727,0,-$B717*12/Prj_Step)),0))*IF($B719=0,1,(1+$B721))*(1-$B718)/$B717/12*Параметры!M$31,IF(M$2=1,M727*IF($B719=0,1,(1+$B721)),L736+SUM($F727:M727)*(1-$B718)*IF($B719=0,1,(1+$B721))-SUM($F727:L727)*(1-$B718)*IF($B719=0,1,(1+$B721))))))</f>
        <v>3400</v>
      </c>
      <c r="N735" s="185">
        <f ca="1">IF(SUM($G723:N723)&gt;0.01,0,$B718*N727*IF($B719=0,1,(1+$B721))+IF($B717=0,0,MIN((SUM($G727:N727)-IF(N$2&gt;$B717*12/Prj_Step,SUM($G727:OFFSET(N727,0,-$B717*12/Prj_Step)),0))*IF($B719=0,1,(1+$B721))*(1-$B718)/$B717/12*Параметры!N$31,IF(N$2=1,N727*IF($B719=0,1,(1+$B721)),M736+SUM($F727:N727)*(1-$B718)*IF($B719=0,1,(1+$B721))-SUM($F727:M727)*(1-$B718)*IF($B719=0,1,(1+$B721))))))</f>
        <v>3400</v>
      </c>
      <c r="O735" s="185">
        <f ca="1">IF(SUM($G723:O723)&gt;0.01,0,$B718*O727*IF($B719=0,1,(1+$B721))+IF($B717=0,0,MIN((SUM($G727:O727)-IF(O$2&gt;$B717*12/Prj_Step,SUM($G727:OFFSET(O727,0,-$B717*12/Prj_Step)),0))*IF($B719=0,1,(1+$B721))*(1-$B718)/$B717/12*Параметры!O$31,IF(O$2=1,O727*IF($B719=0,1,(1+$B721)),N736+SUM($F727:O727)*(1-$B718)*IF($B719=0,1,(1+$B721))-SUM($F727:N727)*(1-$B718)*IF($B719=0,1,(1+$B721))))))</f>
        <v>3400</v>
      </c>
      <c r="P735" s="185">
        <f ca="1">IF(SUM($G723:P723)&gt;0.01,0,$B718*P727*IF($B719=0,1,(1+$B721))+IF($B717=0,0,MIN((SUM($G727:P727)-IF(P$2&gt;$B717*12/Prj_Step,SUM($G727:OFFSET(P727,0,-$B717*12/Prj_Step)),0))*IF($B719=0,1,(1+$B721))*(1-$B718)/$B717/12*Параметры!P$31,IF(P$2=1,P727*IF($B719=0,1,(1+$B721)),O736+SUM($F727:P727)*(1-$B718)*IF($B719=0,1,(1+$B721))-SUM($F727:O727)*(1-$B718)*IF($B719=0,1,(1+$B721))))))</f>
        <v>3400</v>
      </c>
      <c r="Q735" s="185">
        <f ca="1">IF(SUM($G723:Q723)&gt;0.01,0,$B718*Q727*IF($B719=0,1,(1+$B721))+IF($B717=0,0,MIN((SUM($G727:Q727)-IF(Q$2&gt;$B717*12/Prj_Step,SUM($G727:OFFSET(Q727,0,-$B717*12/Prj_Step)),0))*IF($B719=0,1,(1+$B721))*(1-$B718)/$B717/12*Параметры!Q$31,IF(Q$2=1,Q727*IF($B719=0,1,(1+$B721)),P736+SUM($F727:Q727)*(1-$B718)*IF($B719=0,1,(1+$B721))-SUM($F727:P727)*(1-$B718)*IF($B719=0,1,(1+$B721))))))</f>
        <v>3400</v>
      </c>
      <c r="R735" s="185">
        <f ca="1">IF(SUM($G723:R723)&gt;0.01,0,$B718*R727*IF($B719=0,1,(1+$B721))+IF($B717=0,0,MIN((SUM($G727:R727)-IF(R$2&gt;$B717*12/Prj_Step,SUM($G727:OFFSET(R727,0,-$B717*12/Prj_Step)),0))*IF($B719=0,1,(1+$B721))*(1-$B718)/$B717/12*Параметры!R$31,IF(R$2=1,R727*IF($B719=0,1,(1+$B721)),Q736+SUM($F727:R727)*(1-$B718)*IF($B719=0,1,(1+$B721))-SUM($F727:Q727)*(1-$B718)*IF($B719=0,1,(1+$B721))))))</f>
        <v>3400</v>
      </c>
      <c r="S735" s="185">
        <f ca="1">IF(SUM($G723:S723)&gt;0.01,0,$B718*S727*IF($B719=0,1,(1+$B721))+IF($B717=0,0,MIN((SUM($G727:S727)-IF(S$2&gt;$B717*12/Prj_Step,SUM($G727:OFFSET(S727,0,-$B717*12/Prj_Step)),0))*IF($B719=0,1,(1+$B721))*(1-$B718)/$B717/12*Параметры!S$31,IF(S$2=1,S727*IF($B719=0,1,(1+$B721)),R736+SUM($F727:S727)*(1-$B718)*IF($B719=0,1,(1+$B721))-SUM($F727:R727)*(1-$B718)*IF($B719=0,1,(1+$B721))))))</f>
        <v>3400</v>
      </c>
      <c r="T735" s="185">
        <f ca="1">IF(SUM($G723:T723)&gt;0.01,0,$B718*T727*IF($B719=0,1,(1+$B721))+IF($B717=0,0,MIN((SUM($G727:T727)-IF(T$2&gt;$B717*12/Prj_Step,SUM($G727:OFFSET(T727,0,-$B717*12/Prj_Step)),0))*IF($B719=0,1,(1+$B721))*(1-$B718)/$B717/12*Параметры!T$31,IF(T$2=1,T727*IF($B719=0,1,(1+$B721)),S736+SUM($F727:T727)*(1-$B718)*IF($B719=0,1,(1+$B721))-SUM($F727:S727)*(1-$B718)*IF($B719=0,1,(1+$B721))))))</f>
        <v>3400</v>
      </c>
      <c r="U735" s="185">
        <f ca="1">IF(SUM($G723:U723)&gt;0.01,0,$B718*U727*IF($B719=0,1,(1+$B721))+IF($B717=0,0,MIN((SUM($G727:U727)-IF(U$2&gt;$B717*12/Prj_Step,SUM($G727:OFFSET(U727,0,-$B717*12/Prj_Step)),0))*IF($B719=0,1,(1+$B721))*(1-$B718)/$B717/12*Параметры!U$31,IF(U$2=1,U727*IF($B719=0,1,(1+$B721)),T736+SUM($F727:U727)*(1-$B718)*IF($B719=0,1,(1+$B721))-SUM($F727:T727)*(1-$B718)*IF($B719=0,1,(1+$B721))))))</f>
        <v>3400</v>
      </c>
      <c r="V735" s="185">
        <f ca="1">IF(SUM($G723:V723)&gt;0.01,0,$B718*V727*IF($B719=0,1,(1+$B721))+IF($B717=0,0,MIN((SUM($G727:V727)-IF(V$2&gt;$B717*12/Prj_Step,SUM($G727:OFFSET(V727,0,-$B717*12/Prj_Step)),0))*IF($B719=0,1,(1+$B721))*(1-$B718)/$B717/12*Параметры!V$31,IF(V$2=1,V727*IF($B719=0,1,(1+$B721)),U736+SUM($F727:V727)*(1-$B718)*IF($B719=0,1,(1+$B721))-SUM($F727:U727)*(1-$B718)*IF($B719=0,1,(1+$B721))))))</f>
        <v>3400</v>
      </c>
      <c r="W735" s="185">
        <f ca="1">IF(SUM($G723:W723)&gt;0.01,0,$B718*W727*IF($B719=0,1,(1+$B721))+IF($B717=0,0,MIN((SUM($G727:W727)-IF(W$2&gt;$B717*12/Prj_Step,SUM($G727:OFFSET(W727,0,-$B717*12/Prj_Step)),0))*IF($B719=0,1,(1+$B721))*(1-$B718)/$B717/12*Параметры!W$31,IF(W$2=1,W727*IF($B719=0,1,(1+$B721)),V736+SUM($F727:W727)*(1-$B718)*IF($B719=0,1,(1+$B721))-SUM($F727:V727)*(1-$B718)*IF($B719=0,1,(1+$B721))))))</f>
        <v>3400</v>
      </c>
      <c r="X735" s="185">
        <f ca="1">IF(SUM($G723:X723)&gt;0.01,0,$B718*X727*IF($B719=0,1,(1+$B721))+IF($B717=0,0,MIN((SUM($G727:X727)-IF(X$2&gt;$B717*12/Prj_Step,SUM($G727:OFFSET(X727,0,-$B717*12/Prj_Step)),0))*IF($B719=0,1,(1+$B721))*(1-$B718)/$B717/12*Параметры!X$31,IF(X$2=1,X727*IF($B719=0,1,(1+$B721)),W736+SUM($F727:X727)*(1-$B718)*IF($B719=0,1,(1+$B721))-SUM($F727:W727)*(1-$B718)*IF($B719=0,1,(1+$B721))))))</f>
        <v>3400</v>
      </c>
      <c r="Y735" s="185">
        <f ca="1">IF(SUM($G723:Y723)&gt;0.01,0,$B718*Y727*IF($B719=0,1,(1+$B721))+IF($B717=0,0,MIN((SUM($G727:Y727)-IF(Y$2&gt;$B717*12/Prj_Step,SUM($G727:OFFSET(Y727,0,-$B717*12/Prj_Step)),0))*IF($B719=0,1,(1+$B721))*(1-$B718)/$B717/12*Параметры!Y$31,IF(Y$2=1,Y727*IF($B719=0,1,(1+$B721)),X736+SUM($F727:Y727)*(1-$B718)*IF($B719=0,1,(1+$B721))-SUM($F727:X727)*(1-$B718)*IF($B719=0,1,(1+$B721))))))</f>
        <v>3400</v>
      </c>
      <c r="Z735" s="185">
        <f ca="1">IF(SUM($G723:Z723)&gt;0.01,0,$B718*Z727*IF($B719=0,1,(1+$B721))+IF($B717=0,0,MIN((SUM($G727:Z727)-IF(Z$2&gt;$B717*12/Prj_Step,SUM($G727:OFFSET(Z727,0,-$B717*12/Prj_Step)),0))*IF($B719=0,1,(1+$B721))*(1-$B718)/$B717/12*Параметры!Z$31,IF(Z$2=1,Z727*IF($B719=0,1,(1+$B721)),Y736+SUM($F727:Z727)*(1-$B718)*IF($B719=0,1,(1+$B721))-SUM($F727:Y727)*(1-$B718)*IF($B719=0,1,(1+$B721))))))</f>
        <v>3400</v>
      </c>
      <c r="AA735" s="185">
        <f ca="1">IF(SUM($G723:AA723)&gt;0.01,0,$B718*AA727*IF($B719=0,1,(1+$B721))+IF($B717=0,0,MIN((SUM($G727:AA727)-IF(AA$2&gt;$B717*12/Prj_Step,SUM($G727:OFFSET(AA727,0,-$B717*12/Prj_Step)),0))*IF($B719=0,1,(1+$B721))*(1-$B718)/$B717/12*Параметры!AA$31,IF(AA$2=1,AA727*IF($B719=0,1,(1+$B721)),Z736+SUM($F727:AA727)*(1-$B718)*IF($B719=0,1,(1+$B721))-SUM($F727:Z727)*(1-$B718)*IF($B719=0,1,(1+$B721))))))</f>
        <v>3400</v>
      </c>
      <c r="AB735" s="185">
        <f ca="1">IF(SUM($G723:AB723)&gt;0.01,0,$B718*AB727*IF($B719=0,1,(1+$B721))+IF($B717=0,0,MIN((SUM($G727:AB727)-IF(AB$2&gt;$B717*12/Prj_Step,SUM($G727:OFFSET(AB727,0,-$B717*12/Prj_Step)),0))*IF($B719=0,1,(1+$B721))*(1-$B718)/$B717/12*Параметры!AB$31,IF(AB$2=1,AB727*IF($B719=0,1,(1+$B721)),AA736+SUM($F727:AB727)*(1-$B718)*IF($B719=0,1,(1+$B721))-SUM($F727:AA727)*(1-$B718)*IF($B719=0,1,(1+$B721))))))</f>
        <v>3400</v>
      </c>
      <c r="AC735" s="185">
        <f ca="1">IF(SUM($G723:AC723)&gt;0.01,0,$B718*AC727*IF($B719=0,1,(1+$B721))+IF($B717=0,0,MIN((SUM($G727:AC727)-IF(AC$2&gt;$B717*12/Prj_Step,SUM($G727:OFFSET(AC727,0,-$B717*12/Prj_Step)),0))*IF($B719=0,1,(1+$B721))*(1-$B718)/$B717/12*Параметры!AC$31,IF(AC$2=1,AC727*IF($B719=0,1,(1+$B721)),AB736+SUM($F727:AC727)*(1-$B718)*IF($B719=0,1,(1+$B721))-SUM($F727:AB727)*(1-$B718)*IF($B719=0,1,(1+$B721))))))</f>
        <v>3400</v>
      </c>
      <c r="AD735" s="185">
        <f ca="1">IF(SUM($G723:AD723)&gt;0.01,0,$B718*AD727*IF($B719=0,1,(1+$B721))+IF($B717=0,0,MIN((SUM($G727:AD727)-IF(AD$2&gt;$B717*12/Prj_Step,SUM($G727:OFFSET(AD727,0,-$B717*12/Prj_Step)),0))*IF($B719=0,1,(1+$B721))*(1-$B718)/$B717/12*Параметры!AD$31,IF(AD$2=1,AD727*IF($B719=0,1,(1+$B721)),AC736+SUM($F727:AD727)*(1-$B718)*IF($B719=0,1,(1+$B721))-SUM($F727:AC727)*(1-$B718)*IF($B719=0,1,(1+$B721))))))</f>
        <v>3400</v>
      </c>
      <c r="AE735" s="185">
        <f ca="1">IF(SUM($G723:AE723)&gt;0.01,0,$B718*AE727*IF($B719=0,1,(1+$B721))+IF($B717=0,0,MIN((SUM($G727:AE727)-IF(AE$2&gt;$B717*12/Prj_Step,SUM($G727:OFFSET(AE727,0,-$B717*12/Prj_Step)),0))*IF($B719=0,1,(1+$B721))*(1-$B718)/$B717/12*Параметры!AE$31,IF(AE$2=1,AE727*IF($B719=0,1,(1+$B721)),AD736+SUM($F727:AE727)*(1-$B718)*IF($B719=0,1,(1+$B721))-SUM($F727:AD727)*(1-$B718)*IF($B719=0,1,(1+$B721))))))</f>
        <v>3400</v>
      </c>
      <c r="AF735" s="185">
        <f ca="1">IF(SUM($G723:AF723)&gt;0.01,0,$B718*AF727*IF($B719=0,1,(1+$B721))+IF($B717=0,0,MIN((SUM($G727:AF727)-IF(AF$2&gt;$B717*12/Prj_Step,SUM($G727:OFFSET(AF727,0,-$B717*12/Prj_Step)),0))*IF($B719=0,1,(1+$B721))*(1-$B718)/$B717/12*Параметры!AF$31,IF(AF$2=1,AF727*IF($B719=0,1,(1+$B721)),AE736+SUM($F727:AF727)*(1-$B718)*IF($B719=0,1,(1+$B721))-SUM($F727:AE727)*(1-$B718)*IF($B719=0,1,(1+$B721))))))</f>
        <v>3400</v>
      </c>
      <c r="AG735" s="185">
        <f ca="1">IF(SUM($G723:AG723)&gt;0.01,0,$B718*AG727*IF($B719=0,1,(1+$B721))+IF($B717=0,0,MIN((SUM($G727:AG727)-IF(AG$2&gt;$B717*12/Prj_Step,SUM($G727:OFFSET(AG727,0,-$B717*12/Prj_Step)),0))*IF($B719=0,1,(1+$B721))*(1-$B718)/$B717/12*Параметры!AG$31,IF(AG$2=1,AG727*IF($B719=0,1,(1+$B721)),AF736+SUM($F727:AG727)*(1-$B718)*IF($B719=0,1,(1+$B721))-SUM($F727:AF727)*(1-$B718)*IF($B719=0,1,(1+$B721))))))</f>
        <v>3400</v>
      </c>
      <c r="AH735" s="185">
        <f ca="1">IF(SUM($G723:AH723)&gt;0.01,0,$B718*AH727*IF($B719=0,1,(1+$B721))+IF($B717=0,0,MIN((SUM($G727:AH727)-IF(AH$2&gt;$B717*12/Prj_Step,SUM($G727:OFFSET(AH727,0,-$B717*12/Prj_Step)),0))*IF($B719=0,1,(1+$B721))*(1-$B718)/$B717/12*Параметры!AH$31,IF(AH$2=1,AH727*IF($B719=0,1,(1+$B721)),AG736+SUM($F727:AH727)*(1-$B718)*IF($B719=0,1,(1+$B721))-SUM($F727:AG727)*(1-$B718)*IF($B719=0,1,(1+$B721))))))</f>
        <v>3400</v>
      </c>
      <c r="AI735" s="185">
        <f ca="1">IF(SUM($G723:AI723)&gt;0.01,0,$B718*AI727*IF($B719=0,1,(1+$B721))+IF($B717=0,0,MIN((SUM($G727:AI727)-IF(AI$2&gt;$B717*12/Prj_Step,SUM($G727:OFFSET(AI727,0,-$B717*12/Prj_Step)),0))*IF($B719=0,1,(1+$B721))*(1-$B718)/$B717/12*Параметры!AI$31,IF(AI$2=1,AI727*IF($B719=0,1,(1+$B721)),AH736+SUM($F727:AI727)*(1-$B718)*IF($B719=0,1,(1+$B721))-SUM($F727:AH727)*(1-$B718)*IF($B719=0,1,(1+$B721))))))</f>
        <v>3400</v>
      </c>
      <c r="AJ735" s="185">
        <f ca="1">IF(SUM($G723:AJ723)&gt;0.01,0,$B718*AJ727*IF($B719=0,1,(1+$B721))+IF($B717=0,0,MIN((SUM($G727:AJ727)-IF(AJ$2&gt;$B717*12/Prj_Step,SUM($G727:OFFSET(AJ727,0,-$B717*12/Prj_Step)),0))*IF($B719=0,1,(1+$B721))*(1-$B718)/$B717/12*Параметры!AJ$31,IF(AJ$2=1,AJ727*IF($B719=0,1,(1+$B721)),AI736+SUM($F727:AJ727)*(1-$B718)*IF($B719=0,1,(1+$B721))-SUM($F727:AI727)*(1-$B718)*IF($B719=0,1,(1+$B721))))))</f>
        <v>3400</v>
      </c>
      <c r="AK735" s="185">
        <f ca="1">IF(SUM($G723:AK723)&gt;0.01,0,$B718*AK727*IF($B719=0,1,(1+$B721))+IF($B717=0,0,MIN((SUM($G727:AK727)-IF(AK$2&gt;$B717*12/Prj_Step,SUM($G727:OFFSET(AK727,0,-$B717*12/Prj_Step)),0))*IF($B719=0,1,(1+$B721))*(1-$B718)/$B717/12*Параметры!AK$31,IF(AK$2=1,AK727*IF($B719=0,1,(1+$B721)),AJ736+SUM($F727:AK727)*(1-$B718)*IF($B719=0,1,(1+$B721))-SUM($F727:AJ727)*(1-$B718)*IF($B719=0,1,(1+$B721))))))</f>
        <v>3400</v>
      </c>
      <c r="AL735" s="185">
        <f ca="1">IF(SUM($G723:AL723)&gt;0.01,0,$B718*AL727*IF($B719=0,1,(1+$B721))+IF($B717=0,0,MIN((SUM($G727:AL727)-IF(AL$2&gt;$B717*12/Prj_Step,SUM($G727:OFFSET(AL727,0,-$B717*12/Prj_Step)),0))*IF($B719=0,1,(1+$B721))*(1-$B718)/$B717/12*Параметры!AL$31,IF(AL$2=1,AL727*IF($B719=0,1,(1+$B721)),AK736+SUM($F727:AL727)*(1-$B718)*IF($B719=0,1,(1+$B721))-SUM($F727:AK727)*(1-$B718)*IF($B719=0,1,(1+$B721))))))</f>
        <v>3400</v>
      </c>
      <c r="AM735" s="185">
        <f ca="1">IF(SUM($G723:AM723)&gt;0.01,0,$B718*AM727*IF($B719=0,1,(1+$B721))+IF($B717=0,0,MIN((SUM($G727:AM727)-IF(AM$2&gt;$B717*12/Prj_Step,SUM($G727:OFFSET(AM727,0,-$B717*12/Prj_Step)),0))*IF($B719=0,1,(1+$B721))*(1-$B718)/$B717/12*Параметры!AM$31,IF(AM$2=1,AM727*IF($B719=0,1,(1+$B721)),AL736+SUM($F727:AM727)*(1-$B718)*IF($B719=0,1,(1+$B721))-SUM($F727:AL727)*(1-$B718)*IF($B719=0,1,(1+$B721))))))</f>
        <v>3400</v>
      </c>
      <c r="AN735" s="185">
        <f ca="1">IF(SUM($G723:AN723)&gt;0.01,0,$B718*AN727*IF($B719=0,1,(1+$B721))+IF($B717=0,0,MIN((SUM($G727:AN727)-IF(AN$2&gt;$B717*12/Prj_Step,SUM($G727:OFFSET(AN727,0,-$B717*12/Prj_Step)),0))*IF($B719=0,1,(1+$B721))*(1-$B718)/$B717/12*Параметры!AN$31,IF(AN$2=1,AN727*IF($B719=0,1,(1+$B721)),AM736+SUM($F727:AN727)*(1-$B718)*IF($B719=0,1,(1+$B721))-SUM($F727:AM727)*(1-$B718)*IF($B719=0,1,(1+$B721))))))</f>
        <v>3400</v>
      </c>
      <c r="AO735" s="185">
        <f ca="1">IF(SUM($G723:AO723)&gt;0.01,0,$B718*AO727*IF($B719=0,1,(1+$B721))+IF($B717=0,0,MIN((SUM($G727:AO727)-IF(AO$2&gt;$B717*12/Prj_Step,SUM($G727:OFFSET(AO727,0,-$B717*12/Prj_Step)),0))*IF($B719=0,1,(1+$B721))*(1-$B718)/$B717/12*Параметры!AO$31,IF(AO$2=1,AO727*IF($B719=0,1,(1+$B721)),AN736+SUM($F727:AO727)*(1-$B718)*IF($B719=0,1,(1+$B721))-SUM($F727:AN727)*(1-$B718)*IF($B719=0,1,(1+$B721))))))</f>
        <v>3400</v>
      </c>
      <c r="AP735" s="185">
        <f ca="1">IF(SUM($G723:AP723)&gt;0.01,0,$B718*AP727*IF($B719=0,1,(1+$B721))+IF($B717=0,0,MIN((SUM($G727:AP727)-IF(AP$2&gt;$B717*12/Prj_Step,SUM($G727:OFFSET(AP727,0,-$B717*12/Prj_Step)),0))*IF($B719=0,1,(1+$B721))*(1-$B718)/$B717/12*Параметры!AP$31,IF(AP$2=1,AP727*IF($B719=0,1,(1+$B721)),AO736+SUM($F727:AP727)*(1-$B718)*IF($B719=0,1,(1+$B721))-SUM($F727:AO727)*(1-$B718)*IF($B719=0,1,(1+$B721))))))</f>
        <v>3400</v>
      </c>
      <c r="AQ735" s="185">
        <f ca="1">IF(SUM($G723:AQ723)&gt;0.01,0,$B718*AQ727*IF($B719=0,1,(1+$B721))+IF($B717=0,0,MIN((SUM($G727:AQ727)-IF(AQ$2&gt;$B717*12/Prj_Step,SUM($G727:OFFSET(AQ727,0,-$B717*12/Prj_Step)),0))*IF($B719=0,1,(1+$B721))*(1-$B718)/$B717/12*Параметры!AQ$31,IF(AQ$2=1,AQ727*IF($B719=0,1,(1+$B721)),AP736+SUM($F727:AQ727)*(1-$B718)*IF($B719=0,1,(1+$B721))-SUM($F727:AP727)*(1-$B718)*IF($B719=0,1,(1+$B721))))))</f>
        <v>3400</v>
      </c>
      <c r="AR735" s="185">
        <f ca="1">IF(SUM($G723:AR723)&gt;0.01,0,$B718*AR727*IF($B719=0,1,(1+$B721))+IF($B717=0,0,MIN((SUM($G727:AR727)-IF(AR$2&gt;$B717*12/Prj_Step,SUM($G727:OFFSET(AR727,0,-$B717*12/Prj_Step)),0))*IF($B719=0,1,(1+$B721))*(1-$B718)/$B717/12*Параметры!AR$31,IF(AR$2=1,AR727*IF($B719=0,1,(1+$B721)),AQ736+SUM($F727:AR727)*(1-$B718)*IF($B719=0,1,(1+$B721))-SUM($F727:AQ727)*(1-$B718)*IF($B719=0,1,(1+$B721))))))</f>
        <v>3400</v>
      </c>
      <c r="AS735" s="185">
        <f ca="1">IF(SUM($G723:AS723)&gt;0.01,0,$B718*AS727*IF($B719=0,1,(1+$B721))+IF($B717=0,0,MIN((SUM($G727:AS727)-IF(AS$2&gt;$B717*12/Prj_Step,SUM($G727:OFFSET(AS727,0,-$B717*12/Prj_Step)),0))*IF($B719=0,1,(1+$B721))*(1-$B718)/$B717/12*Параметры!AS$31,IF(AS$2=1,AS727*IF($B719=0,1,(1+$B721)),AR736+SUM($F727:AS727)*(1-$B718)*IF($B719=0,1,(1+$B721))-SUM($F727:AR727)*(1-$B718)*IF($B719=0,1,(1+$B721))))))</f>
        <v>3400</v>
      </c>
      <c r="AT735" s="185">
        <f ca="1">IF(SUM($G723:AT723)&gt;0.01,0,$B718*AT727*IF($B719=0,1,(1+$B721))+IF($B717=0,0,MIN((SUM($G727:AT727)-IF(AT$2&gt;$B717*12/Prj_Step,SUM($G727:OFFSET(AT727,0,-$B717*12/Prj_Step)),0))*IF($B719=0,1,(1+$B721))*(1-$B718)/$B717/12*Параметры!AT$31,IF(AT$2=1,AT727*IF($B719=0,1,(1+$B721)),AS736+SUM($F727:AT727)*(1-$B718)*IF($B719=0,1,(1+$B721))-SUM($F727:AS727)*(1-$B718)*IF($B719=0,1,(1+$B721))))))</f>
        <v>3400</v>
      </c>
      <c r="AU735" s="185">
        <f ca="1">IF(SUM($G723:AU723)&gt;0.01,0,$B718*AU727*IF($B719=0,1,(1+$B721))+IF($B717=0,0,MIN((SUM($G727:AU727)-IF(AU$2&gt;$B717*12/Prj_Step,SUM($G727:OFFSET(AU727,0,-$B717*12/Prj_Step)),0))*IF($B719=0,1,(1+$B721))*(1-$B718)/$B717/12*Параметры!AU$31,IF(AU$2=1,AU727*IF($B719=0,1,(1+$B721)),AT736+SUM($F727:AU727)*(1-$B718)*IF($B719=0,1,(1+$B721))-SUM($F727:AT727)*(1-$B718)*IF($B719=0,1,(1+$B721))))))</f>
        <v>0</v>
      </c>
      <c r="AV735" s="185">
        <f ca="1">IF(SUM($G723:AV723)&gt;0.01,0,$B718*AV727*IF($B719=0,1,(1+$B721))+IF($B717=0,0,MIN((SUM($G727:AV727)-IF(AV$2&gt;$B717*12/Prj_Step,SUM($G727:OFFSET(AV727,0,-$B717*12/Prj_Step)),0))*IF($B719=0,1,(1+$B721))*(1-$B718)/$B717/12*Параметры!AV$31,IF(AV$2=1,AV727*IF($B719=0,1,(1+$B721)),AU736+SUM($F727:AV727)*(1-$B718)*IF($B719=0,1,(1+$B721))-SUM($F727:AU727)*(1-$B718)*IF($B719=0,1,(1+$B721))))))</f>
        <v>0</v>
      </c>
      <c r="AW735" s="180"/>
      <c r="AX735" s="189">
        <f ca="1">SUM(G735:AW735)</f>
        <v>136000</v>
      </c>
    </row>
    <row r="736" spans="1:50" hidden="1" outlineLevel="1" x14ac:dyDescent="0.2">
      <c r="A736" s="217" t="str">
        <f ca="1">Language!A$904</f>
        <v>балансовая стоимость (налоговая)</v>
      </c>
      <c r="B736" s="219"/>
      <c r="C736" s="82" t="str">
        <f t="shared" ca="1" si="3245"/>
        <v>тыс. руб.</v>
      </c>
      <c r="D736" s="66">
        <v>1</v>
      </c>
      <c r="E736" s="57" t="s">
        <v>767</v>
      </c>
      <c r="F736" s="57" t="s">
        <v>754</v>
      </c>
      <c r="G736" s="185">
        <f ca="1">IF(SUM($G723:G723)&gt;0.01,0,SUM($G727:G727)*IF($B719=0,1,(1+$B721))-SUM($G735:G735))</f>
        <v>132600</v>
      </c>
      <c r="H736" s="185">
        <f ca="1">IF(SUM($G723:H723)&gt;0.01,0,SUM($G727:H727)*IF($B719=0,1,(1+$B721))-SUM($G735:H735))</f>
        <v>129200</v>
      </c>
      <c r="I736" s="185">
        <f ca="1">IF(SUM($G723:I723)&gt;0.01,0,SUM($G727:I727)*IF($B719=0,1,(1+$B721))-SUM($G735:I735))</f>
        <v>125800</v>
      </c>
      <c r="J736" s="185">
        <f ca="1">IF(SUM($G723:J723)&gt;0.01,0,SUM($G727:J727)*IF($B719=0,1,(1+$B721))-SUM($G735:J735))</f>
        <v>122400</v>
      </c>
      <c r="K736" s="185">
        <f ca="1">IF(SUM($G723:K723)&gt;0.01,0,SUM($G727:K727)*IF($B719=0,1,(1+$B721))-SUM($G735:K735))</f>
        <v>119000</v>
      </c>
      <c r="L736" s="185">
        <f ca="1">IF(SUM($G723:L723)&gt;0.01,0,SUM($G727:L727)*IF($B719=0,1,(1+$B721))-SUM($G735:L735))</f>
        <v>115600</v>
      </c>
      <c r="M736" s="185">
        <f ca="1">IF(SUM($G723:M723)&gt;0.01,0,SUM($G727:M727)*IF($B719=0,1,(1+$B721))-SUM($G735:M735))</f>
        <v>112200</v>
      </c>
      <c r="N736" s="185">
        <f ca="1">IF(SUM($G723:N723)&gt;0.01,0,SUM($G727:N727)*IF($B719=0,1,(1+$B721))-SUM($G735:N735))</f>
        <v>108800</v>
      </c>
      <c r="O736" s="185">
        <f ca="1">IF(SUM($G723:O723)&gt;0.01,0,SUM($G727:O727)*IF($B719=0,1,(1+$B721))-SUM($G735:O735))</f>
        <v>105400</v>
      </c>
      <c r="P736" s="185">
        <f ca="1">IF(SUM($G723:P723)&gt;0.01,0,SUM($G727:P727)*IF($B719=0,1,(1+$B721))-SUM($G735:P735))</f>
        <v>102000</v>
      </c>
      <c r="Q736" s="185">
        <f ca="1">IF(SUM($G723:Q723)&gt;0.01,0,SUM($G727:Q727)*IF($B719=0,1,(1+$B721))-SUM($G735:Q735))</f>
        <v>98600</v>
      </c>
      <c r="R736" s="185">
        <f ca="1">IF(SUM($G723:R723)&gt;0.01,0,SUM($G727:R727)*IF($B719=0,1,(1+$B721))-SUM($G735:R735))</f>
        <v>95200</v>
      </c>
      <c r="S736" s="185">
        <f ca="1">IF(SUM($G723:S723)&gt;0.01,0,SUM($G727:S727)*IF($B719=0,1,(1+$B721))-SUM($G735:S735))</f>
        <v>91800</v>
      </c>
      <c r="T736" s="185">
        <f ca="1">IF(SUM($G723:T723)&gt;0.01,0,SUM($G727:T727)*IF($B719=0,1,(1+$B721))-SUM($G735:T735))</f>
        <v>88400</v>
      </c>
      <c r="U736" s="185">
        <f ca="1">IF(SUM($G723:U723)&gt;0.01,0,SUM($G727:U727)*IF($B719=0,1,(1+$B721))-SUM($G735:U735))</f>
        <v>85000</v>
      </c>
      <c r="V736" s="185">
        <f ca="1">IF(SUM($G723:V723)&gt;0.01,0,SUM($G727:V727)*IF($B719=0,1,(1+$B721))-SUM($G735:V735))</f>
        <v>81600</v>
      </c>
      <c r="W736" s="185">
        <f ca="1">IF(SUM($G723:W723)&gt;0.01,0,SUM($G727:W727)*IF($B719=0,1,(1+$B721))-SUM($G735:W735))</f>
        <v>78200</v>
      </c>
      <c r="X736" s="185">
        <f ca="1">IF(SUM($G723:X723)&gt;0.01,0,SUM($G727:X727)*IF($B719=0,1,(1+$B721))-SUM($G735:X735))</f>
        <v>74800</v>
      </c>
      <c r="Y736" s="185">
        <f ca="1">IF(SUM($G723:Y723)&gt;0.01,0,SUM($G727:Y727)*IF($B719=0,1,(1+$B721))-SUM($G735:Y735))</f>
        <v>71400</v>
      </c>
      <c r="Z736" s="185">
        <f ca="1">IF(SUM($G723:Z723)&gt;0.01,0,SUM($G727:Z727)*IF($B719=0,1,(1+$B721))-SUM($G735:Z735))</f>
        <v>68000</v>
      </c>
      <c r="AA736" s="185">
        <f ca="1">IF(SUM($G723:AA723)&gt;0.01,0,SUM($G727:AA727)*IF($B719=0,1,(1+$B721))-SUM($G735:AA735))</f>
        <v>64600</v>
      </c>
      <c r="AB736" s="185">
        <f ca="1">IF(SUM($G723:AB723)&gt;0.01,0,SUM($G727:AB727)*IF($B719=0,1,(1+$B721))-SUM($G735:AB735))</f>
        <v>61200</v>
      </c>
      <c r="AC736" s="185">
        <f ca="1">IF(SUM($G723:AC723)&gt;0.01,0,SUM($G727:AC727)*IF($B719=0,1,(1+$B721))-SUM($G735:AC735))</f>
        <v>57800</v>
      </c>
      <c r="AD736" s="185">
        <f ca="1">IF(SUM($G723:AD723)&gt;0.01,0,SUM($G727:AD727)*IF($B719=0,1,(1+$B721))-SUM($G735:AD735))</f>
        <v>54400</v>
      </c>
      <c r="AE736" s="185">
        <f ca="1">IF(SUM($G723:AE723)&gt;0.01,0,SUM($G727:AE727)*IF($B719=0,1,(1+$B721))-SUM($G735:AE735))</f>
        <v>51000</v>
      </c>
      <c r="AF736" s="185">
        <f ca="1">IF(SUM($G723:AF723)&gt;0.01,0,SUM($G727:AF727)*IF($B719=0,1,(1+$B721))-SUM($G735:AF735))</f>
        <v>47600</v>
      </c>
      <c r="AG736" s="185">
        <f ca="1">IF(SUM($G723:AG723)&gt;0.01,0,SUM($G727:AG727)*IF($B719=0,1,(1+$B721))-SUM($G735:AG735))</f>
        <v>44200</v>
      </c>
      <c r="AH736" s="185">
        <f ca="1">IF(SUM($G723:AH723)&gt;0.01,0,SUM($G727:AH727)*IF($B719=0,1,(1+$B721))-SUM($G735:AH735))</f>
        <v>40800</v>
      </c>
      <c r="AI736" s="185">
        <f ca="1">IF(SUM($G723:AI723)&gt;0.01,0,SUM($G727:AI727)*IF($B719=0,1,(1+$B721))-SUM($G735:AI735))</f>
        <v>37400</v>
      </c>
      <c r="AJ736" s="185">
        <f ca="1">IF(SUM($G723:AJ723)&gt;0.01,0,SUM($G727:AJ727)*IF($B719=0,1,(1+$B721))-SUM($G735:AJ735))</f>
        <v>34000</v>
      </c>
      <c r="AK736" s="185">
        <f ca="1">IF(SUM($G723:AK723)&gt;0.01,0,SUM($G727:AK727)*IF($B719=0,1,(1+$B721))-SUM($G735:AK735))</f>
        <v>30600</v>
      </c>
      <c r="AL736" s="185">
        <f ca="1">IF(SUM($G723:AL723)&gt;0.01,0,SUM($G727:AL727)*IF($B719=0,1,(1+$B721))-SUM($G735:AL735))</f>
        <v>27200</v>
      </c>
      <c r="AM736" s="185">
        <f ca="1">IF(SUM($G723:AM723)&gt;0.01,0,SUM($G727:AM727)*IF($B719=0,1,(1+$B721))-SUM($G735:AM735))</f>
        <v>23800</v>
      </c>
      <c r="AN736" s="185">
        <f ca="1">IF(SUM($G723:AN723)&gt;0.01,0,SUM($G727:AN727)*IF($B719=0,1,(1+$B721))-SUM($G735:AN735))</f>
        <v>20400</v>
      </c>
      <c r="AO736" s="185">
        <f ca="1">IF(SUM($G723:AO723)&gt;0.01,0,SUM($G727:AO727)*IF($B719=0,1,(1+$B721))-SUM($G735:AO735))</f>
        <v>17000</v>
      </c>
      <c r="AP736" s="185">
        <f ca="1">IF(SUM($G723:AP723)&gt;0.01,0,SUM($G727:AP727)*IF($B719=0,1,(1+$B721))-SUM($G735:AP735))</f>
        <v>13600</v>
      </c>
      <c r="AQ736" s="185">
        <f ca="1">IF(SUM($G723:AQ723)&gt;0.01,0,SUM($G727:AQ727)*IF($B719=0,1,(1+$B721))-SUM($G735:AQ735))</f>
        <v>10200</v>
      </c>
      <c r="AR736" s="185">
        <f ca="1">IF(SUM($G723:AR723)&gt;0.01,0,SUM($G727:AR727)*IF($B719=0,1,(1+$B721))-SUM($G735:AR735))</f>
        <v>6800</v>
      </c>
      <c r="AS736" s="185">
        <f ca="1">IF(SUM($G723:AS723)&gt;0.01,0,SUM($G727:AS727)*IF($B719=0,1,(1+$B721))-SUM($G735:AS735))</f>
        <v>3400</v>
      </c>
      <c r="AT736" s="185">
        <f ca="1">IF(SUM($G723:AT723)&gt;0.01,0,SUM($G727:AT727)*IF($B719=0,1,(1+$B721))-SUM($G735:AT735))</f>
        <v>0</v>
      </c>
      <c r="AU736" s="185">
        <f ca="1">IF(SUM($G723:AU723)&gt;0.01,0,SUM($G727:AU727)*IF($B719=0,1,(1+$B721))-SUM($G735:AU735))</f>
        <v>0</v>
      </c>
      <c r="AV736" s="185">
        <f ca="1">IF(SUM($G723:AV723)&gt;0.01,0,SUM($G727:AV727)*IF($B719=0,1,(1+$B721))-SUM($G735:AV735))</f>
        <v>0</v>
      </c>
      <c r="AW736" s="180"/>
      <c r="AX736" s="189"/>
    </row>
    <row r="737" spans="1:50" hidden="1" outlineLevel="1" x14ac:dyDescent="0.2">
      <c r="A737" s="217" t="str">
        <f ca="1">Language!A$905</f>
        <v>прибыль/убыток от продажи актива (бухгалтерская)</v>
      </c>
      <c r="B737" s="219"/>
      <c r="C737" s="82" t="str">
        <f t="shared" ca="1" si="3245"/>
        <v>тыс. руб.</v>
      </c>
      <c r="D737" s="66">
        <v>1</v>
      </c>
      <c r="E737" s="57" t="s">
        <v>768</v>
      </c>
      <c r="F737" s="57" t="s">
        <v>753</v>
      </c>
      <c r="G737" s="185">
        <f t="shared" ref="G737:AV737" si="3248">IF(G723=0,0,G723-IF(G$2=1,G724,F729+F732))</f>
        <v>0</v>
      </c>
      <c r="H737" s="185">
        <f t="shared" si="3248"/>
        <v>0</v>
      </c>
      <c r="I737" s="185">
        <f t="shared" si="3248"/>
        <v>0</v>
      </c>
      <c r="J737" s="185">
        <f t="shared" si="3248"/>
        <v>0</v>
      </c>
      <c r="K737" s="185">
        <f t="shared" si="3248"/>
        <v>0</v>
      </c>
      <c r="L737" s="185">
        <f t="shared" si="3248"/>
        <v>0</v>
      </c>
      <c r="M737" s="185">
        <f t="shared" si="3248"/>
        <v>0</v>
      </c>
      <c r="N737" s="185">
        <f t="shared" si="3248"/>
        <v>0</v>
      </c>
      <c r="O737" s="185">
        <f t="shared" si="3248"/>
        <v>0</v>
      </c>
      <c r="P737" s="185">
        <f t="shared" si="3248"/>
        <v>0</v>
      </c>
      <c r="Q737" s="185">
        <f t="shared" si="3248"/>
        <v>0</v>
      </c>
      <c r="R737" s="185">
        <f t="shared" si="3248"/>
        <v>0</v>
      </c>
      <c r="S737" s="185">
        <f t="shared" si="3248"/>
        <v>0</v>
      </c>
      <c r="T737" s="185">
        <f t="shared" si="3248"/>
        <v>0</v>
      </c>
      <c r="U737" s="185">
        <f t="shared" si="3248"/>
        <v>0</v>
      </c>
      <c r="V737" s="185">
        <f t="shared" si="3248"/>
        <v>0</v>
      </c>
      <c r="W737" s="185">
        <f t="shared" si="3248"/>
        <v>0</v>
      </c>
      <c r="X737" s="185">
        <f t="shared" si="3248"/>
        <v>0</v>
      </c>
      <c r="Y737" s="185">
        <f t="shared" si="3248"/>
        <v>0</v>
      </c>
      <c r="Z737" s="185">
        <f t="shared" si="3248"/>
        <v>0</v>
      </c>
      <c r="AA737" s="185">
        <f t="shared" si="3248"/>
        <v>0</v>
      </c>
      <c r="AB737" s="185">
        <f t="shared" si="3248"/>
        <v>0</v>
      </c>
      <c r="AC737" s="185">
        <f t="shared" si="3248"/>
        <v>0</v>
      </c>
      <c r="AD737" s="185">
        <f t="shared" si="3248"/>
        <v>0</v>
      </c>
      <c r="AE737" s="185">
        <f t="shared" si="3248"/>
        <v>0</v>
      </c>
      <c r="AF737" s="185">
        <f t="shared" si="3248"/>
        <v>0</v>
      </c>
      <c r="AG737" s="185">
        <f t="shared" si="3248"/>
        <v>0</v>
      </c>
      <c r="AH737" s="185">
        <f t="shared" si="3248"/>
        <v>0</v>
      </c>
      <c r="AI737" s="185">
        <f t="shared" si="3248"/>
        <v>0</v>
      </c>
      <c r="AJ737" s="185">
        <f t="shared" si="3248"/>
        <v>0</v>
      </c>
      <c r="AK737" s="185">
        <f t="shared" si="3248"/>
        <v>0</v>
      </c>
      <c r="AL737" s="185">
        <f t="shared" si="3248"/>
        <v>0</v>
      </c>
      <c r="AM737" s="185">
        <f t="shared" si="3248"/>
        <v>0</v>
      </c>
      <c r="AN737" s="185">
        <f t="shared" si="3248"/>
        <v>0</v>
      </c>
      <c r="AO737" s="185">
        <f t="shared" si="3248"/>
        <v>0</v>
      </c>
      <c r="AP737" s="185">
        <f t="shared" si="3248"/>
        <v>0</v>
      </c>
      <c r="AQ737" s="185">
        <f t="shared" si="3248"/>
        <v>0</v>
      </c>
      <c r="AR737" s="185">
        <f t="shared" si="3248"/>
        <v>0</v>
      </c>
      <c r="AS737" s="185">
        <f t="shared" si="3248"/>
        <v>0</v>
      </c>
      <c r="AT737" s="185">
        <f t="shared" si="3248"/>
        <v>0</v>
      </c>
      <c r="AU737" s="185">
        <f t="shared" si="3248"/>
        <v>0</v>
      </c>
      <c r="AV737" s="185">
        <f t="shared" si="3248"/>
        <v>0</v>
      </c>
      <c r="AW737" s="180"/>
      <c r="AX737" s="189">
        <f>SUM(G737:AW737)</f>
        <v>0</v>
      </c>
    </row>
    <row r="738" spans="1:50" hidden="1" outlineLevel="1" x14ac:dyDescent="0.2">
      <c r="A738" s="217" t="str">
        <f ca="1">Language!A$906</f>
        <v>прибыль/убыток от продажи актива (налоговая)</v>
      </c>
      <c r="B738" s="219"/>
      <c r="C738" s="82" t="str">
        <f t="shared" ca="1" si="3245"/>
        <v>тыс. руб.</v>
      </c>
      <c r="D738" s="66">
        <v>1</v>
      </c>
      <c r="E738" s="57" t="s">
        <v>769</v>
      </c>
      <c r="F738" s="57" t="s">
        <v>753</v>
      </c>
      <c r="G738" s="185">
        <f t="shared" ref="G738:AV738" si="3249">IF(G723=0,0,G723-IF(G$2=1,G724,F729+F736))</f>
        <v>0</v>
      </c>
      <c r="H738" s="185">
        <f t="shared" si="3249"/>
        <v>0</v>
      </c>
      <c r="I738" s="185">
        <f t="shared" si="3249"/>
        <v>0</v>
      </c>
      <c r="J738" s="185">
        <f t="shared" si="3249"/>
        <v>0</v>
      </c>
      <c r="K738" s="185">
        <f t="shared" si="3249"/>
        <v>0</v>
      </c>
      <c r="L738" s="185">
        <f t="shared" si="3249"/>
        <v>0</v>
      </c>
      <c r="M738" s="185">
        <f t="shared" si="3249"/>
        <v>0</v>
      </c>
      <c r="N738" s="185">
        <f t="shared" si="3249"/>
        <v>0</v>
      </c>
      <c r="O738" s="185">
        <f t="shared" si="3249"/>
        <v>0</v>
      </c>
      <c r="P738" s="185">
        <f t="shared" si="3249"/>
        <v>0</v>
      </c>
      <c r="Q738" s="185">
        <f t="shared" si="3249"/>
        <v>0</v>
      </c>
      <c r="R738" s="185">
        <f t="shared" si="3249"/>
        <v>0</v>
      </c>
      <c r="S738" s="185">
        <f t="shared" si="3249"/>
        <v>0</v>
      </c>
      <c r="T738" s="185">
        <f t="shared" si="3249"/>
        <v>0</v>
      </c>
      <c r="U738" s="185">
        <f t="shared" si="3249"/>
        <v>0</v>
      </c>
      <c r="V738" s="185">
        <f t="shared" si="3249"/>
        <v>0</v>
      </c>
      <c r="W738" s="185">
        <f t="shared" si="3249"/>
        <v>0</v>
      </c>
      <c r="X738" s="185">
        <f t="shared" si="3249"/>
        <v>0</v>
      </c>
      <c r="Y738" s="185">
        <f t="shared" si="3249"/>
        <v>0</v>
      </c>
      <c r="Z738" s="185">
        <f t="shared" si="3249"/>
        <v>0</v>
      </c>
      <c r="AA738" s="185">
        <f t="shared" si="3249"/>
        <v>0</v>
      </c>
      <c r="AB738" s="185">
        <f t="shared" si="3249"/>
        <v>0</v>
      </c>
      <c r="AC738" s="185">
        <f t="shared" si="3249"/>
        <v>0</v>
      </c>
      <c r="AD738" s="185">
        <f t="shared" si="3249"/>
        <v>0</v>
      </c>
      <c r="AE738" s="185">
        <f t="shared" si="3249"/>
        <v>0</v>
      </c>
      <c r="AF738" s="185">
        <f t="shared" si="3249"/>
        <v>0</v>
      </c>
      <c r="AG738" s="185">
        <f t="shared" si="3249"/>
        <v>0</v>
      </c>
      <c r="AH738" s="185">
        <f t="shared" si="3249"/>
        <v>0</v>
      </c>
      <c r="AI738" s="185">
        <f t="shared" si="3249"/>
        <v>0</v>
      </c>
      <c r="AJ738" s="185">
        <f t="shared" si="3249"/>
        <v>0</v>
      </c>
      <c r="AK738" s="185">
        <f t="shared" si="3249"/>
        <v>0</v>
      </c>
      <c r="AL738" s="185">
        <f t="shared" si="3249"/>
        <v>0</v>
      </c>
      <c r="AM738" s="185">
        <f t="shared" si="3249"/>
        <v>0</v>
      </c>
      <c r="AN738" s="185">
        <f t="shared" si="3249"/>
        <v>0</v>
      </c>
      <c r="AO738" s="185">
        <f t="shared" si="3249"/>
        <v>0</v>
      </c>
      <c r="AP738" s="185">
        <f t="shared" si="3249"/>
        <v>0</v>
      </c>
      <c r="AQ738" s="185">
        <f t="shared" si="3249"/>
        <v>0</v>
      </c>
      <c r="AR738" s="185">
        <f t="shared" si="3249"/>
        <v>0</v>
      </c>
      <c r="AS738" s="185">
        <f t="shared" si="3249"/>
        <v>0</v>
      </c>
      <c r="AT738" s="185">
        <f t="shared" si="3249"/>
        <v>0</v>
      </c>
      <c r="AU738" s="185">
        <f t="shared" si="3249"/>
        <v>0</v>
      </c>
      <c r="AV738" s="185">
        <f t="shared" si="3249"/>
        <v>0</v>
      </c>
      <c r="AW738" s="180"/>
      <c r="AX738" s="189">
        <f>SUM(G738:AW738)</f>
        <v>0</v>
      </c>
    </row>
    <row r="739" spans="1:50" hidden="1" outlineLevel="1" x14ac:dyDescent="0.2">
      <c r="A739" s="217" t="str">
        <f ca="1">Language!A$907</f>
        <v>НДС к выручке от продажи актива</v>
      </c>
      <c r="B739" s="219"/>
      <c r="C739" s="82" t="str">
        <f t="shared" ca="1" si="3245"/>
        <v>тыс. руб.</v>
      </c>
      <c r="D739" s="66">
        <v>1</v>
      </c>
      <c r="E739" s="57" t="s">
        <v>770</v>
      </c>
      <c r="F739" s="57" t="s">
        <v>753</v>
      </c>
      <c r="G739" s="185">
        <f t="shared" ref="G739:AV739" si="3250">G723*G722</f>
        <v>0</v>
      </c>
      <c r="H739" s="185">
        <f t="shared" si="3250"/>
        <v>0</v>
      </c>
      <c r="I739" s="185">
        <f t="shared" si="3250"/>
        <v>0</v>
      </c>
      <c r="J739" s="185">
        <f t="shared" si="3250"/>
        <v>0</v>
      </c>
      <c r="K739" s="185">
        <f t="shared" si="3250"/>
        <v>0</v>
      </c>
      <c r="L739" s="185">
        <f t="shared" si="3250"/>
        <v>0</v>
      </c>
      <c r="M739" s="185">
        <f t="shared" si="3250"/>
        <v>0</v>
      </c>
      <c r="N739" s="185">
        <f t="shared" si="3250"/>
        <v>0</v>
      </c>
      <c r="O739" s="185">
        <f t="shared" si="3250"/>
        <v>0</v>
      </c>
      <c r="P739" s="185">
        <f t="shared" si="3250"/>
        <v>0</v>
      </c>
      <c r="Q739" s="185">
        <f t="shared" si="3250"/>
        <v>0</v>
      </c>
      <c r="R739" s="185">
        <f t="shared" si="3250"/>
        <v>0</v>
      </c>
      <c r="S739" s="185">
        <f t="shared" si="3250"/>
        <v>0</v>
      </c>
      <c r="T739" s="185">
        <f t="shared" si="3250"/>
        <v>0</v>
      </c>
      <c r="U739" s="185">
        <f t="shared" si="3250"/>
        <v>0</v>
      </c>
      <c r="V739" s="185">
        <f t="shared" si="3250"/>
        <v>0</v>
      </c>
      <c r="W739" s="185">
        <f t="shared" si="3250"/>
        <v>0</v>
      </c>
      <c r="X739" s="185">
        <f t="shared" si="3250"/>
        <v>0</v>
      </c>
      <c r="Y739" s="185">
        <f t="shared" si="3250"/>
        <v>0</v>
      </c>
      <c r="Z739" s="185">
        <f t="shared" si="3250"/>
        <v>0</v>
      </c>
      <c r="AA739" s="185">
        <f t="shared" si="3250"/>
        <v>0</v>
      </c>
      <c r="AB739" s="185">
        <f t="shared" si="3250"/>
        <v>0</v>
      </c>
      <c r="AC739" s="185">
        <f t="shared" si="3250"/>
        <v>0</v>
      </c>
      <c r="AD739" s="185">
        <f t="shared" si="3250"/>
        <v>0</v>
      </c>
      <c r="AE739" s="185">
        <f t="shared" si="3250"/>
        <v>0</v>
      </c>
      <c r="AF739" s="185">
        <f t="shared" si="3250"/>
        <v>0</v>
      </c>
      <c r="AG739" s="185">
        <f t="shared" si="3250"/>
        <v>0</v>
      </c>
      <c r="AH739" s="185">
        <f t="shared" si="3250"/>
        <v>0</v>
      </c>
      <c r="AI739" s="185">
        <f t="shared" si="3250"/>
        <v>0</v>
      </c>
      <c r="AJ739" s="185">
        <f t="shared" si="3250"/>
        <v>0</v>
      </c>
      <c r="AK739" s="185">
        <f t="shared" si="3250"/>
        <v>0</v>
      </c>
      <c r="AL739" s="185">
        <f t="shared" si="3250"/>
        <v>0</v>
      </c>
      <c r="AM739" s="185">
        <f t="shared" si="3250"/>
        <v>0</v>
      </c>
      <c r="AN739" s="185">
        <f t="shared" si="3250"/>
        <v>0</v>
      </c>
      <c r="AO739" s="185">
        <f t="shared" si="3250"/>
        <v>0</v>
      </c>
      <c r="AP739" s="185">
        <f t="shared" si="3250"/>
        <v>0</v>
      </c>
      <c r="AQ739" s="185">
        <f t="shared" si="3250"/>
        <v>0</v>
      </c>
      <c r="AR739" s="185">
        <f t="shared" si="3250"/>
        <v>0</v>
      </c>
      <c r="AS739" s="185">
        <f t="shared" si="3250"/>
        <v>0</v>
      </c>
      <c r="AT739" s="185">
        <f t="shared" si="3250"/>
        <v>0</v>
      </c>
      <c r="AU739" s="185">
        <f t="shared" si="3250"/>
        <v>0</v>
      </c>
      <c r="AV739" s="185">
        <f t="shared" si="3250"/>
        <v>0</v>
      </c>
      <c r="AW739" s="180"/>
      <c r="AX739" s="189">
        <f>SUM(G739:AW739)</f>
        <v>0</v>
      </c>
    </row>
    <row r="740" spans="1:50" hidden="1" outlineLevel="1" x14ac:dyDescent="0.2">
      <c r="A740" s="217" t="str">
        <f ca="1">Language!A$908</f>
        <v>курсовые разницы</v>
      </c>
      <c r="B740" s="219"/>
      <c r="C740" s="82" t="str">
        <f t="shared" ca="1" si="3245"/>
        <v>тыс. руб.</v>
      </c>
      <c r="D740" s="66">
        <v>1</v>
      </c>
      <c r="E740" s="57" t="s">
        <v>1270</v>
      </c>
      <c r="F740" s="57" t="s">
        <v>753</v>
      </c>
      <c r="G740" s="185">
        <f>-(SUM($G724:G724)+$B725+SUM($G728:G728)-G729+G730-SUM($G727:G727)*IF($B719=0,1,1+$B721)+IF(G$2=1,0,SUM($F740:F740)))</f>
        <v>0</v>
      </c>
      <c r="H740" s="185">
        <f>-(SUM($G724:H724)+$B725+SUM($G728:H728)-H729+H730-SUM($G727:H727)*IF($B719=0,1,1+$B721)+IF(H$2=1,0,SUM($F740:G740)))</f>
        <v>0</v>
      </c>
      <c r="I740" s="185">
        <f>-(SUM($G724:I724)+$B725+SUM($G728:I728)-I729+I730-SUM($G727:I727)*IF($B719=0,1,1+$B721)+IF(I$2=1,0,SUM($F740:H740)))</f>
        <v>0</v>
      </c>
      <c r="J740" s="185">
        <f>-(SUM($G724:J724)+$B725+SUM($G728:J728)-J729+J730-SUM($G727:J727)*IF($B719=0,1,1+$B721)+IF(J$2=1,0,SUM($F740:I740)))</f>
        <v>0</v>
      </c>
      <c r="K740" s="185">
        <f>-(SUM($G724:K724)+$B725+SUM($G728:K728)-K729+K730-SUM($G727:K727)*IF($B719=0,1,1+$B721)+IF(K$2=1,0,SUM($F740:J740)))</f>
        <v>0</v>
      </c>
      <c r="L740" s="185">
        <f>-(SUM($G724:L724)+$B725+SUM($G728:L728)-L729+L730-SUM($G727:L727)*IF($B719=0,1,1+$B721)+IF(L$2=1,0,SUM($F740:K740)))</f>
        <v>0</v>
      </c>
      <c r="M740" s="185">
        <f>-(SUM($G724:M724)+$B725+SUM($G728:M728)-M729+M730-SUM($G727:M727)*IF($B719=0,1,1+$B721)+IF(M$2=1,0,SUM($F740:L740)))</f>
        <v>0</v>
      </c>
      <c r="N740" s="185">
        <f>-(SUM($G724:N724)+$B725+SUM($G728:N728)-N729+N730-SUM($G727:N727)*IF($B719=0,1,1+$B721)+IF(N$2=1,0,SUM($F740:M740)))</f>
        <v>0</v>
      </c>
      <c r="O740" s="185">
        <f>-(SUM($G724:O724)+$B725+SUM($G728:O728)-O729+O730-SUM($G727:O727)*IF($B719=0,1,1+$B721)+IF(O$2=1,0,SUM($F740:N740)))</f>
        <v>0</v>
      </c>
      <c r="P740" s="185">
        <f>-(SUM($G724:P724)+$B725+SUM($G728:P728)-P729+P730-SUM($G727:P727)*IF($B719=0,1,1+$B721)+IF(P$2=1,0,SUM($F740:O740)))</f>
        <v>0</v>
      </c>
      <c r="Q740" s="185">
        <f>-(SUM($G724:Q724)+$B725+SUM($G728:Q728)-Q729+Q730-SUM($G727:Q727)*IF($B719=0,1,1+$B721)+IF(Q$2=1,0,SUM($F740:P740)))</f>
        <v>0</v>
      </c>
      <c r="R740" s="185">
        <f>-(SUM($G724:R724)+$B725+SUM($G728:R728)-R729+R730-SUM($G727:R727)*IF($B719=0,1,1+$B721)+IF(R$2=1,0,SUM($F740:Q740)))</f>
        <v>0</v>
      </c>
      <c r="S740" s="185">
        <f>-(SUM($G724:S724)+$B725+SUM($G728:S728)-S729+S730-SUM($G727:S727)*IF($B719=0,1,1+$B721)+IF(S$2=1,0,SUM($F740:R740)))</f>
        <v>0</v>
      </c>
      <c r="T740" s="185">
        <f>-(SUM($G724:T724)+$B725+SUM($G728:T728)-T729+T730-SUM($G727:T727)*IF($B719=0,1,1+$B721)+IF(T$2=1,0,SUM($F740:S740)))</f>
        <v>0</v>
      </c>
      <c r="U740" s="185">
        <f>-(SUM($G724:U724)+$B725+SUM($G728:U728)-U729+U730-SUM($G727:U727)*IF($B719=0,1,1+$B721)+IF(U$2=1,0,SUM($F740:T740)))</f>
        <v>0</v>
      </c>
      <c r="V740" s="185">
        <f>-(SUM($G724:V724)+$B725+SUM($G728:V728)-V729+V730-SUM($G727:V727)*IF($B719=0,1,1+$B721)+IF(V$2=1,0,SUM($F740:U740)))</f>
        <v>0</v>
      </c>
      <c r="W740" s="185">
        <f>-(SUM($G724:W724)+$B725+SUM($G728:W728)-W729+W730-SUM($G727:W727)*IF($B719=0,1,1+$B721)+IF(W$2=1,0,SUM($F740:V740)))</f>
        <v>0</v>
      </c>
      <c r="X740" s="185">
        <f>-(SUM($G724:X724)+$B725+SUM($G728:X728)-X729+X730-SUM($G727:X727)*IF($B719=0,1,1+$B721)+IF(X$2=1,0,SUM($F740:W740)))</f>
        <v>0</v>
      </c>
      <c r="Y740" s="185">
        <f>-(SUM($G724:Y724)+$B725+SUM($G728:Y728)-Y729+Y730-SUM($G727:Y727)*IF($B719=0,1,1+$B721)+IF(Y$2=1,0,SUM($F740:X740)))</f>
        <v>0</v>
      </c>
      <c r="Z740" s="185">
        <f>-(SUM($G724:Z724)+$B725+SUM($G728:Z728)-Z729+Z730-SUM($G727:Z727)*IF($B719=0,1,1+$B721)+IF(Z$2=1,0,SUM($F740:Y740)))</f>
        <v>0</v>
      </c>
      <c r="AA740" s="185">
        <f>-(SUM($G724:AA724)+$B725+SUM($G728:AA728)-AA729+AA730-SUM($G727:AA727)*IF($B719=0,1,1+$B721)+IF(AA$2=1,0,SUM($F740:Z740)))</f>
        <v>0</v>
      </c>
      <c r="AB740" s="185">
        <f>-(SUM($G724:AB724)+$B725+SUM($G728:AB728)-AB729+AB730-SUM($G727:AB727)*IF($B719=0,1,1+$B721)+IF(AB$2=1,0,SUM($F740:AA740)))</f>
        <v>0</v>
      </c>
      <c r="AC740" s="185">
        <f>-(SUM($G724:AC724)+$B725+SUM($G728:AC728)-AC729+AC730-SUM($G727:AC727)*IF($B719=0,1,1+$B721)+IF(AC$2=1,0,SUM($F740:AB740)))</f>
        <v>0</v>
      </c>
      <c r="AD740" s="185">
        <f>-(SUM($G724:AD724)+$B725+SUM($G728:AD728)-AD729+AD730-SUM($G727:AD727)*IF($B719=0,1,1+$B721)+IF(AD$2=1,0,SUM($F740:AC740)))</f>
        <v>0</v>
      </c>
      <c r="AE740" s="185">
        <f>-(SUM($G724:AE724)+$B725+SUM($G728:AE728)-AE729+AE730-SUM($G727:AE727)*IF($B719=0,1,1+$B721)+IF(AE$2=1,0,SUM($F740:AD740)))</f>
        <v>0</v>
      </c>
      <c r="AF740" s="185">
        <f>-(SUM($G724:AF724)+$B725+SUM($G728:AF728)-AF729+AF730-SUM($G727:AF727)*IF($B719=0,1,1+$B721)+IF(AF$2=1,0,SUM($F740:AE740)))</f>
        <v>0</v>
      </c>
      <c r="AG740" s="185">
        <f>-(SUM($G724:AG724)+$B725+SUM($G728:AG728)-AG729+AG730-SUM($G727:AG727)*IF($B719=0,1,1+$B721)+IF(AG$2=1,0,SUM($F740:AF740)))</f>
        <v>0</v>
      </c>
      <c r="AH740" s="185">
        <f>-(SUM($G724:AH724)+$B725+SUM($G728:AH728)-AH729+AH730-SUM($G727:AH727)*IF($B719=0,1,1+$B721)+IF(AH$2=1,0,SUM($F740:AG740)))</f>
        <v>0</v>
      </c>
      <c r="AI740" s="185">
        <f>-(SUM($G724:AI724)+$B725+SUM($G728:AI728)-AI729+AI730-SUM($G727:AI727)*IF($B719=0,1,1+$B721)+IF(AI$2=1,0,SUM($F740:AH740)))</f>
        <v>0</v>
      </c>
      <c r="AJ740" s="185">
        <f>-(SUM($G724:AJ724)+$B725+SUM($G728:AJ728)-AJ729+AJ730-SUM($G727:AJ727)*IF($B719=0,1,1+$B721)+IF(AJ$2=1,0,SUM($F740:AI740)))</f>
        <v>0</v>
      </c>
      <c r="AK740" s="185">
        <f>-(SUM($G724:AK724)+$B725+SUM($G728:AK728)-AK729+AK730-SUM($G727:AK727)*IF($B719=0,1,1+$B721)+IF(AK$2=1,0,SUM($F740:AJ740)))</f>
        <v>0</v>
      </c>
      <c r="AL740" s="185">
        <f>-(SUM($G724:AL724)+$B725+SUM($G728:AL728)-AL729+AL730-SUM($G727:AL727)*IF($B719=0,1,1+$B721)+IF(AL$2=1,0,SUM($F740:AK740)))</f>
        <v>0</v>
      </c>
      <c r="AM740" s="185">
        <f>-(SUM($G724:AM724)+$B725+SUM($G728:AM728)-AM729+AM730-SUM($G727:AM727)*IF($B719=0,1,1+$B721)+IF(AM$2=1,0,SUM($F740:AL740)))</f>
        <v>0</v>
      </c>
      <c r="AN740" s="185">
        <f>-(SUM($G724:AN724)+$B725+SUM($G728:AN728)-AN729+AN730-SUM($G727:AN727)*IF($B719=0,1,1+$B721)+IF(AN$2=1,0,SUM($F740:AM740)))</f>
        <v>0</v>
      </c>
      <c r="AO740" s="185">
        <f>-(SUM($G724:AO724)+$B725+SUM($G728:AO728)-AO729+AO730-SUM($G727:AO727)*IF($B719=0,1,1+$B721)+IF(AO$2=1,0,SUM($F740:AN740)))</f>
        <v>0</v>
      </c>
      <c r="AP740" s="185">
        <f>-(SUM($G724:AP724)+$B725+SUM($G728:AP728)-AP729+AP730-SUM($G727:AP727)*IF($B719=0,1,1+$B721)+IF(AP$2=1,0,SUM($F740:AO740)))</f>
        <v>0</v>
      </c>
      <c r="AQ740" s="185">
        <f>-(SUM($G724:AQ724)+$B725+SUM($G728:AQ728)-AQ729+AQ730-SUM($G727:AQ727)*IF($B719=0,1,1+$B721)+IF(AQ$2=1,0,SUM($F740:AP740)))</f>
        <v>0</v>
      </c>
      <c r="AR740" s="185">
        <f>-(SUM($G724:AR724)+$B725+SUM($G728:AR728)-AR729+AR730-SUM($G727:AR727)*IF($B719=0,1,1+$B721)+IF(AR$2=1,0,SUM($F740:AQ740)))</f>
        <v>0</v>
      </c>
      <c r="AS740" s="185">
        <f>-(SUM($G724:AS724)+$B725+SUM($G728:AS728)-AS729+AS730-SUM($G727:AS727)*IF($B719=0,1,1+$B721)+IF(AS$2=1,0,SUM($F740:AR740)))</f>
        <v>0</v>
      </c>
      <c r="AT740" s="185">
        <f>-(SUM($G724:AT724)+$B725+SUM($G728:AT728)-AT729+AT730-SUM($G727:AT727)*IF($B719=0,1,1+$B721)+IF(AT$2=1,0,SUM($F740:AS740)))</f>
        <v>0</v>
      </c>
      <c r="AU740" s="185">
        <f>-(SUM($G724:AU724)+$B725+SUM($G728:AU728)-AU729+AU730-SUM($G727:AU727)*IF($B719=0,1,1+$B721)+IF(AU$2=1,0,SUM($F740:AT740)))</f>
        <v>0</v>
      </c>
      <c r="AV740" s="185">
        <f>-(SUM($G724:AV724)+$B725+SUM($G728:AV728)-AV729+AV730-SUM($G727:AV727)*IF($B719=0,1,1+$B721)+IF(AV$2=1,0,SUM($F740:AU740)))</f>
        <v>0</v>
      </c>
      <c r="AW740" s="180"/>
      <c r="AX740" s="189">
        <f>SUM(G740:AW740)</f>
        <v>0</v>
      </c>
    </row>
    <row r="741" spans="1:50" x14ac:dyDescent="0.2">
      <c r="A741" s="299" t="s">
        <v>2301</v>
      </c>
      <c r="C741" s="146"/>
      <c r="D741" s="158">
        <v>1</v>
      </c>
      <c r="F741" s="57" t="s">
        <v>2302</v>
      </c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71"/>
    </row>
    <row r="742" spans="1:50" collapsed="1" x14ac:dyDescent="0.2">
      <c r="A742" s="99" t="str">
        <f ca="1">Language!A$882</f>
        <v>график оплаты, без НДС</v>
      </c>
      <c r="B742" s="215">
        <f>AX742</f>
        <v>112979.66101694916</v>
      </c>
      <c r="C742" s="146" t="str">
        <f t="shared" ref="C742:C743" ca="1" si="3251">CHOOSE(D742,CurName1,CurName2,CurName3)</f>
        <v>тыс. руб.</v>
      </c>
      <c r="D742" s="66">
        <f>D741</f>
        <v>1</v>
      </c>
      <c r="F742" s="57" t="s">
        <v>753</v>
      </c>
      <c r="G742" s="311">
        <v>12711.864406779661</v>
      </c>
      <c r="H742" s="311">
        <v>50847.457627118645</v>
      </c>
      <c r="I742" s="311">
        <v>29661.016949152545</v>
      </c>
      <c r="J742" s="311">
        <v>19759.322033898305</v>
      </c>
      <c r="K742" s="311">
        <v>0</v>
      </c>
      <c r="L742" s="311">
        <v>0</v>
      </c>
      <c r="M742" s="311">
        <v>0</v>
      </c>
      <c r="N742" s="311">
        <v>0</v>
      </c>
      <c r="O742" s="311">
        <v>0</v>
      </c>
      <c r="P742" s="311">
        <v>0</v>
      </c>
      <c r="Q742" s="311">
        <v>0</v>
      </c>
      <c r="R742" s="311">
        <v>0</v>
      </c>
      <c r="S742" s="311">
        <v>0</v>
      </c>
      <c r="T742" s="311">
        <v>0</v>
      </c>
      <c r="U742" s="311">
        <v>0</v>
      </c>
      <c r="V742" s="311">
        <v>0</v>
      </c>
      <c r="W742" s="311">
        <v>0</v>
      </c>
      <c r="X742" s="311">
        <v>0</v>
      </c>
      <c r="Y742" s="311">
        <v>0</v>
      </c>
      <c r="Z742" s="311">
        <v>0</v>
      </c>
      <c r="AA742" s="311">
        <v>0</v>
      </c>
      <c r="AB742" s="311">
        <v>0</v>
      </c>
      <c r="AC742" s="311">
        <v>0</v>
      </c>
      <c r="AD742" s="311">
        <v>0</v>
      </c>
      <c r="AE742" s="311">
        <v>0</v>
      </c>
      <c r="AF742" s="311">
        <v>0</v>
      </c>
      <c r="AG742" s="311">
        <v>0</v>
      </c>
      <c r="AH742" s="311">
        <v>0</v>
      </c>
      <c r="AI742" s="311">
        <v>0</v>
      </c>
      <c r="AJ742" s="311">
        <v>0</v>
      </c>
      <c r="AK742" s="311">
        <v>0</v>
      </c>
      <c r="AL742" s="311">
        <v>0</v>
      </c>
      <c r="AM742" s="311">
        <v>0</v>
      </c>
      <c r="AN742" s="311">
        <v>0</v>
      </c>
      <c r="AO742" s="311">
        <v>0</v>
      </c>
      <c r="AP742" s="311">
        <v>0</v>
      </c>
      <c r="AQ742" s="311">
        <v>0</v>
      </c>
      <c r="AR742" s="311">
        <v>0</v>
      </c>
      <c r="AS742" s="311">
        <v>0</v>
      </c>
      <c r="AT742" s="311">
        <v>0</v>
      </c>
      <c r="AU742" s="311">
        <v>0</v>
      </c>
      <c r="AV742" s="311">
        <v>0</v>
      </c>
      <c r="AW742" s="148"/>
      <c r="AX742" s="171">
        <f>SUM(G742:AW742)</f>
        <v>112979.66101694916</v>
      </c>
    </row>
    <row r="743" spans="1:50" hidden="1" outlineLevel="1" x14ac:dyDescent="0.2">
      <c r="A743" s="99" t="str">
        <f ca="1">Language!A$883</f>
        <v>ранее осуществленные инвестиции, без НДС</v>
      </c>
      <c r="B743" s="328">
        <v>0</v>
      </c>
      <c r="C743" s="146" t="str">
        <f t="shared" ca="1" si="3251"/>
        <v>тыс. руб.</v>
      </c>
      <c r="D743" s="66">
        <f>D741</f>
        <v>1</v>
      </c>
      <c r="AW743" s="94"/>
    </row>
    <row r="744" spans="1:50" hidden="1" outlineLevel="1" x14ac:dyDescent="0.2">
      <c r="A744" s="99" t="str">
        <f ca="1">Language!A$884</f>
        <v>график ввода в эксплуатацию, без НДС</v>
      </c>
      <c r="B744" s="146"/>
      <c r="C744" s="146" t="str">
        <f ca="1">CHOOSE(D744,CurName1,CurName2,CurName3)</f>
        <v>тыс. руб.</v>
      </c>
      <c r="D744" s="66">
        <f>D741</f>
        <v>1</v>
      </c>
      <c r="F744" s="57" t="s">
        <v>753</v>
      </c>
      <c r="G744" s="311">
        <f>IF(G$2=ROUNDUP(Параметры!$B$18,0)+1,$AX742+$B743,0)</f>
        <v>112979.66101694916</v>
      </c>
      <c r="H744" s="311">
        <f>IF(H$2=ROUNDUP(Параметры!$B$18,0)+1,$AX742+$B743,0)</f>
        <v>0</v>
      </c>
      <c r="I744" s="311">
        <f>IF(I$2=ROUNDUP(Параметры!$B$18,0)+1,$AX742+$B743,0)</f>
        <v>0</v>
      </c>
      <c r="J744" s="311">
        <f>IF(J$2=ROUNDUP(Параметры!$B$18,0)+1,$AX742+$B743,0)</f>
        <v>0</v>
      </c>
      <c r="K744" s="311">
        <f>IF(K$2=ROUNDUP(Параметры!$B$18,0)+1,$AX742+$B743,0)</f>
        <v>0</v>
      </c>
      <c r="L744" s="311">
        <f>IF(L$2=ROUNDUP(Параметры!$B$18,0)+1,$AX742+$B743,0)</f>
        <v>0</v>
      </c>
      <c r="M744" s="311">
        <f>IF(M$2=ROUNDUP(Параметры!$B$18,0)+1,$AX742+$B743,0)</f>
        <v>0</v>
      </c>
      <c r="N744" s="311">
        <f>IF(N$2=ROUNDUP(Параметры!$B$18,0)+1,$AX742+$B743,0)</f>
        <v>0</v>
      </c>
      <c r="O744" s="311">
        <f>IF(O$2=ROUNDUP(Параметры!$B$18,0)+1,$AX742+$B743,0)</f>
        <v>0</v>
      </c>
      <c r="P744" s="311">
        <f>IF(P$2=ROUNDUP(Параметры!$B$18,0)+1,$AX742+$B743,0)</f>
        <v>0</v>
      </c>
      <c r="Q744" s="311">
        <f>IF(Q$2=ROUNDUP(Параметры!$B$18,0)+1,$AX742+$B743,0)</f>
        <v>0</v>
      </c>
      <c r="R744" s="311">
        <f>IF(R$2=ROUNDUP(Параметры!$B$18,0)+1,$AX742+$B743,0)</f>
        <v>0</v>
      </c>
      <c r="S744" s="311">
        <f>IF(S$2=ROUNDUP(Параметры!$B$18,0)+1,$AX742+$B743,0)</f>
        <v>0</v>
      </c>
      <c r="T744" s="311">
        <f>IF(T$2=ROUNDUP(Параметры!$B$18,0)+1,$AX742+$B743,0)</f>
        <v>0</v>
      </c>
      <c r="U744" s="311">
        <f>IF(U$2=ROUNDUP(Параметры!$B$18,0)+1,$AX742+$B743,0)</f>
        <v>0</v>
      </c>
      <c r="V744" s="311">
        <f>IF(V$2=ROUNDUP(Параметры!$B$18,0)+1,$AX742+$B743,0)</f>
        <v>0</v>
      </c>
      <c r="W744" s="311">
        <f>IF(W$2=ROUNDUP(Параметры!$B$18,0)+1,$AX742+$B743,0)</f>
        <v>0</v>
      </c>
      <c r="X744" s="311">
        <f>IF(X$2=ROUNDUP(Параметры!$B$18,0)+1,$AX742+$B743,0)</f>
        <v>0</v>
      </c>
      <c r="Y744" s="311">
        <f>IF(Y$2=ROUNDUP(Параметры!$B$18,0)+1,$AX742+$B743,0)</f>
        <v>0</v>
      </c>
      <c r="Z744" s="311">
        <f>IF(Z$2=ROUNDUP(Параметры!$B$18,0)+1,$AX742+$B743,0)</f>
        <v>0</v>
      </c>
      <c r="AA744" s="311">
        <f>IF(AA$2=ROUNDUP(Параметры!$B$18,0)+1,$AX742+$B743,0)</f>
        <v>0</v>
      </c>
      <c r="AB744" s="311">
        <f>IF(AB$2=ROUNDUP(Параметры!$B$18,0)+1,$AX742+$B743,0)</f>
        <v>0</v>
      </c>
      <c r="AC744" s="311">
        <f>IF(AC$2=ROUNDUP(Параметры!$B$18,0)+1,$AX742+$B743,0)</f>
        <v>0</v>
      </c>
      <c r="AD744" s="311">
        <f>IF(AD$2=ROUNDUP(Параметры!$B$18,0)+1,$AX742+$B743,0)</f>
        <v>0</v>
      </c>
      <c r="AE744" s="311">
        <f>IF(AE$2=ROUNDUP(Параметры!$B$18,0)+1,$AX742+$B743,0)</f>
        <v>0</v>
      </c>
      <c r="AF744" s="311">
        <f>IF(AF$2=ROUNDUP(Параметры!$B$18,0)+1,$AX742+$B743,0)</f>
        <v>0</v>
      </c>
      <c r="AG744" s="311">
        <f>IF(AG$2=ROUNDUP(Параметры!$B$18,0)+1,$AX742+$B743,0)</f>
        <v>0</v>
      </c>
      <c r="AH744" s="311">
        <f>IF(AH$2=ROUNDUP(Параметры!$B$18,0)+1,$AX742+$B743,0)</f>
        <v>0</v>
      </c>
      <c r="AI744" s="311">
        <f>IF(AI$2=ROUNDUP(Параметры!$B$18,0)+1,$AX742+$B743,0)</f>
        <v>0</v>
      </c>
      <c r="AJ744" s="311">
        <f>IF(AJ$2=ROUNDUP(Параметры!$B$18,0)+1,$AX742+$B743,0)</f>
        <v>0</v>
      </c>
      <c r="AK744" s="311">
        <f>IF(AK$2=ROUNDUP(Параметры!$B$18,0)+1,$AX742+$B743,0)</f>
        <v>0</v>
      </c>
      <c r="AL744" s="311">
        <f>IF(AL$2=ROUNDUP(Параметры!$B$18,0)+1,$AX742+$B743,0)</f>
        <v>0</v>
      </c>
      <c r="AM744" s="311">
        <f>IF(AM$2=ROUNDUP(Параметры!$B$18,0)+1,$AX742+$B743,0)</f>
        <v>0</v>
      </c>
      <c r="AN744" s="311">
        <f>IF(AN$2=ROUNDUP(Параметры!$B$18,0)+1,$AX742+$B743,0)</f>
        <v>0</v>
      </c>
      <c r="AO744" s="311">
        <f>IF(AO$2=ROUNDUP(Параметры!$B$18,0)+1,$AX742+$B743,0)</f>
        <v>0</v>
      </c>
      <c r="AP744" s="311">
        <f>IF(AP$2=ROUNDUP(Параметры!$B$18,0)+1,$AX742+$B743,0)</f>
        <v>0</v>
      </c>
      <c r="AQ744" s="311">
        <f>IF(AQ$2=ROUNDUP(Параметры!$B$18,0)+1,$AX742+$B743,0)</f>
        <v>0</v>
      </c>
      <c r="AR744" s="311">
        <f>IF(AR$2=ROUNDUP(Параметры!$B$18,0)+1,$AX742+$B743,0)</f>
        <v>0</v>
      </c>
      <c r="AS744" s="311">
        <f>IF(AS$2=ROUNDUP(Параметры!$B$18,0)+1,$AX742+$B743,0)</f>
        <v>0</v>
      </c>
      <c r="AT744" s="311">
        <f>IF(AT$2=ROUNDUP(Параметры!$B$18,0)+1,$AX742+$B743,0)</f>
        <v>0</v>
      </c>
      <c r="AU744" s="311">
        <f>IF(AU$2=ROUNDUP(Параметры!$B$18,0)+1,$AX742+$B743,0)</f>
        <v>0</v>
      </c>
      <c r="AV744" s="311">
        <f>IF(AV$2=ROUNDUP(Параметры!$B$18,0)+1,$AX742+$B743,0)</f>
        <v>0</v>
      </c>
      <c r="AW744" s="148"/>
      <c r="AX744" s="171">
        <f>SUM(G744:AW744)</f>
        <v>112979.66101694916</v>
      </c>
    </row>
    <row r="745" spans="1:50" hidden="1" outlineLevel="1" x14ac:dyDescent="0.2">
      <c r="A745" s="99" t="str">
        <f ca="1">Language!A$885</f>
        <v xml:space="preserve">срок полезного использования </v>
      </c>
      <c r="B745" s="328">
        <v>10</v>
      </c>
      <c r="C745" s="146" t="str">
        <f ca="1">Language!A$48</f>
        <v>лет</v>
      </c>
      <c r="D745" s="66">
        <v>1</v>
      </c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71"/>
    </row>
    <row r="746" spans="1:50" hidden="1" outlineLevel="1" x14ac:dyDescent="0.2">
      <c r="A746" s="99" t="str">
        <f ca="1">Language!A$886</f>
        <v>амортизационная премия для налоговой амортизации</v>
      </c>
      <c r="B746" s="329">
        <v>0</v>
      </c>
      <c r="C746" s="146" t="s">
        <v>1</v>
      </c>
      <c r="D746" s="66">
        <v>1</v>
      </c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48"/>
      <c r="AX746" s="171"/>
    </row>
    <row r="747" spans="1:50" hidden="1" outlineLevel="1" x14ac:dyDescent="0.2">
      <c r="A747" s="99" t="str">
        <f ca="1">Language!A$887</f>
        <v>импорт оборудования</v>
      </c>
      <c r="B747" s="328">
        <v>0</v>
      </c>
      <c r="C747" s="146" t="str">
        <f ca="1">IF(B747=0,Language!$A$1454,Language!$A$1453)</f>
        <v>Не импорт</v>
      </c>
      <c r="D747" s="66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71"/>
    </row>
    <row r="748" spans="1:50" hidden="1" outlineLevel="1" x14ac:dyDescent="0.2">
      <c r="A748" s="99" t="str">
        <f ca="1">Language!A$888</f>
        <v>пересечение границы при импорте</v>
      </c>
      <c r="B748" s="328">
        <v>1</v>
      </c>
      <c r="C748" s="146" t="str">
        <f ca="1">Language!$A$1452</f>
        <v>период</v>
      </c>
      <c r="D748" s="66"/>
      <c r="AW748" s="94"/>
    </row>
    <row r="749" spans="1:50" hidden="1" outlineLevel="1" x14ac:dyDescent="0.2">
      <c r="A749" s="99" t="str">
        <f ca="1">Language!A$889</f>
        <v>импортная пошлина</v>
      </c>
      <c r="B749" s="329">
        <f>IF(B747="Нет",0,10%)</f>
        <v>0.1</v>
      </c>
      <c r="C749" s="146" t="str">
        <f ca="1">CHOOSE(D749,CurName1,CurName2,CurName3)</f>
        <v>тыс. руб.</v>
      </c>
      <c r="D749" s="66">
        <f>D741</f>
        <v>1</v>
      </c>
      <c r="F749" s="57" t="s">
        <v>753</v>
      </c>
      <c r="G749" s="138">
        <f t="shared" ref="G749:AV749" si="3252">IF($B747=0,0,IF(G$2=$B748,($AX742+$B743)*$B749,0))</f>
        <v>0</v>
      </c>
      <c r="H749" s="138">
        <f t="shared" si="3252"/>
        <v>0</v>
      </c>
      <c r="I749" s="138">
        <f t="shared" si="3252"/>
        <v>0</v>
      </c>
      <c r="J749" s="138">
        <f t="shared" si="3252"/>
        <v>0</v>
      </c>
      <c r="K749" s="138">
        <f t="shared" si="3252"/>
        <v>0</v>
      </c>
      <c r="L749" s="138">
        <f t="shared" si="3252"/>
        <v>0</v>
      </c>
      <c r="M749" s="138">
        <f t="shared" si="3252"/>
        <v>0</v>
      </c>
      <c r="N749" s="138">
        <f t="shared" si="3252"/>
        <v>0</v>
      </c>
      <c r="O749" s="138">
        <f t="shared" si="3252"/>
        <v>0</v>
      </c>
      <c r="P749" s="138">
        <f t="shared" si="3252"/>
        <v>0</v>
      </c>
      <c r="Q749" s="138">
        <f t="shared" si="3252"/>
        <v>0</v>
      </c>
      <c r="R749" s="138">
        <f t="shared" si="3252"/>
        <v>0</v>
      </c>
      <c r="S749" s="138">
        <f t="shared" si="3252"/>
        <v>0</v>
      </c>
      <c r="T749" s="138">
        <f t="shared" si="3252"/>
        <v>0</v>
      </c>
      <c r="U749" s="138">
        <f t="shared" si="3252"/>
        <v>0</v>
      </c>
      <c r="V749" s="138">
        <f t="shared" si="3252"/>
        <v>0</v>
      </c>
      <c r="W749" s="138">
        <f t="shared" si="3252"/>
        <v>0</v>
      </c>
      <c r="X749" s="138">
        <f t="shared" si="3252"/>
        <v>0</v>
      </c>
      <c r="Y749" s="138">
        <f t="shared" si="3252"/>
        <v>0</v>
      </c>
      <c r="Z749" s="138">
        <f t="shared" si="3252"/>
        <v>0</v>
      </c>
      <c r="AA749" s="138">
        <f t="shared" si="3252"/>
        <v>0</v>
      </c>
      <c r="AB749" s="138">
        <f t="shared" si="3252"/>
        <v>0</v>
      </c>
      <c r="AC749" s="138">
        <f t="shared" si="3252"/>
        <v>0</v>
      </c>
      <c r="AD749" s="138">
        <f t="shared" si="3252"/>
        <v>0</v>
      </c>
      <c r="AE749" s="138">
        <f t="shared" si="3252"/>
        <v>0</v>
      </c>
      <c r="AF749" s="138">
        <f t="shared" si="3252"/>
        <v>0</v>
      </c>
      <c r="AG749" s="138">
        <f t="shared" si="3252"/>
        <v>0</v>
      </c>
      <c r="AH749" s="138">
        <f t="shared" si="3252"/>
        <v>0</v>
      </c>
      <c r="AI749" s="138">
        <f t="shared" si="3252"/>
        <v>0</v>
      </c>
      <c r="AJ749" s="138">
        <f t="shared" si="3252"/>
        <v>0</v>
      </c>
      <c r="AK749" s="138">
        <f t="shared" si="3252"/>
        <v>0</v>
      </c>
      <c r="AL749" s="138">
        <f t="shared" si="3252"/>
        <v>0</v>
      </c>
      <c r="AM749" s="138">
        <f t="shared" si="3252"/>
        <v>0</v>
      </c>
      <c r="AN749" s="138">
        <f t="shared" si="3252"/>
        <v>0</v>
      </c>
      <c r="AO749" s="138">
        <f t="shared" si="3252"/>
        <v>0</v>
      </c>
      <c r="AP749" s="138">
        <f t="shared" si="3252"/>
        <v>0</v>
      </c>
      <c r="AQ749" s="138">
        <f t="shared" si="3252"/>
        <v>0</v>
      </c>
      <c r="AR749" s="138">
        <f t="shared" si="3252"/>
        <v>0</v>
      </c>
      <c r="AS749" s="138">
        <f t="shared" si="3252"/>
        <v>0</v>
      </c>
      <c r="AT749" s="138">
        <f t="shared" si="3252"/>
        <v>0</v>
      </c>
      <c r="AU749" s="138">
        <f t="shared" si="3252"/>
        <v>0</v>
      </c>
      <c r="AV749" s="138">
        <f t="shared" si="3252"/>
        <v>0</v>
      </c>
      <c r="AW749" s="148"/>
      <c r="AX749" s="171">
        <f>SUM(G749:AW749)</f>
        <v>0</v>
      </c>
    </row>
    <row r="750" spans="1:50" hidden="1" outlineLevel="1" x14ac:dyDescent="0.2">
      <c r="A750" s="99" t="str">
        <f ca="1">Language!A$890</f>
        <v>ставка НДС</v>
      </c>
      <c r="B750" s="198"/>
      <c r="C750" s="146" t="s">
        <v>1</v>
      </c>
      <c r="D750" s="66">
        <v>1</v>
      </c>
      <c r="F750" s="57" t="s">
        <v>756</v>
      </c>
      <c r="G750" s="318">
        <f>Параметры!G$72</f>
        <v>0.18</v>
      </c>
      <c r="H750" s="318">
        <f>Параметры!H$72</f>
        <v>0.18</v>
      </c>
      <c r="I750" s="318">
        <f>Параметры!I$72</f>
        <v>0.18</v>
      </c>
      <c r="J750" s="318">
        <f>Параметры!J$72</f>
        <v>0.18</v>
      </c>
      <c r="K750" s="318">
        <f>Параметры!K$72</f>
        <v>0.18</v>
      </c>
      <c r="L750" s="318">
        <f>Параметры!L$72</f>
        <v>0.18</v>
      </c>
      <c r="M750" s="318">
        <f>Параметры!M$72</f>
        <v>0.18</v>
      </c>
      <c r="N750" s="318">
        <f>Параметры!N$72</f>
        <v>0.18</v>
      </c>
      <c r="O750" s="318">
        <f>Параметры!O$72</f>
        <v>0.18</v>
      </c>
      <c r="P750" s="318">
        <f>Параметры!P$72</f>
        <v>0.18</v>
      </c>
      <c r="Q750" s="318">
        <f>Параметры!Q$72</f>
        <v>0.18</v>
      </c>
      <c r="R750" s="318">
        <f>Параметры!R$72</f>
        <v>0.18</v>
      </c>
      <c r="S750" s="318">
        <f>Параметры!S$72</f>
        <v>0.18</v>
      </c>
      <c r="T750" s="318">
        <f>Параметры!T$72</f>
        <v>0.18</v>
      </c>
      <c r="U750" s="318">
        <f>Параметры!U$72</f>
        <v>0.18</v>
      </c>
      <c r="V750" s="318">
        <f>Параметры!V$72</f>
        <v>0.18</v>
      </c>
      <c r="W750" s="318">
        <f>Параметры!W$72</f>
        <v>0.18</v>
      </c>
      <c r="X750" s="318">
        <f>Параметры!X$72</f>
        <v>0.18</v>
      </c>
      <c r="Y750" s="318">
        <f>Параметры!Y$72</f>
        <v>0.18</v>
      </c>
      <c r="Z750" s="318">
        <f>Параметры!Z$72</f>
        <v>0.18</v>
      </c>
      <c r="AA750" s="318">
        <f>Параметры!AA$72</f>
        <v>0.18</v>
      </c>
      <c r="AB750" s="318">
        <f>Параметры!AB$72</f>
        <v>0.18</v>
      </c>
      <c r="AC750" s="318">
        <f>Параметры!AC$72</f>
        <v>0.18</v>
      </c>
      <c r="AD750" s="318">
        <f>Параметры!AD$72</f>
        <v>0.18</v>
      </c>
      <c r="AE750" s="318">
        <f>Параметры!AE$72</f>
        <v>0.18</v>
      </c>
      <c r="AF750" s="318">
        <f>Параметры!AF$72</f>
        <v>0.18</v>
      </c>
      <c r="AG750" s="318">
        <f>Параметры!AG$72</f>
        <v>0.18</v>
      </c>
      <c r="AH750" s="318">
        <f>Параметры!AH$72</f>
        <v>0.18</v>
      </c>
      <c r="AI750" s="318">
        <f>Параметры!AI$72</f>
        <v>0.18</v>
      </c>
      <c r="AJ750" s="318">
        <f>Параметры!AJ$72</f>
        <v>0.18</v>
      </c>
      <c r="AK750" s="318">
        <f>Параметры!AK$72</f>
        <v>0.18</v>
      </c>
      <c r="AL750" s="318">
        <f>Параметры!AL$72</f>
        <v>0.18</v>
      </c>
      <c r="AM750" s="318">
        <f>Параметры!AM$72</f>
        <v>0.18</v>
      </c>
      <c r="AN750" s="318">
        <f>Параметры!AN$72</f>
        <v>0.18</v>
      </c>
      <c r="AO750" s="318">
        <f>Параметры!AO$72</f>
        <v>0.18</v>
      </c>
      <c r="AP750" s="318">
        <f>Параметры!AP$72</f>
        <v>0.18</v>
      </c>
      <c r="AQ750" s="318">
        <f>Параметры!AQ$72</f>
        <v>0.18</v>
      </c>
      <c r="AR750" s="318">
        <f>Параметры!AR$72</f>
        <v>0.18</v>
      </c>
      <c r="AS750" s="318">
        <f>Параметры!AS$72</f>
        <v>0.18</v>
      </c>
      <c r="AT750" s="318">
        <f>Параметры!AT$72</f>
        <v>0.18</v>
      </c>
      <c r="AU750" s="318">
        <f>Параметры!AU$72</f>
        <v>0.18</v>
      </c>
      <c r="AV750" s="318">
        <f>Параметры!AV$72</f>
        <v>0.18</v>
      </c>
      <c r="AW750" s="175"/>
    </row>
    <row r="751" spans="1:50" hidden="1" outlineLevel="1" x14ac:dyDescent="0.2">
      <c r="A751" s="99" t="str">
        <f ca="1">Language!A$891</f>
        <v>выручка от продажи актива, без НДС</v>
      </c>
      <c r="B751" s="216"/>
      <c r="C751" s="146" t="str">
        <f ca="1">CHOOSE(D751,CurName1,CurName2,CurName3)</f>
        <v>тыс. руб.</v>
      </c>
      <c r="D751" s="66">
        <v>1</v>
      </c>
      <c r="E751" s="57" t="s">
        <v>761</v>
      </c>
      <c r="F751" s="57" t="s">
        <v>753</v>
      </c>
      <c r="G751" s="311">
        <v>0</v>
      </c>
      <c r="H751" s="311">
        <v>0</v>
      </c>
      <c r="I751" s="311">
        <v>0</v>
      </c>
      <c r="J751" s="311">
        <v>0</v>
      </c>
      <c r="K751" s="311">
        <v>0</v>
      </c>
      <c r="L751" s="311">
        <v>0</v>
      </c>
      <c r="M751" s="311">
        <v>0</v>
      </c>
      <c r="N751" s="311">
        <v>0</v>
      </c>
      <c r="O751" s="311">
        <v>0</v>
      </c>
      <c r="P751" s="311">
        <v>0</v>
      </c>
      <c r="Q751" s="311">
        <v>0</v>
      </c>
      <c r="R751" s="311">
        <v>0</v>
      </c>
      <c r="S751" s="311">
        <v>0</v>
      </c>
      <c r="T751" s="311">
        <v>0</v>
      </c>
      <c r="U751" s="311">
        <v>0</v>
      </c>
      <c r="V751" s="311">
        <v>0</v>
      </c>
      <c r="W751" s="311">
        <v>0</v>
      </c>
      <c r="X751" s="311">
        <v>0</v>
      </c>
      <c r="Y751" s="311">
        <v>0</v>
      </c>
      <c r="Z751" s="311">
        <v>0</v>
      </c>
      <c r="AA751" s="311">
        <v>0</v>
      </c>
      <c r="AB751" s="311">
        <v>0</v>
      </c>
      <c r="AC751" s="311">
        <v>0</v>
      </c>
      <c r="AD751" s="311">
        <v>0</v>
      </c>
      <c r="AE751" s="311">
        <v>0</v>
      </c>
      <c r="AF751" s="311">
        <v>0</v>
      </c>
      <c r="AG751" s="311">
        <v>0</v>
      </c>
      <c r="AH751" s="311">
        <v>0</v>
      </c>
      <c r="AI751" s="311">
        <v>0</v>
      </c>
      <c r="AJ751" s="311">
        <v>0</v>
      </c>
      <c r="AK751" s="311">
        <v>0</v>
      </c>
      <c r="AL751" s="311">
        <v>0</v>
      </c>
      <c r="AM751" s="311">
        <v>0</v>
      </c>
      <c r="AN751" s="311">
        <v>0</v>
      </c>
      <c r="AO751" s="311">
        <v>0</v>
      </c>
      <c r="AP751" s="311">
        <v>0</v>
      </c>
      <c r="AQ751" s="311">
        <v>0</v>
      </c>
      <c r="AR751" s="311">
        <v>0</v>
      </c>
      <c r="AS751" s="311">
        <v>0</v>
      </c>
      <c r="AT751" s="311">
        <v>0</v>
      </c>
      <c r="AU751" s="311">
        <v>0</v>
      </c>
      <c r="AV751" s="311">
        <v>0</v>
      </c>
      <c r="AW751" s="148"/>
      <c r="AX751" s="171">
        <f>SUM(G751:AW751)</f>
        <v>0</v>
      </c>
    </row>
    <row r="752" spans="1:50" hidden="1" outlineLevel="1" x14ac:dyDescent="0.2">
      <c r="A752" s="217" t="str">
        <f ca="1">Language!A$892</f>
        <v>суммы в осн. валюте: график оплаты, без НДС</v>
      </c>
      <c r="B752" s="221"/>
      <c r="C752" s="82" t="str">
        <f t="shared" ref="C752:C768" ca="1" si="3253">CHOOSE(D752,CurName1,CurName2,CurName3)</f>
        <v>тыс. руб.</v>
      </c>
      <c r="D752" s="66">
        <v>1</v>
      </c>
      <c r="E752" s="57" t="s">
        <v>758</v>
      </c>
      <c r="F752" s="57" t="s">
        <v>753</v>
      </c>
      <c r="G752" s="180">
        <f>G742*CHOOSE($D742,1,Параметры!G$53,Параметры!G$59)</f>
        <v>12711.864406779661</v>
      </c>
      <c r="H752" s="180">
        <f>H742*CHOOSE($D742,1,Параметры!H$53,Параметры!H$59)</f>
        <v>50847.457627118645</v>
      </c>
      <c r="I752" s="180">
        <f>I742*CHOOSE($D742,1,Параметры!I$53,Параметры!I$59)</f>
        <v>29661.016949152545</v>
      </c>
      <c r="J752" s="180">
        <f>J742*CHOOSE($D742,1,Параметры!J$53,Параметры!J$59)</f>
        <v>19759.322033898305</v>
      </c>
      <c r="K752" s="180">
        <f>K742*CHOOSE($D742,1,Параметры!K$53,Параметры!K$59)</f>
        <v>0</v>
      </c>
      <c r="L752" s="180">
        <f>L742*CHOOSE($D742,1,Параметры!L$53,Параметры!L$59)</f>
        <v>0</v>
      </c>
      <c r="M752" s="180">
        <f>M742*CHOOSE($D742,1,Параметры!M$53,Параметры!M$59)</f>
        <v>0</v>
      </c>
      <c r="N752" s="180">
        <f>N742*CHOOSE($D742,1,Параметры!N$53,Параметры!N$59)</f>
        <v>0</v>
      </c>
      <c r="O752" s="180">
        <f>O742*CHOOSE($D742,1,Параметры!O$53,Параметры!O$59)</f>
        <v>0</v>
      </c>
      <c r="P752" s="180">
        <f>P742*CHOOSE($D742,1,Параметры!P$53,Параметры!P$59)</f>
        <v>0</v>
      </c>
      <c r="Q752" s="180">
        <f>Q742*CHOOSE($D742,1,Параметры!Q$53,Параметры!Q$59)</f>
        <v>0</v>
      </c>
      <c r="R752" s="180">
        <f>R742*CHOOSE($D742,1,Параметры!R$53,Параметры!R$59)</f>
        <v>0</v>
      </c>
      <c r="S752" s="180">
        <f>S742*CHOOSE($D742,1,Параметры!S$53,Параметры!S$59)</f>
        <v>0</v>
      </c>
      <c r="T752" s="180">
        <f>T742*CHOOSE($D742,1,Параметры!T$53,Параметры!T$59)</f>
        <v>0</v>
      </c>
      <c r="U752" s="180">
        <f>U742*CHOOSE($D742,1,Параметры!U$53,Параметры!U$59)</f>
        <v>0</v>
      </c>
      <c r="V752" s="180">
        <f>V742*CHOOSE($D742,1,Параметры!V$53,Параметры!V$59)</f>
        <v>0</v>
      </c>
      <c r="W752" s="180">
        <f>W742*CHOOSE($D742,1,Параметры!W$53,Параметры!W$59)</f>
        <v>0</v>
      </c>
      <c r="X752" s="180">
        <f>X742*CHOOSE($D742,1,Параметры!X$53,Параметры!X$59)</f>
        <v>0</v>
      </c>
      <c r="Y752" s="180">
        <f>Y742*CHOOSE($D742,1,Параметры!Y$53,Параметры!Y$59)</f>
        <v>0</v>
      </c>
      <c r="Z752" s="180">
        <f>Z742*CHOOSE($D742,1,Параметры!Z$53,Параметры!Z$59)</f>
        <v>0</v>
      </c>
      <c r="AA752" s="180">
        <f>AA742*CHOOSE($D742,1,Параметры!AA$53,Параметры!AA$59)</f>
        <v>0</v>
      </c>
      <c r="AB752" s="180">
        <f>AB742*CHOOSE($D742,1,Параметры!AB$53,Параметры!AB$59)</f>
        <v>0</v>
      </c>
      <c r="AC752" s="180">
        <f>AC742*CHOOSE($D742,1,Параметры!AC$53,Параметры!AC$59)</f>
        <v>0</v>
      </c>
      <c r="AD752" s="180">
        <f>AD742*CHOOSE($D742,1,Параметры!AD$53,Параметры!AD$59)</f>
        <v>0</v>
      </c>
      <c r="AE752" s="180">
        <f>AE742*CHOOSE($D742,1,Параметры!AE$53,Параметры!AE$59)</f>
        <v>0</v>
      </c>
      <c r="AF752" s="180">
        <f>AF742*CHOOSE($D742,1,Параметры!AF$53,Параметры!AF$59)</f>
        <v>0</v>
      </c>
      <c r="AG752" s="180">
        <f>AG742*CHOOSE($D742,1,Параметры!AG$53,Параметры!AG$59)</f>
        <v>0</v>
      </c>
      <c r="AH752" s="180">
        <f>AH742*CHOOSE($D742,1,Параметры!AH$53,Параметры!AH$59)</f>
        <v>0</v>
      </c>
      <c r="AI752" s="180">
        <f>AI742*CHOOSE($D742,1,Параметры!AI$53,Параметры!AI$59)</f>
        <v>0</v>
      </c>
      <c r="AJ752" s="180">
        <f>AJ742*CHOOSE($D742,1,Параметры!AJ$53,Параметры!AJ$59)</f>
        <v>0</v>
      </c>
      <c r="AK752" s="180">
        <f>AK742*CHOOSE($D742,1,Параметры!AK$53,Параметры!AK$59)</f>
        <v>0</v>
      </c>
      <c r="AL752" s="180">
        <f>AL742*CHOOSE($D742,1,Параметры!AL$53,Параметры!AL$59)</f>
        <v>0</v>
      </c>
      <c r="AM752" s="180">
        <f>AM742*CHOOSE($D742,1,Параметры!AM$53,Параметры!AM$59)</f>
        <v>0</v>
      </c>
      <c r="AN752" s="180">
        <f>AN742*CHOOSE($D742,1,Параметры!AN$53,Параметры!AN$59)</f>
        <v>0</v>
      </c>
      <c r="AO752" s="180">
        <f>AO742*CHOOSE($D742,1,Параметры!AO$53,Параметры!AO$59)</f>
        <v>0</v>
      </c>
      <c r="AP752" s="180">
        <f>AP742*CHOOSE($D742,1,Параметры!AP$53,Параметры!AP$59)</f>
        <v>0</v>
      </c>
      <c r="AQ752" s="180">
        <f>AQ742*CHOOSE($D742,1,Параметры!AQ$53,Параметры!AQ$59)</f>
        <v>0</v>
      </c>
      <c r="AR752" s="180">
        <f>AR742*CHOOSE($D742,1,Параметры!AR$53,Параметры!AR$59)</f>
        <v>0</v>
      </c>
      <c r="AS752" s="180">
        <f>AS742*CHOOSE($D742,1,Параметры!AS$53,Параметры!AS$59)</f>
        <v>0</v>
      </c>
      <c r="AT752" s="180">
        <f>AT742*CHOOSE($D742,1,Параметры!AT$53,Параметры!AT$59)</f>
        <v>0</v>
      </c>
      <c r="AU752" s="180">
        <f>AU742*CHOOSE($D742,1,Параметры!AU$53,Параметры!AU$59)</f>
        <v>0</v>
      </c>
      <c r="AV752" s="180">
        <f>AV742*CHOOSE($D742,1,Параметры!AV$53,Параметры!AV$59)</f>
        <v>0</v>
      </c>
      <c r="AW752" s="180"/>
      <c r="AX752" s="189">
        <f>SUM(G752:AW752)</f>
        <v>112979.66101694916</v>
      </c>
    </row>
    <row r="753" spans="1:50" hidden="1" outlineLevel="1" x14ac:dyDescent="0.2">
      <c r="A753" s="218" t="str">
        <f ca="1">Language!A$893</f>
        <v>ранее осуществленные инвестиции, без НДС</v>
      </c>
      <c r="B753" s="214">
        <f>B743*CHOOSE(D743,1,Параметры!G$53,Параметры!G$59)</f>
        <v>0</v>
      </c>
      <c r="C753" s="82" t="str">
        <f t="shared" ca="1" si="3253"/>
        <v>тыс. руб.</v>
      </c>
      <c r="D753" s="66">
        <v>1</v>
      </c>
      <c r="E753" s="57" t="s">
        <v>1262</v>
      </c>
      <c r="G753" s="57">
        <f>B753</f>
        <v>0</v>
      </c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114"/>
      <c r="AX753" s="189"/>
    </row>
    <row r="754" spans="1:50" hidden="1" outlineLevel="1" x14ac:dyDescent="0.2">
      <c r="A754" s="218" t="str">
        <f ca="1">Language!A$894</f>
        <v>НДС к ранее осуществленным инвестициям</v>
      </c>
      <c r="B754" s="214">
        <f>B753*G750</f>
        <v>0</v>
      </c>
      <c r="C754" s="82" t="str">
        <f t="shared" ca="1" si="3253"/>
        <v>тыс. руб.</v>
      </c>
      <c r="D754" s="66">
        <v>1</v>
      </c>
      <c r="E754" s="57" t="s">
        <v>1266</v>
      </c>
      <c r="G754" s="180">
        <f>B754</f>
        <v>0</v>
      </c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  <c r="AF754" s="180"/>
      <c r="AG754" s="180"/>
      <c r="AH754" s="180"/>
      <c r="AI754" s="180"/>
      <c r="AJ754" s="180"/>
      <c r="AK754" s="180"/>
      <c r="AL754" s="180"/>
      <c r="AM754" s="180"/>
      <c r="AN754" s="180"/>
      <c r="AO754" s="180"/>
      <c r="AP754" s="180"/>
      <c r="AQ754" s="180"/>
      <c r="AR754" s="180"/>
      <c r="AS754" s="180"/>
      <c r="AT754" s="180"/>
      <c r="AU754" s="180"/>
      <c r="AV754" s="180"/>
      <c r="AW754" s="180"/>
      <c r="AX754" s="189"/>
    </row>
    <row r="755" spans="1:50" hidden="1" outlineLevel="1" x14ac:dyDescent="0.2">
      <c r="A755" s="218" t="str">
        <f ca="1">Language!A$895</f>
        <v>график ввода в эксплуатацию, без НДС</v>
      </c>
      <c r="B755" s="221"/>
      <c r="C755" s="82" t="str">
        <f t="shared" ca="1" si="3253"/>
        <v>тыс. руб.</v>
      </c>
      <c r="D755" s="66">
        <v>1</v>
      </c>
      <c r="F755" s="57" t="s">
        <v>753</v>
      </c>
      <c r="G755" s="180">
        <f>G744*CHOOSE($D744,1,Параметры!G$53,Параметры!G$59)</f>
        <v>112979.66101694916</v>
      </c>
      <c r="H755" s="180">
        <f>H744*CHOOSE($D744,1,Параметры!H$53,Параметры!H$59)</f>
        <v>0</v>
      </c>
      <c r="I755" s="180">
        <f>I744*CHOOSE($D744,1,Параметры!I$53,Параметры!I$59)</f>
        <v>0</v>
      </c>
      <c r="J755" s="180">
        <f>J744*CHOOSE($D744,1,Параметры!J$53,Параметры!J$59)</f>
        <v>0</v>
      </c>
      <c r="K755" s="180">
        <f>K744*CHOOSE($D744,1,Параметры!K$53,Параметры!K$59)</f>
        <v>0</v>
      </c>
      <c r="L755" s="180">
        <f>L744*CHOOSE($D744,1,Параметры!L$53,Параметры!L$59)</f>
        <v>0</v>
      </c>
      <c r="M755" s="180">
        <f>M744*CHOOSE($D744,1,Параметры!M$53,Параметры!M$59)</f>
        <v>0</v>
      </c>
      <c r="N755" s="180">
        <f>N744*CHOOSE($D744,1,Параметры!N$53,Параметры!N$59)</f>
        <v>0</v>
      </c>
      <c r="O755" s="180">
        <f>O744*CHOOSE($D744,1,Параметры!O$53,Параметры!O$59)</f>
        <v>0</v>
      </c>
      <c r="P755" s="180">
        <f>P744*CHOOSE($D744,1,Параметры!P$53,Параметры!P$59)</f>
        <v>0</v>
      </c>
      <c r="Q755" s="180">
        <f>Q744*CHOOSE($D744,1,Параметры!Q$53,Параметры!Q$59)</f>
        <v>0</v>
      </c>
      <c r="R755" s="180">
        <f>R744*CHOOSE($D744,1,Параметры!R$53,Параметры!R$59)</f>
        <v>0</v>
      </c>
      <c r="S755" s="180">
        <f>S744*CHOOSE($D744,1,Параметры!S$53,Параметры!S$59)</f>
        <v>0</v>
      </c>
      <c r="T755" s="180">
        <f>T744*CHOOSE($D744,1,Параметры!T$53,Параметры!T$59)</f>
        <v>0</v>
      </c>
      <c r="U755" s="180">
        <f>U744*CHOOSE($D744,1,Параметры!U$53,Параметры!U$59)</f>
        <v>0</v>
      </c>
      <c r="V755" s="180">
        <f>V744*CHOOSE($D744,1,Параметры!V$53,Параметры!V$59)</f>
        <v>0</v>
      </c>
      <c r="W755" s="180">
        <f>W744*CHOOSE($D744,1,Параметры!W$53,Параметры!W$59)</f>
        <v>0</v>
      </c>
      <c r="X755" s="180">
        <f>X744*CHOOSE($D744,1,Параметры!X$53,Параметры!X$59)</f>
        <v>0</v>
      </c>
      <c r="Y755" s="180">
        <f>Y744*CHOOSE($D744,1,Параметры!Y$53,Параметры!Y$59)</f>
        <v>0</v>
      </c>
      <c r="Z755" s="180">
        <f>Z744*CHOOSE($D744,1,Параметры!Z$53,Параметры!Z$59)</f>
        <v>0</v>
      </c>
      <c r="AA755" s="180">
        <f>AA744*CHOOSE($D744,1,Параметры!AA$53,Параметры!AA$59)</f>
        <v>0</v>
      </c>
      <c r="AB755" s="180">
        <f>AB744*CHOOSE($D744,1,Параметры!AB$53,Параметры!AB$59)</f>
        <v>0</v>
      </c>
      <c r="AC755" s="180">
        <f>AC744*CHOOSE($D744,1,Параметры!AC$53,Параметры!AC$59)</f>
        <v>0</v>
      </c>
      <c r="AD755" s="180">
        <f>AD744*CHOOSE($D744,1,Параметры!AD$53,Параметры!AD$59)</f>
        <v>0</v>
      </c>
      <c r="AE755" s="180">
        <f>AE744*CHOOSE($D744,1,Параметры!AE$53,Параметры!AE$59)</f>
        <v>0</v>
      </c>
      <c r="AF755" s="180">
        <f>AF744*CHOOSE($D744,1,Параметры!AF$53,Параметры!AF$59)</f>
        <v>0</v>
      </c>
      <c r="AG755" s="180">
        <f>AG744*CHOOSE($D744,1,Параметры!AG$53,Параметры!AG$59)</f>
        <v>0</v>
      </c>
      <c r="AH755" s="180">
        <f>AH744*CHOOSE($D744,1,Параметры!AH$53,Параметры!AH$59)</f>
        <v>0</v>
      </c>
      <c r="AI755" s="180">
        <f>AI744*CHOOSE($D744,1,Параметры!AI$53,Параметры!AI$59)</f>
        <v>0</v>
      </c>
      <c r="AJ755" s="180">
        <f>AJ744*CHOOSE($D744,1,Параметры!AJ$53,Параметры!AJ$59)</f>
        <v>0</v>
      </c>
      <c r="AK755" s="180">
        <f>AK744*CHOOSE($D744,1,Параметры!AK$53,Параметры!AK$59)</f>
        <v>0</v>
      </c>
      <c r="AL755" s="180">
        <f>AL744*CHOOSE($D744,1,Параметры!AL$53,Параметры!AL$59)</f>
        <v>0</v>
      </c>
      <c r="AM755" s="180">
        <f>AM744*CHOOSE($D744,1,Параметры!AM$53,Параметры!AM$59)</f>
        <v>0</v>
      </c>
      <c r="AN755" s="180">
        <f>AN744*CHOOSE($D744,1,Параметры!AN$53,Параметры!AN$59)</f>
        <v>0</v>
      </c>
      <c r="AO755" s="180">
        <f>AO744*CHOOSE($D744,1,Параметры!AO$53,Параметры!AO$59)</f>
        <v>0</v>
      </c>
      <c r="AP755" s="180">
        <f>AP744*CHOOSE($D744,1,Параметры!AP$53,Параметры!AP$59)</f>
        <v>0</v>
      </c>
      <c r="AQ755" s="180">
        <f>AQ744*CHOOSE($D744,1,Параметры!AQ$53,Параметры!AQ$59)</f>
        <v>0</v>
      </c>
      <c r="AR755" s="180">
        <f>AR744*CHOOSE($D744,1,Параметры!AR$53,Параметры!AR$59)</f>
        <v>0</v>
      </c>
      <c r="AS755" s="180">
        <f>AS744*CHOOSE($D744,1,Параметры!AS$53,Параметры!AS$59)</f>
        <v>0</v>
      </c>
      <c r="AT755" s="180">
        <f>AT744*CHOOSE($D744,1,Параметры!AT$53,Параметры!AT$59)</f>
        <v>0</v>
      </c>
      <c r="AU755" s="180">
        <f>AU744*CHOOSE($D744,1,Параметры!AU$53,Параметры!AU$59)</f>
        <v>0</v>
      </c>
      <c r="AV755" s="180">
        <f>AV744*CHOOSE($D744,1,Параметры!AV$53,Параметры!AV$59)</f>
        <v>0</v>
      </c>
      <c r="AW755" s="180"/>
      <c r="AX755" s="189">
        <f>SUM(G755:AW755)</f>
        <v>112979.66101694916</v>
      </c>
    </row>
    <row r="756" spans="1:50" hidden="1" outlineLevel="1" x14ac:dyDescent="0.2">
      <c r="A756" s="218" t="str">
        <f ca="1">Language!A$896</f>
        <v>импортная пошлина</v>
      </c>
      <c r="B756" s="221"/>
      <c r="C756" s="82" t="str">
        <f t="shared" ca="1" si="3253"/>
        <v>тыс. руб.</v>
      </c>
      <c r="D756" s="66">
        <v>1</v>
      </c>
      <c r="E756" s="57" t="s">
        <v>771</v>
      </c>
      <c r="F756" s="57" t="s">
        <v>753</v>
      </c>
      <c r="G756" s="180">
        <f>G749*CHOOSE($D749,1,Параметры!G$53,Параметры!G$59)</f>
        <v>0</v>
      </c>
      <c r="H756" s="180">
        <f>H749*CHOOSE($D749,1,Параметры!H$53,Параметры!H$59)</f>
        <v>0</v>
      </c>
      <c r="I756" s="180">
        <f>I749*CHOOSE($D749,1,Параметры!I$53,Параметры!I$59)</f>
        <v>0</v>
      </c>
      <c r="J756" s="180">
        <f>J749*CHOOSE($D749,1,Параметры!J$53,Параметры!J$59)</f>
        <v>0</v>
      </c>
      <c r="K756" s="180">
        <f>K749*CHOOSE($D749,1,Параметры!K$53,Параметры!K$59)</f>
        <v>0</v>
      </c>
      <c r="L756" s="180">
        <f>L749*CHOOSE($D749,1,Параметры!L$53,Параметры!L$59)</f>
        <v>0</v>
      </c>
      <c r="M756" s="180">
        <f>M749*CHOOSE($D749,1,Параметры!M$53,Параметры!M$59)</f>
        <v>0</v>
      </c>
      <c r="N756" s="180">
        <f>N749*CHOOSE($D749,1,Параметры!N$53,Параметры!N$59)</f>
        <v>0</v>
      </c>
      <c r="O756" s="180">
        <f>O749*CHOOSE($D749,1,Параметры!O$53,Параметры!O$59)</f>
        <v>0</v>
      </c>
      <c r="P756" s="180">
        <f>P749*CHOOSE($D749,1,Параметры!P$53,Параметры!P$59)</f>
        <v>0</v>
      </c>
      <c r="Q756" s="180">
        <f>Q749*CHOOSE($D749,1,Параметры!Q$53,Параметры!Q$59)</f>
        <v>0</v>
      </c>
      <c r="R756" s="180">
        <f>R749*CHOOSE($D749,1,Параметры!R$53,Параметры!R$59)</f>
        <v>0</v>
      </c>
      <c r="S756" s="180">
        <f>S749*CHOOSE($D749,1,Параметры!S$53,Параметры!S$59)</f>
        <v>0</v>
      </c>
      <c r="T756" s="180">
        <f>T749*CHOOSE($D749,1,Параметры!T$53,Параметры!T$59)</f>
        <v>0</v>
      </c>
      <c r="U756" s="180">
        <f>U749*CHOOSE($D749,1,Параметры!U$53,Параметры!U$59)</f>
        <v>0</v>
      </c>
      <c r="V756" s="180">
        <f>V749*CHOOSE($D749,1,Параметры!V$53,Параметры!V$59)</f>
        <v>0</v>
      </c>
      <c r="W756" s="180">
        <f>W749*CHOOSE($D749,1,Параметры!W$53,Параметры!W$59)</f>
        <v>0</v>
      </c>
      <c r="X756" s="180">
        <f>X749*CHOOSE($D749,1,Параметры!X$53,Параметры!X$59)</f>
        <v>0</v>
      </c>
      <c r="Y756" s="180">
        <f>Y749*CHOOSE($D749,1,Параметры!Y$53,Параметры!Y$59)</f>
        <v>0</v>
      </c>
      <c r="Z756" s="180">
        <f>Z749*CHOOSE($D749,1,Параметры!Z$53,Параметры!Z$59)</f>
        <v>0</v>
      </c>
      <c r="AA756" s="180">
        <f>AA749*CHOOSE($D749,1,Параметры!AA$53,Параметры!AA$59)</f>
        <v>0</v>
      </c>
      <c r="AB756" s="180">
        <f>AB749*CHOOSE($D749,1,Параметры!AB$53,Параметры!AB$59)</f>
        <v>0</v>
      </c>
      <c r="AC756" s="180">
        <f>AC749*CHOOSE($D749,1,Параметры!AC$53,Параметры!AC$59)</f>
        <v>0</v>
      </c>
      <c r="AD756" s="180">
        <f>AD749*CHOOSE($D749,1,Параметры!AD$53,Параметры!AD$59)</f>
        <v>0</v>
      </c>
      <c r="AE756" s="180">
        <f>AE749*CHOOSE($D749,1,Параметры!AE$53,Параметры!AE$59)</f>
        <v>0</v>
      </c>
      <c r="AF756" s="180">
        <f>AF749*CHOOSE($D749,1,Параметры!AF$53,Параметры!AF$59)</f>
        <v>0</v>
      </c>
      <c r="AG756" s="180">
        <f>AG749*CHOOSE($D749,1,Параметры!AG$53,Параметры!AG$59)</f>
        <v>0</v>
      </c>
      <c r="AH756" s="180">
        <f>AH749*CHOOSE($D749,1,Параметры!AH$53,Параметры!AH$59)</f>
        <v>0</v>
      </c>
      <c r="AI756" s="180">
        <f>AI749*CHOOSE($D749,1,Параметры!AI$53,Параметры!AI$59)</f>
        <v>0</v>
      </c>
      <c r="AJ756" s="180">
        <f>AJ749*CHOOSE($D749,1,Параметры!AJ$53,Параметры!AJ$59)</f>
        <v>0</v>
      </c>
      <c r="AK756" s="180">
        <f>AK749*CHOOSE($D749,1,Параметры!AK$53,Параметры!AK$59)</f>
        <v>0</v>
      </c>
      <c r="AL756" s="180">
        <f>AL749*CHOOSE($D749,1,Параметры!AL$53,Параметры!AL$59)</f>
        <v>0</v>
      </c>
      <c r="AM756" s="180">
        <f>AM749*CHOOSE($D749,1,Параметры!AM$53,Параметры!AM$59)</f>
        <v>0</v>
      </c>
      <c r="AN756" s="180">
        <f>AN749*CHOOSE($D749,1,Параметры!AN$53,Параметры!AN$59)</f>
        <v>0</v>
      </c>
      <c r="AO756" s="180">
        <f>AO749*CHOOSE($D749,1,Параметры!AO$53,Параметры!AO$59)</f>
        <v>0</v>
      </c>
      <c r="AP756" s="180">
        <f>AP749*CHOOSE($D749,1,Параметры!AP$53,Параметры!AP$59)</f>
        <v>0</v>
      </c>
      <c r="AQ756" s="180">
        <f>AQ749*CHOOSE($D749,1,Параметры!AQ$53,Параметры!AQ$59)</f>
        <v>0</v>
      </c>
      <c r="AR756" s="180">
        <f>AR749*CHOOSE($D749,1,Параметры!AR$53,Параметры!AR$59)</f>
        <v>0</v>
      </c>
      <c r="AS756" s="180">
        <f>AS749*CHOOSE($D749,1,Параметры!AS$53,Параметры!AS$59)</f>
        <v>0</v>
      </c>
      <c r="AT756" s="180">
        <f>AT749*CHOOSE($D749,1,Параметры!AT$53,Параметры!AT$59)</f>
        <v>0</v>
      </c>
      <c r="AU756" s="180">
        <f>AU749*CHOOSE($D749,1,Параметры!AU$53,Параметры!AU$59)</f>
        <v>0</v>
      </c>
      <c r="AV756" s="180">
        <f>AV749*CHOOSE($D749,1,Параметры!AV$53,Параметры!AV$59)</f>
        <v>0</v>
      </c>
      <c r="AW756" s="180"/>
      <c r="AX756" s="189">
        <f>SUM(G756:AW756)</f>
        <v>0</v>
      </c>
    </row>
    <row r="757" spans="1:50" hidden="1" outlineLevel="1" x14ac:dyDescent="0.2">
      <c r="A757" s="217" t="str">
        <f ca="1">Language!A$897</f>
        <v>незавершенные инвестиции</v>
      </c>
      <c r="B757" s="57"/>
      <c r="C757" s="82" t="str">
        <f t="shared" ca="1" si="3253"/>
        <v>тыс. руб.</v>
      </c>
      <c r="D757" s="66">
        <v>1</v>
      </c>
      <c r="E757" s="57" t="s">
        <v>760</v>
      </c>
      <c r="F757" s="57" t="s">
        <v>754</v>
      </c>
      <c r="G757" s="185">
        <f>IF(SUM($G751:G751)&gt;0.01,0,MAX(SUM($G742:G742)+$B743-SUM($G744:G744),0)+IF($B747=0,0,MAX(SUM($G749:G749)-SUM($G744:G744)*$B749,0)))*CHOOSE($D742,1,Параметры!G$53,Параметры!G$59)</f>
        <v>0</v>
      </c>
      <c r="H757" s="185">
        <f>IF(SUM($G751:H751)&gt;0.01,0,MAX(SUM($G742:H742)+$B743-SUM($G744:H744),0)+IF($B747=0,0,MAX(SUM($G749:H749)-SUM($G744:H744)*$B749,0)))*CHOOSE($D742,1,Параметры!H$53,Параметры!H$59)</f>
        <v>0</v>
      </c>
      <c r="I757" s="185">
        <f>IF(SUM($G751:I751)&gt;0.01,0,MAX(SUM($G742:I742)+$B743-SUM($G744:I744),0)+IF($B747=0,0,MAX(SUM($G749:I749)-SUM($G744:I744)*$B749,0)))*CHOOSE($D742,1,Параметры!I$53,Параметры!I$59)</f>
        <v>0</v>
      </c>
      <c r="J757" s="185">
        <f>IF(SUM($G751:J751)&gt;0.01,0,MAX(SUM($G742:J742)+$B743-SUM($G744:J744),0)+IF($B747=0,0,MAX(SUM($G749:J749)-SUM($G744:J744)*$B749,0)))*CHOOSE($D742,1,Параметры!J$53,Параметры!J$59)</f>
        <v>0</v>
      </c>
      <c r="K757" s="185">
        <f>IF(SUM($G751:K751)&gt;0.01,0,MAX(SUM($G742:K742)+$B743-SUM($G744:K744),0)+IF($B747=0,0,MAX(SUM($G749:K749)-SUM($G744:K744)*$B749,0)))*CHOOSE($D742,1,Параметры!K$53,Параметры!K$59)</f>
        <v>0</v>
      </c>
      <c r="L757" s="185">
        <f>IF(SUM($G751:L751)&gt;0.01,0,MAX(SUM($G742:L742)+$B743-SUM($G744:L744),0)+IF($B747=0,0,MAX(SUM($G749:L749)-SUM($G744:L744)*$B749,0)))*CHOOSE($D742,1,Параметры!L$53,Параметры!L$59)</f>
        <v>0</v>
      </c>
      <c r="M757" s="185">
        <f>IF(SUM($G751:M751)&gt;0.01,0,MAX(SUM($G742:M742)+$B743-SUM($G744:M744),0)+IF($B747=0,0,MAX(SUM($G749:M749)-SUM($G744:M744)*$B749,0)))*CHOOSE($D742,1,Параметры!M$53,Параметры!M$59)</f>
        <v>0</v>
      </c>
      <c r="N757" s="185">
        <f>IF(SUM($G751:N751)&gt;0.01,0,MAX(SUM($G742:N742)+$B743-SUM($G744:N744),0)+IF($B747=0,0,MAX(SUM($G749:N749)-SUM($G744:N744)*$B749,0)))*CHOOSE($D742,1,Параметры!N$53,Параметры!N$59)</f>
        <v>0</v>
      </c>
      <c r="O757" s="185">
        <f>IF(SUM($G751:O751)&gt;0.01,0,MAX(SUM($G742:O742)+$B743-SUM($G744:O744),0)+IF($B747=0,0,MAX(SUM($G749:O749)-SUM($G744:O744)*$B749,0)))*CHOOSE($D742,1,Параметры!O$53,Параметры!O$59)</f>
        <v>0</v>
      </c>
      <c r="P757" s="185">
        <f>IF(SUM($G751:P751)&gt;0.01,0,MAX(SUM($G742:P742)+$B743-SUM($G744:P744),0)+IF($B747=0,0,MAX(SUM($G749:P749)-SUM($G744:P744)*$B749,0)))*CHOOSE($D742,1,Параметры!P$53,Параметры!P$59)</f>
        <v>0</v>
      </c>
      <c r="Q757" s="185">
        <f>IF(SUM($G751:Q751)&gt;0.01,0,MAX(SUM($G742:Q742)+$B743-SUM($G744:Q744),0)+IF($B747=0,0,MAX(SUM($G749:Q749)-SUM($G744:Q744)*$B749,0)))*CHOOSE($D742,1,Параметры!Q$53,Параметры!Q$59)</f>
        <v>0</v>
      </c>
      <c r="R757" s="185">
        <f>IF(SUM($G751:R751)&gt;0.01,0,MAX(SUM($G742:R742)+$B743-SUM($G744:R744),0)+IF($B747=0,0,MAX(SUM($G749:R749)-SUM($G744:R744)*$B749,0)))*CHOOSE($D742,1,Параметры!R$53,Параметры!R$59)</f>
        <v>0</v>
      </c>
      <c r="S757" s="185">
        <f>IF(SUM($G751:S751)&gt;0.01,0,MAX(SUM($G742:S742)+$B743-SUM($G744:S744),0)+IF($B747=0,0,MAX(SUM($G749:S749)-SUM($G744:S744)*$B749,0)))*CHOOSE($D742,1,Параметры!S$53,Параметры!S$59)</f>
        <v>0</v>
      </c>
      <c r="T757" s="185">
        <f>IF(SUM($G751:T751)&gt;0.01,0,MAX(SUM($G742:T742)+$B743-SUM($G744:T744),0)+IF($B747=0,0,MAX(SUM($G749:T749)-SUM($G744:T744)*$B749,0)))*CHOOSE($D742,1,Параметры!T$53,Параметры!T$59)</f>
        <v>0</v>
      </c>
      <c r="U757" s="185">
        <f>IF(SUM($G751:U751)&gt;0.01,0,MAX(SUM($G742:U742)+$B743-SUM($G744:U744),0)+IF($B747=0,0,MAX(SUM($G749:U749)-SUM($G744:U744)*$B749,0)))*CHOOSE($D742,1,Параметры!U$53,Параметры!U$59)</f>
        <v>0</v>
      </c>
      <c r="V757" s="185">
        <f>IF(SUM($G751:V751)&gt;0.01,0,MAX(SUM($G742:V742)+$B743-SUM($G744:V744),0)+IF($B747=0,0,MAX(SUM($G749:V749)-SUM($G744:V744)*$B749,0)))*CHOOSE($D742,1,Параметры!V$53,Параметры!V$59)</f>
        <v>0</v>
      </c>
      <c r="W757" s="185">
        <f>IF(SUM($G751:W751)&gt;0.01,0,MAX(SUM($G742:W742)+$B743-SUM($G744:W744),0)+IF($B747=0,0,MAX(SUM($G749:W749)-SUM($G744:W744)*$B749,0)))*CHOOSE($D742,1,Параметры!W$53,Параметры!W$59)</f>
        <v>0</v>
      </c>
      <c r="X757" s="185">
        <f>IF(SUM($G751:X751)&gt;0.01,0,MAX(SUM($G742:X742)+$B743-SUM($G744:X744),0)+IF($B747=0,0,MAX(SUM($G749:X749)-SUM($G744:X744)*$B749,0)))*CHOOSE($D742,1,Параметры!X$53,Параметры!X$59)</f>
        <v>0</v>
      </c>
      <c r="Y757" s="185">
        <f>IF(SUM($G751:Y751)&gt;0.01,0,MAX(SUM($G742:Y742)+$B743-SUM($G744:Y744),0)+IF($B747=0,0,MAX(SUM($G749:Y749)-SUM($G744:Y744)*$B749,0)))*CHOOSE($D742,1,Параметры!Y$53,Параметры!Y$59)</f>
        <v>0</v>
      </c>
      <c r="Z757" s="185">
        <f>IF(SUM($G751:Z751)&gt;0.01,0,MAX(SUM($G742:Z742)+$B743-SUM($G744:Z744),0)+IF($B747=0,0,MAX(SUM($G749:Z749)-SUM($G744:Z744)*$B749,0)))*CHOOSE($D742,1,Параметры!Z$53,Параметры!Z$59)</f>
        <v>0</v>
      </c>
      <c r="AA757" s="185">
        <f>IF(SUM($G751:AA751)&gt;0.01,0,MAX(SUM($G742:AA742)+$B743-SUM($G744:AA744),0)+IF($B747=0,0,MAX(SUM($G749:AA749)-SUM($G744:AA744)*$B749,0)))*CHOOSE($D742,1,Параметры!AA$53,Параметры!AA$59)</f>
        <v>0</v>
      </c>
      <c r="AB757" s="185">
        <f>IF(SUM($G751:AB751)&gt;0.01,0,MAX(SUM($G742:AB742)+$B743-SUM($G744:AB744),0)+IF($B747=0,0,MAX(SUM($G749:AB749)-SUM($G744:AB744)*$B749,0)))*CHOOSE($D742,1,Параметры!AB$53,Параметры!AB$59)</f>
        <v>0</v>
      </c>
      <c r="AC757" s="185">
        <f>IF(SUM($G751:AC751)&gt;0.01,0,MAX(SUM($G742:AC742)+$B743-SUM($G744:AC744),0)+IF($B747=0,0,MAX(SUM($G749:AC749)-SUM($G744:AC744)*$B749,0)))*CHOOSE($D742,1,Параметры!AC$53,Параметры!AC$59)</f>
        <v>0</v>
      </c>
      <c r="AD757" s="185">
        <f>IF(SUM($G751:AD751)&gt;0.01,0,MAX(SUM($G742:AD742)+$B743-SUM($G744:AD744),0)+IF($B747=0,0,MAX(SUM($G749:AD749)-SUM($G744:AD744)*$B749,0)))*CHOOSE($D742,1,Параметры!AD$53,Параметры!AD$59)</f>
        <v>0</v>
      </c>
      <c r="AE757" s="185">
        <f>IF(SUM($G751:AE751)&gt;0.01,0,MAX(SUM($G742:AE742)+$B743-SUM($G744:AE744),0)+IF($B747=0,0,MAX(SUM($G749:AE749)-SUM($G744:AE744)*$B749,0)))*CHOOSE($D742,1,Параметры!AE$53,Параметры!AE$59)</f>
        <v>0</v>
      </c>
      <c r="AF757" s="185">
        <f>IF(SUM($G751:AF751)&gt;0.01,0,MAX(SUM($G742:AF742)+$B743-SUM($G744:AF744),0)+IF($B747=0,0,MAX(SUM($G749:AF749)-SUM($G744:AF744)*$B749,0)))*CHOOSE($D742,1,Параметры!AF$53,Параметры!AF$59)</f>
        <v>0</v>
      </c>
      <c r="AG757" s="185">
        <f>IF(SUM($G751:AG751)&gt;0.01,0,MAX(SUM($G742:AG742)+$B743-SUM($G744:AG744),0)+IF($B747=0,0,MAX(SUM($G749:AG749)-SUM($G744:AG744)*$B749,0)))*CHOOSE($D742,1,Параметры!AG$53,Параметры!AG$59)</f>
        <v>0</v>
      </c>
      <c r="AH757" s="185">
        <f>IF(SUM($G751:AH751)&gt;0.01,0,MAX(SUM($G742:AH742)+$B743-SUM($G744:AH744),0)+IF($B747=0,0,MAX(SUM($G749:AH749)-SUM($G744:AH744)*$B749,0)))*CHOOSE($D742,1,Параметры!AH$53,Параметры!AH$59)</f>
        <v>0</v>
      </c>
      <c r="AI757" s="185">
        <f>IF(SUM($G751:AI751)&gt;0.01,0,MAX(SUM($G742:AI742)+$B743-SUM($G744:AI744),0)+IF($B747=0,0,MAX(SUM($G749:AI749)-SUM($G744:AI744)*$B749,0)))*CHOOSE($D742,1,Параметры!AI$53,Параметры!AI$59)</f>
        <v>0</v>
      </c>
      <c r="AJ757" s="185">
        <f>IF(SUM($G751:AJ751)&gt;0.01,0,MAX(SUM($G742:AJ742)+$B743-SUM($G744:AJ744),0)+IF($B747=0,0,MAX(SUM($G749:AJ749)-SUM($G744:AJ744)*$B749,0)))*CHOOSE($D742,1,Параметры!AJ$53,Параметры!AJ$59)</f>
        <v>0</v>
      </c>
      <c r="AK757" s="185">
        <f>IF(SUM($G751:AK751)&gt;0.01,0,MAX(SUM($G742:AK742)+$B743-SUM($G744:AK744),0)+IF($B747=0,0,MAX(SUM($G749:AK749)-SUM($G744:AK744)*$B749,0)))*CHOOSE($D742,1,Параметры!AK$53,Параметры!AK$59)</f>
        <v>0</v>
      </c>
      <c r="AL757" s="185">
        <f>IF(SUM($G751:AL751)&gt;0.01,0,MAX(SUM($G742:AL742)+$B743-SUM($G744:AL744),0)+IF($B747=0,0,MAX(SUM($G749:AL749)-SUM($G744:AL744)*$B749,0)))*CHOOSE($D742,1,Параметры!AL$53,Параметры!AL$59)</f>
        <v>0</v>
      </c>
      <c r="AM757" s="185">
        <f>IF(SUM($G751:AM751)&gt;0.01,0,MAX(SUM($G742:AM742)+$B743-SUM($G744:AM744),0)+IF($B747=0,0,MAX(SUM($G749:AM749)-SUM($G744:AM744)*$B749,0)))*CHOOSE($D742,1,Параметры!AM$53,Параметры!AM$59)</f>
        <v>0</v>
      </c>
      <c r="AN757" s="185">
        <f>IF(SUM($G751:AN751)&gt;0.01,0,MAX(SUM($G742:AN742)+$B743-SUM($G744:AN744),0)+IF($B747=0,0,MAX(SUM($G749:AN749)-SUM($G744:AN744)*$B749,0)))*CHOOSE($D742,1,Параметры!AN$53,Параметры!AN$59)</f>
        <v>0</v>
      </c>
      <c r="AO757" s="185">
        <f>IF(SUM($G751:AO751)&gt;0.01,0,MAX(SUM($G742:AO742)+$B743-SUM($G744:AO744),0)+IF($B747=0,0,MAX(SUM($G749:AO749)-SUM($G744:AO744)*$B749,0)))*CHOOSE($D742,1,Параметры!AO$53,Параметры!AO$59)</f>
        <v>0</v>
      </c>
      <c r="AP757" s="185">
        <f>IF(SUM($G751:AP751)&gt;0.01,0,MAX(SUM($G742:AP742)+$B743-SUM($G744:AP744),0)+IF($B747=0,0,MAX(SUM($G749:AP749)-SUM($G744:AP744)*$B749,0)))*CHOOSE($D742,1,Параметры!AP$53,Параметры!AP$59)</f>
        <v>0</v>
      </c>
      <c r="AQ757" s="185">
        <f>IF(SUM($G751:AQ751)&gt;0.01,0,MAX(SUM($G742:AQ742)+$B743-SUM($G744:AQ744),0)+IF($B747=0,0,MAX(SUM($G749:AQ749)-SUM($G744:AQ744)*$B749,0)))*CHOOSE($D742,1,Параметры!AQ$53,Параметры!AQ$59)</f>
        <v>0</v>
      </c>
      <c r="AR757" s="185">
        <f>IF(SUM($G751:AR751)&gt;0.01,0,MAX(SUM($G742:AR742)+$B743-SUM($G744:AR744),0)+IF($B747=0,0,MAX(SUM($G749:AR749)-SUM($G744:AR744)*$B749,0)))*CHOOSE($D742,1,Параметры!AR$53,Параметры!AR$59)</f>
        <v>0</v>
      </c>
      <c r="AS757" s="185">
        <f>IF(SUM($G751:AS751)&gt;0.01,0,MAX(SUM($G742:AS742)+$B743-SUM($G744:AS744),0)+IF($B747=0,0,MAX(SUM($G749:AS749)-SUM($G744:AS744)*$B749,0)))*CHOOSE($D742,1,Параметры!AS$53,Параметры!AS$59)</f>
        <v>0</v>
      </c>
      <c r="AT757" s="185">
        <f>IF(SUM($G751:AT751)&gt;0.01,0,MAX(SUM($G742:AT742)+$B743-SUM($G744:AT744),0)+IF($B747=0,0,MAX(SUM($G749:AT749)-SUM($G744:AT744)*$B749,0)))*CHOOSE($D742,1,Параметры!AT$53,Параметры!AT$59)</f>
        <v>0</v>
      </c>
      <c r="AU757" s="185">
        <f>IF(SUM($G751:AU751)&gt;0.01,0,MAX(SUM($G742:AU742)+$B743-SUM($G744:AU744),0)+IF($B747=0,0,MAX(SUM($G749:AU749)-SUM($G744:AU744)*$B749,0)))*CHOOSE($D742,1,Параметры!AU$53,Параметры!AU$59)</f>
        <v>0</v>
      </c>
      <c r="AV757" s="185">
        <f>IF(SUM($G751:AV751)&gt;0.01,0,MAX(SUM($G742:AV742)+$B743-SUM($G744:AV744),0)+IF($B747=0,0,MAX(SUM($G749:AV749)-SUM($G744:AV744)*$B749,0)))*CHOOSE($D742,1,Параметры!AV$53,Параметры!AV$59)</f>
        <v>0</v>
      </c>
      <c r="AW757" s="180"/>
      <c r="AX757" s="87"/>
    </row>
    <row r="758" spans="1:50" hidden="1" outlineLevel="1" x14ac:dyDescent="0.2">
      <c r="A758" s="217" t="str">
        <f ca="1">Language!A$898</f>
        <v>кредиторская задолженность</v>
      </c>
      <c r="B758" s="57"/>
      <c r="C758" s="82" t="str">
        <f t="shared" ca="1" si="3253"/>
        <v>тыс. руб.</v>
      </c>
      <c r="D758" s="66">
        <v>1</v>
      </c>
      <c r="E758" s="57" t="s">
        <v>759</v>
      </c>
      <c r="F758" s="57" t="s">
        <v>754</v>
      </c>
      <c r="G758" s="185">
        <f>IF(SUM($G751:G751)&gt;0.01,0,MAX(SUM($G744:G744)-SUM($G742:G742)-$B743,0)+IF($B747=0,0,MAX(SUM($G744:G744)*$B749-SUM($G749:G749),0)))*CHOOSE($D742,1,Параметры!G$53,Параметры!G$59)</f>
        <v>100267.79661016951</v>
      </c>
      <c r="H758" s="185">
        <f>IF(SUM($G751:H751)&gt;0.01,0,MAX(SUM($G744:H744)-SUM($G742:H742)-$B743,0)+IF($B747=0,0,MAX(SUM($G744:H744)*$B749-SUM($G749:H749),0)))*CHOOSE($D742,1,Параметры!H$53,Параметры!H$59)</f>
        <v>49420.338983050853</v>
      </c>
      <c r="I758" s="185">
        <f>IF(SUM($G751:I751)&gt;0.01,0,MAX(SUM($G744:I744)-SUM($G742:I742)-$B743,0)+IF($B747=0,0,MAX(SUM($G744:I744)*$B749-SUM($G749:I749),0)))*CHOOSE($D742,1,Параметры!I$53,Параметры!I$59)</f>
        <v>19759.322033898308</v>
      </c>
      <c r="J758" s="185">
        <f>IF(SUM($G751:J751)&gt;0.01,0,MAX(SUM($G744:J744)-SUM($G742:J742)-$B743,0)+IF($B747=0,0,MAX(SUM($G744:J744)*$B749-SUM($G749:J749),0)))*CHOOSE($D742,1,Параметры!J$53,Параметры!J$59)</f>
        <v>0</v>
      </c>
      <c r="K758" s="185">
        <f>IF(SUM($G751:K751)&gt;0.01,0,MAX(SUM($G744:K744)-SUM($G742:K742)-$B743,0)+IF($B747=0,0,MAX(SUM($G744:K744)*$B749-SUM($G749:K749),0)))*CHOOSE($D742,1,Параметры!K$53,Параметры!K$59)</f>
        <v>0</v>
      </c>
      <c r="L758" s="185">
        <f>IF(SUM($G751:L751)&gt;0.01,0,MAX(SUM($G744:L744)-SUM($G742:L742)-$B743,0)+IF($B747=0,0,MAX(SUM($G744:L744)*$B749-SUM($G749:L749),0)))*CHOOSE($D742,1,Параметры!L$53,Параметры!L$59)</f>
        <v>0</v>
      </c>
      <c r="M758" s="185">
        <f>IF(SUM($G751:M751)&gt;0.01,0,MAX(SUM($G744:M744)-SUM($G742:M742)-$B743,0)+IF($B747=0,0,MAX(SUM($G744:M744)*$B749-SUM($G749:M749),0)))*CHOOSE($D742,1,Параметры!M$53,Параметры!M$59)</f>
        <v>0</v>
      </c>
      <c r="N758" s="185">
        <f>IF(SUM($G751:N751)&gt;0.01,0,MAX(SUM($G744:N744)-SUM($G742:N742)-$B743,0)+IF($B747=0,0,MAX(SUM($G744:N744)*$B749-SUM($G749:N749),0)))*CHOOSE($D742,1,Параметры!N$53,Параметры!N$59)</f>
        <v>0</v>
      </c>
      <c r="O758" s="185">
        <f>IF(SUM($G751:O751)&gt;0.01,0,MAX(SUM($G744:O744)-SUM($G742:O742)-$B743,0)+IF($B747=0,0,MAX(SUM($G744:O744)*$B749-SUM($G749:O749),0)))*CHOOSE($D742,1,Параметры!O$53,Параметры!O$59)</f>
        <v>0</v>
      </c>
      <c r="P758" s="185">
        <f>IF(SUM($G751:P751)&gt;0.01,0,MAX(SUM($G744:P744)-SUM($G742:P742)-$B743,0)+IF($B747=0,0,MAX(SUM($G744:P744)*$B749-SUM($G749:P749),0)))*CHOOSE($D742,1,Параметры!P$53,Параметры!P$59)</f>
        <v>0</v>
      </c>
      <c r="Q758" s="185">
        <f>IF(SUM($G751:Q751)&gt;0.01,0,MAX(SUM($G744:Q744)-SUM($G742:Q742)-$B743,0)+IF($B747=0,0,MAX(SUM($G744:Q744)*$B749-SUM($G749:Q749),0)))*CHOOSE($D742,1,Параметры!Q$53,Параметры!Q$59)</f>
        <v>0</v>
      </c>
      <c r="R758" s="185">
        <f>IF(SUM($G751:R751)&gt;0.01,0,MAX(SUM($G744:R744)-SUM($G742:R742)-$B743,0)+IF($B747=0,0,MAX(SUM($G744:R744)*$B749-SUM($G749:R749),0)))*CHOOSE($D742,1,Параметры!R$53,Параметры!R$59)</f>
        <v>0</v>
      </c>
      <c r="S758" s="185">
        <f>IF(SUM($G751:S751)&gt;0.01,0,MAX(SUM($G744:S744)-SUM($G742:S742)-$B743,0)+IF($B747=0,0,MAX(SUM($G744:S744)*$B749-SUM($G749:S749),0)))*CHOOSE($D742,1,Параметры!S$53,Параметры!S$59)</f>
        <v>0</v>
      </c>
      <c r="T758" s="185">
        <f>IF(SUM($G751:T751)&gt;0.01,0,MAX(SUM($G744:T744)-SUM($G742:T742)-$B743,0)+IF($B747=0,0,MAX(SUM($G744:T744)*$B749-SUM($G749:T749),0)))*CHOOSE($D742,1,Параметры!T$53,Параметры!T$59)</f>
        <v>0</v>
      </c>
      <c r="U758" s="185">
        <f>IF(SUM($G751:U751)&gt;0.01,0,MAX(SUM($G744:U744)-SUM($G742:U742)-$B743,0)+IF($B747=0,0,MAX(SUM($G744:U744)*$B749-SUM($G749:U749),0)))*CHOOSE($D742,1,Параметры!U$53,Параметры!U$59)</f>
        <v>0</v>
      </c>
      <c r="V758" s="185">
        <f>IF(SUM($G751:V751)&gt;0.01,0,MAX(SUM($G744:V744)-SUM($G742:V742)-$B743,0)+IF($B747=0,0,MAX(SUM($G744:V744)*$B749-SUM($G749:V749),0)))*CHOOSE($D742,1,Параметры!V$53,Параметры!V$59)</f>
        <v>0</v>
      </c>
      <c r="W758" s="185">
        <f>IF(SUM($G751:W751)&gt;0.01,0,MAX(SUM($G744:W744)-SUM($G742:W742)-$B743,0)+IF($B747=0,0,MAX(SUM($G744:W744)*$B749-SUM($G749:W749),0)))*CHOOSE($D742,1,Параметры!W$53,Параметры!W$59)</f>
        <v>0</v>
      </c>
      <c r="X758" s="185">
        <f>IF(SUM($G751:X751)&gt;0.01,0,MAX(SUM($G744:X744)-SUM($G742:X742)-$B743,0)+IF($B747=0,0,MAX(SUM($G744:X744)*$B749-SUM($G749:X749),0)))*CHOOSE($D742,1,Параметры!X$53,Параметры!X$59)</f>
        <v>0</v>
      </c>
      <c r="Y758" s="185">
        <f>IF(SUM($G751:Y751)&gt;0.01,0,MAX(SUM($G744:Y744)-SUM($G742:Y742)-$B743,0)+IF($B747=0,0,MAX(SUM($G744:Y744)*$B749-SUM($G749:Y749),0)))*CHOOSE($D742,1,Параметры!Y$53,Параметры!Y$59)</f>
        <v>0</v>
      </c>
      <c r="Z758" s="185">
        <f>IF(SUM($G751:Z751)&gt;0.01,0,MAX(SUM($G744:Z744)-SUM($G742:Z742)-$B743,0)+IF($B747=0,0,MAX(SUM($G744:Z744)*$B749-SUM($G749:Z749),0)))*CHOOSE($D742,1,Параметры!Z$53,Параметры!Z$59)</f>
        <v>0</v>
      </c>
      <c r="AA758" s="185">
        <f>IF(SUM($G751:AA751)&gt;0.01,0,MAX(SUM($G744:AA744)-SUM($G742:AA742)-$B743,0)+IF($B747=0,0,MAX(SUM($G744:AA744)*$B749-SUM($G749:AA749),0)))*CHOOSE($D742,1,Параметры!AA$53,Параметры!AA$59)</f>
        <v>0</v>
      </c>
      <c r="AB758" s="185">
        <f>IF(SUM($G751:AB751)&gt;0.01,0,MAX(SUM($G744:AB744)-SUM($G742:AB742)-$B743,0)+IF($B747=0,0,MAX(SUM($G744:AB744)*$B749-SUM($G749:AB749),0)))*CHOOSE($D742,1,Параметры!AB$53,Параметры!AB$59)</f>
        <v>0</v>
      </c>
      <c r="AC758" s="185">
        <f>IF(SUM($G751:AC751)&gt;0.01,0,MAX(SUM($G744:AC744)-SUM($G742:AC742)-$B743,0)+IF($B747=0,0,MAX(SUM($G744:AC744)*$B749-SUM($G749:AC749),0)))*CHOOSE($D742,1,Параметры!AC$53,Параметры!AC$59)</f>
        <v>0</v>
      </c>
      <c r="AD758" s="185">
        <f>IF(SUM($G751:AD751)&gt;0.01,0,MAX(SUM($G744:AD744)-SUM($G742:AD742)-$B743,0)+IF($B747=0,0,MAX(SUM($G744:AD744)*$B749-SUM($G749:AD749),0)))*CHOOSE($D742,1,Параметры!AD$53,Параметры!AD$59)</f>
        <v>0</v>
      </c>
      <c r="AE758" s="185">
        <f>IF(SUM($G751:AE751)&gt;0.01,0,MAX(SUM($G744:AE744)-SUM($G742:AE742)-$B743,0)+IF($B747=0,0,MAX(SUM($G744:AE744)*$B749-SUM($G749:AE749),0)))*CHOOSE($D742,1,Параметры!AE$53,Параметры!AE$59)</f>
        <v>0</v>
      </c>
      <c r="AF758" s="185">
        <f>IF(SUM($G751:AF751)&gt;0.01,0,MAX(SUM($G744:AF744)-SUM($G742:AF742)-$B743,0)+IF($B747=0,0,MAX(SUM($G744:AF744)*$B749-SUM($G749:AF749),0)))*CHOOSE($D742,1,Параметры!AF$53,Параметры!AF$59)</f>
        <v>0</v>
      </c>
      <c r="AG758" s="185">
        <f>IF(SUM($G751:AG751)&gt;0.01,0,MAX(SUM($G744:AG744)-SUM($G742:AG742)-$B743,0)+IF($B747=0,0,MAX(SUM($G744:AG744)*$B749-SUM($G749:AG749),0)))*CHOOSE($D742,1,Параметры!AG$53,Параметры!AG$59)</f>
        <v>0</v>
      </c>
      <c r="AH758" s="185">
        <f>IF(SUM($G751:AH751)&gt;0.01,0,MAX(SUM($G744:AH744)-SUM($G742:AH742)-$B743,0)+IF($B747=0,0,MAX(SUM($G744:AH744)*$B749-SUM($G749:AH749),0)))*CHOOSE($D742,1,Параметры!AH$53,Параметры!AH$59)</f>
        <v>0</v>
      </c>
      <c r="AI758" s="185">
        <f>IF(SUM($G751:AI751)&gt;0.01,0,MAX(SUM($G744:AI744)-SUM($G742:AI742)-$B743,0)+IF($B747=0,0,MAX(SUM($G744:AI744)*$B749-SUM($G749:AI749),0)))*CHOOSE($D742,1,Параметры!AI$53,Параметры!AI$59)</f>
        <v>0</v>
      </c>
      <c r="AJ758" s="185">
        <f>IF(SUM($G751:AJ751)&gt;0.01,0,MAX(SUM($G744:AJ744)-SUM($G742:AJ742)-$B743,0)+IF($B747=0,0,MAX(SUM($G744:AJ744)*$B749-SUM($G749:AJ749),0)))*CHOOSE($D742,1,Параметры!AJ$53,Параметры!AJ$59)</f>
        <v>0</v>
      </c>
      <c r="AK758" s="185">
        <f>IF(SUM($G751:AK751)&gt;0.01,0,MAX(SUM($G744:AK744)-SUM($G742:AK742)-$B743,0)+IF($B747=0,0,MAX(SUM($G744:AK744)*$B749-SUM($G749:AK749),0)))*CHOOSE($D742,1,Параметры!AK$53,Параметры!AK$59)</f>
        <v>0</v>
      </c>
      <c r="AL758" s="185">
        <f>IF(SUM($G751:AL751)&gt;0.01,0,MAX(SUM($G744:AL744)-SUM($G742:AL742)-$B743,0)+IF($B747=0,0,MAX(SUM($G744:AL744)*$B749-SUM($G749:AL749),0)))*CHOOSE($D742,1,Параметры!AL$53,Параметры!AL$59)</f>
        <v>0</v>
      </c>
      <c r="AM758" s="185">
        <f>IF(SUM($G751:AM751)&gt;0.01,0,MAX(SUM($G744:AM744)-SUM($G742:AM742)-$B743,0)+IF($B747=0,0,MAX(SUM($G744:AM744)*$B749-SUM($G749:AM749),0)))*CHOOSE($D742,1,Параметры!AM$53,Параметры!AM$59)</f>
        <v>0</v>
      </c>
      <c r="AN758" s="185">
        <f>IF(SUM($G751:AN751)&gt;0.01,0,MAX(SUM($G744:AN744)-SUM($G742:AN742)-$B743,0)+IF($B747=0,0,MAX(SUM($G744:AN744)*$B749-SUM($G749:AN749),0)))*CHOOSE($D742,1,Параметры!AN$53,Параметры!AN$59)</f>
        <v>0</v>
      </c>
      <c r="AO758" s="185">
        <f>IF(SUM($G751:AO751)&gt;0.01,0,MAX(SUM($G744:AO744)-SUM($G742:AO742)-$B743,0)+IF($B747=0,0,MAX(SUM($G744:AO744)*$B749-SUM($G749:AO749),0)))*CHOOSE($D742,1,Параметры!AO$53,Параметры!AO$59)</f>
        <v>0</v>
      </c>
      <c r="AP758" s="185">
        <f>IF(SUM($G751:AP751)&gt;0.01,0,MAX(SUM($G744:AP744)-SUM($G742:AP742)-$B743,0)+IF($B747=0,0,MAX(SUM($G744:AP744)*$B749-SUM($G749:AP749),0)))*CHOOSE($D742,1,Параметры!AP$53,Параметры!AP$59)</f>
        <v>0</v>
      </c>
      <c r="AQ758" s="185">
        <f>IF(SUM($G751:AQ751)&gt;0.01,0,MAX(SUM($G744:AQ744)-SUM($G742:AQ742)-$B743,0)+IF($B747=0,0,MAX(SUM($G744:AQ744)*$B749-SUM($G749:AQ749),0)))*CHOOSE($D742,1,Параметры!AQ$53,Параметры!AQ$59)</f>
        <v>0</v>
      </c>
      <c r="AR758" s="185">
        <f>IF(SUM($G751:AR751)&gt;0.01,0,MAX(SUM($G744:AR744)-SUM($G742:AR742)-$B743,0)+IF($B747=0,0,MAX(SUM($G744:AR744)*$B749-SUM($G749:AR749),0)))*CHOOSE($D742,1,Параметры!AR$53,Параметры!AR$59)</f>
        <v>0</v>
      </c>
      <c r="AS758" s="185">
        <f>IF(SUM($G751:AS751)&gt;0.01,0,MAX(SUM($G744:AS744)-SUM($G742:AS742)-$B743,0)+IF($B747=0,0,MAX(SUM($G744:AS744)*$B749-SUM($G749:AS749),0)))*CHOOSE($D742,1,Параметры!AS$53,Параметры!AS$59)</f>
        <v>0</v>
      </c>
      <c r="AT758" s="185">
        <f>IF(SUM($G751:AT751)&gt;0.01,0,MAX(SUM($G744:AT744)-SUM($G742:AT742)-$B743,0)+IF($B747=0,0,MAX(SUM($G744:AT744)*$B749-SUM($G749:AT749),0)))*CHOOSE($D742,1,Параметры!AT$53,Параметры!AT$59)</f>
        <v>0</v>
      </c>
      <c r="AU758" s="185">
        <f>IF(SUM($G751:AU751)&gt;0.01,0,MAX(SUM($G744:AU744)-SUM($G742:AU742)-$B743,0)+IF($B747=0,0,MAX(SUM($G744:AU744)*$B749-SUM($G749:AU749),0)))*CHOOSE($D742,1,Параметры!AU$53,Параметры!AU$59)</f>
        <v>0</v>
      </c>
      <c r="AV758" s="185">
        <f>IF(SUM($G751:AV751)&gt;0.01,0,MAX(SUM($G744:AV744)-SUM($G742:AV742)-$B743,0)+IF($B747=0,0,MAX(SUM($G744:AV744)*$B749-SUM($G749:AV749),0)))*CHOOSE($D742,1,Параметры!AV$53,Параметры!AV$59)</f>
        <v>0</v>
      </c>
      <c r="AW758" s="180"/>
      <c r="AX758" s="87"/>
    </row>
    <row r="759" spans="1:50" hidden="1" outlineLevel="1" x14ac:dyDescent="0.2">
      <c r="A759" s="217" t="str">
        <f ca="1">Language!A$899</f>
        <v>амортизация (бухгалтерская)</v>
      </c>
      <c r="B759" s="219"/>
      <c r="C759" s="82" t="str">
        <f t="shared" ca="1" si="3253"/>
        <v>тыс. руб.</v>
      </c>
      <c r="D759" s="66">
        <v>1</v>
      </c>
      <c r="E759" s="57" t="s">
        <v>762</v>
      </c>
      <c r="F759" s="57" t="s">
        <v>753</v>
      </c>
      <c r="G759" s="185">
        <f ca="1">IF(SUM($G751:G751)&gt;0.01,0,IF($B745=0,0,MIN((SUM($G755:G755)-IF(G$2&gt;$B745*12/Prj_Step,SUM($G755:OFFSET(G755,0,-$B745*12/Prj_Step)),0))*IF($B747=0,1,(1+$B749))/$B745/12*Параметры!G$31,IF(G$2=1,G755,F760+SUM($F755:G755)*IF($B747=0,1,(1+$B749))-SUM($F755:F755)*IF($B747=0,1,(1+$B749))))))</f>
        <v>2824.4915254237289</v>
      </c>
      <c r="H759" s="185">
        <f ca="1">IF(SUM($G751:H751)&gt;0.01,0,IF($B745=0,0,MIN((SUM($G755:H755)-IF(H$2&gt;$B745*12/Prj_Step,SUM($G755:OFFSET(H755,0,-$B745*12/Prj_Step)),0))*IF($B747=0,1,(1+$B749))/$B745/12*Параметры!H$31,IF(H$2=1,H755,G760+SUM($F755:H755)*IF($B747=0,1,(1+$B749))-SUM($F755:G755)*IF($B747=0,1,(1+$B749))))))</f>
        <v>2824.4915254237289</v>
      </c>
      <c r="I759" s="185">
        <f ca="1">IF(SUM($G751:I751)&gt;0.01,0,IF($B745=0,0,MIN((SUM($G755:I755)-IF(I$2&gt;$B745*12/Prj_Step,SUM($G755:OFFSET(I755,0,-$B745*12/Prj_Step)),0))*IF($B747=0,1,(1+$B749))/$B745/12*Параметры!I$31,IF(I$2=1,I755,H760+SUM($F755:I755)*IF($B747=0,1,(1+$B749))-SUM($F755:H755)*IF($B747=0,1,(1+$B749))))))</f>
        <v>2824.4915254237289</v>
      </c>
      <c r="J759" s="185">
        <f ca="1">IF(SUM($G751:J751)&gt;0.01,0,IF($B745=0,0,MIN((SUM($G755:J755)-IF(J$2&gt;$B745*12/Prj_Step,SUM($G755:OFFSET(J755,0,-$B745*12/Prj_Step)),0))*IF($B747=0,1,(1+$B749))/$B745/12*Параметры!J$31,IF(J$2=1,J755,I760+SUM($F755:J755)*IF($B747=0,1,(1+$B749))-SUM($F755:I755)*IF($B747=0,1,(1+$B749))))))</f>
        <v>2824.4915254237289</v>
      </c>
      <c r="K759" s="185">
        <f ca="1">IF(SUM($G751:K751)&gt;0.01,0,IF($B745=0,0,MIN((SUM($G755:K755)-IF(K$2&gt;$B745*12/Prj_Step,SUM($G755:OFFSET(K755,0,-$B745*12/Prj_Step)),0))*IF($B747=0,1,(1+$B749))/$B745/12*Параметры!K$31,IF(K$2=1,K755,J760+SUM($F755:K755)*IF($B747=0,1,(1+$B749))-SUM($F755:J755)*IF($B747=0,1,(1+$B749))))))</f>
        <v>2824.4915254237289</v>
      </c>
      <c r="L759" s="185">
        <f ca="1">IF(SUM($G751:L751)&gt;0.01,0,IF($B745=0,0,MIN((SUM($G755:L755)-IF(L$2&gt;$B745*12/Prj_Step,SUM($G755:OFFSET(L755,0,-$B745*12/Prj_Step)),0))*IF($B747=0,1,(1+$B749))/$B745/12*Параметры!L$31,IF(L$2=1,L755,K760+SUM($F755:L755)*IF($B747=0,1,(1+$B749))-SUM($F755:K755)*IF($B747=0,1,(1+$B749))))))</f>
        <v>2824.4915254237289</v>
      </c>
      <c r="M759" s="185">
        <f ca="1">IF(SUM($G751:M751)&gt;0.01,0,IF($B745=0,0,MIN((SUM($G755:M755)-IF(M$2&gt;$B745*12/Prj_Step,SUM($G755:OFFSET(M755,0,-$B745*12/Prj_Step)),0))*IF($B747=0,1,(1+$B749))/$B745/12*Параметры!M$31,IF(M$2=1,M755,L760+SUM($F755:M755)*IF($B747=0,1,(1+$B749))-SUM($F755:L755)*IF($B747=0,1,(1+$B749))))))</f>
        <v>2824.4915254237289</v>
      </c>
      <c r="N759" s="185">
        <f ca="1">IF(SUM($G751:N751)&gt;0.01,0,IF($B745=0,0,MIN((SUM($G755:N755)-IF(N$2&gt;$B745*12/Prj_Step,SUM($G755:OFFSET(N755,0,-$B745*12/Prj_Step)),0))*IF($B747=0,1,(1+$B749))/$B745/12*Параметры!N$31,IF(N$2=1,N755,M760+SUM($F755:N755)*IF($B747=0,1,(1+$B749))-SUM($F755:M755)*IF($B747=0,1,(1+$B749))))))</f>
        <v>2824.4915254237289</v>
      </c>
      <c r="O759" s="185">
        <f ca="1">IF(SUM($G751:O751)&gt;0.01,0,IF($B745=0,0,MIN((SUM($G755:O755)-IF(O$2&gt;$B745*12/Prj_Step,SUM($G755:OFFSET(O755,0,-$B745*12/Prj_Step)),0))*IF($B747=0,1,(1+$B749))/$B745/12*Параметры!O$31,IF(O$2=1,O755,N760+SUM($F755:O755)*IF($B747=0,1,(1+$B749))-SUM($F755:N755)*IF($B747=0,1,(1+$B749))))))</f>
        <v>2824.4915254237289</v>
      </c>
      <c r="P759" s="185">
        <f ca="1">IF(SUM($G751:P751)&gt;0.01,0,IF($B745=0,0,MIN((SUM($G755:P755)-IF(P$2&gt;$B745*12/Prj_Step,SUM($G755:OFFSET(P755,0,-$B745*12/Prj_Step)),0))*IF($B747=0,1,(1+$B749))/$B745/12*Параметры!P$31,IF(P$2=1,P755,O760+SUM($F755:P755)*IF($B747=0,1,(1+$B749))-SUM($F755:O755)*IF($B747=0,1,(1+$B749))))))</f>
        <v>2824.4915254237289</v>
      </c>
      <c r="Q759" s="185">
        <f ca="1">IF(SUM($G751:Q751)&gt;0.01,0,IF($B745=0,0,MIN((SUM($G755:Q755)-IF(Q$2&gt;$B745*12/Prj_Step,SUM($G755:OFFSET(Q755,0,-$B745*12/Prj_Step)),0))*IF($B747=0,1,(1+$B749))/$B745/12*Параметры!Q$31,IF(Q$2=1,Q755,P760+SUM($F755:Q755)*IF($B747=0,1,(1+$B749))-SUM($F755:P755)*IF($B747=0,1,(1+$B749))))))</f>
        <v>2824.4915254237289</v>
      </c>
      <c r="R759" s="185">
        <f ca="1">IF(SUM($G751:R751)&gt;0.01,0,IF($B745=0,0,MIN((SUM($G755:R755)-IF(R$2&gt;$B745*12/Prj_Step,SUM($G755:OFFSET(R755,0,-$B745*12/Prj_Step)),0))*IF($B747=0,1,(1+$B749))/$B745/12*Параметры!R$31,IF(R$2=1,R755,Q760+SUM($F755:R755)*IF($B747=0,1,(1+$B749))-SUM($F755:Q755)*IF($B747=0,1,(1+$B749))))))</f>
        <v>2824.4915254237289</v>
      </c>
      <c r="S759" s="185">
        <f ca="1">IF(SUM($G751:S751)&gt;0.01,0,IF($B745=0,0,MIN((SUM($G755:S755)-IF(S$2&gt;$B745*12/Prj_Step,SUM($G755:OFFSET(S755,0,-$B745*12/Prj_Step)),0))*IF($B747=0,1,(1+$B749))/$B745/12*Параметры!S$31,IF(S$2=1,S755,R760+SUM($F755:S755)*IF($B747=0,1,(1+$B749))-SUM($F755:R755)*IF($B747=0,1,(1+$B749))))))</f>
        <v>2824.4915254237289</v>
      </c>
      <c r="T759" s="185">
        <f ca="1">IF(SUM($G751:T751)&gt;0.01,0,IF($B745=0,0,MIN((SUM($G755:T755)-IF(T$2&gt;$B745*12/Prj_Step,SUM($G755:OFFSET(T755,0,-$B745*12/Prj_Step)),0))*IF($B747=0,1,(1+$B749))/$B745/12*Параметры!T$31,IF(T$2=1,T755,S760+SUM($F755:T755)*IF($B747=0,1,(1+$B749))-SUM($F755:S755)*IF($B747=0,1,(1+$B749))))))</f>
        <v>2824.4915254237289</v>
      </c>
      <c r="U759" s="185">
        <f ca="1">IF(SUM($G751:U751)&gt;0.01,0,IF($B745=0,0,MIN((SUM($G755:U755)-IF(U$2&gt;$B745*12/Prj_Step,SUM($G755:OFFSET(U755,0,-$B745*12/Prj_Step)),0))*IF($B747=0,1,(1+$B749))/$B745/12*Параметры!U$31,IF(U$2=1,U755,T760+SUM($F755:U755)*IF($B747=0,1,(1+$B749))-SUM($F755:T755)*IF($B747=0,1,(1+$B749))))))</f>
        <v>2824.4915254237289</v>
      </c>
      <c r="V759" s="185">
        <f ca="1">IF(SUM($G751:V751)&gt;0.01,0,IF($B745=0,0,MIN((SUM($G755:V755)-IF(V$2&gt;$B745*12/Prj_Step,SUM($G755:OFFSET(V755,0,-$B745*12/Prj_Step)),0))*IF($B747=0,1,(1+$B749))/$B745/12*Параметры!V$31,IF(V$2=1,V755,U760+SUM($F755:V755)*IF($B747=0,1,(1+$B749))-SUM($F755:U755)*IF($B747=0,1,(1+$B749))))))</f>
        <v>2824.4915254237289</v>
      </c>
      <c r="W759" s="185">
        <f ca="1">IF(SUM($G751:W751)&gt;0.01,0,IF($B745=0,0,MIN((SUM($G755:W755)-IF(W$2&gt;$B745*12/Prj_Step,SUM($G755:OFFSET(W755,0,-$B745*12/Prj_Step)),0))*IF($B747=0,1,(1+$B749))/$B745/12*Параметры!W$31,IF(W$2=1,W755,V760+SUM($F755:W755)*IF($B747=0,1,(1+$B749))-SUM($F755:V755)*IF($B747=0,1,(1+$B749))))))</f>
        <v>2824.4915254237289</v>
      </c>
      <c r="X759" s="185">
        <f ca="1">IF(SUM($G751:X751)&gt;0.01,0,IF($B745=0,0,MIN((SUM($G755:X755)-IF(X$2&gt;$B745*12/Prj_Step,SUM($G755:OFFSET(X755,0,-$B745*12/Prj_Step)),0))*IF($B747=0,1,(1+$B749))/$B745/12*Параметры!X$31,IF(X$2=1,X755,W760+SUM($F755:X755)*IF($B747=0,1,(1+$B749))-SUM($F755:W755)*IF($B747=0,1,(1+$B749))))))</f>
        <v>2824.4915254237289</v>
      </c>
      <c r="Y759" s="185">
        <f ca="1">IF(SUM($G751:Y751)&gt;0.01,0,IF($B745=0,0,MIN((SUM($G755:Y755)-IF(Y$2&gt;$B745*12/Prj_Step,SUM($G755:OFFSET(Y755,0,-$B745*12/Prj_Step)),0))*IF($B747=0,1,(1+$B749))/$B745/12*Параметры!Y$31,IF(Y$2=1,Y755,X760+SUM($F755:Y755)*IF($B747=0,1,(1+$B749))-SUM($F755:X755)*IF($B747=0,1,(1+$B749))))))</f>
        <v>2824.4915254237289</v>
      </c>
      <c r="Z759" s="185">
        <f ca="1">IF(SUM($G751:Z751)&gt;0.01,0,IF($B745=0,0,MIN((SUM($G755:Z755)-IF(Z$2&gt;$B745*12/Prj_Step,SUM($G755:OFFSET(Z755,0,-$B745*12/Prj_Step)),0))*IF($B747=0,1,(1+$B749))/$B745/12*Параметры!Z$31,IF(Z$2=1,Z755,Y760+SUM($F755:Z755)*IF($B747=0,1,(1+$B749))-SUM($F755:Y755)*IF($B747=0,1,(1+$B749))))))</f>
        <v>2824.4915254237289</v>
      </c>
      <c r="AA759" s="185">
        <f ca="1">IF(SUM($G751:AA751)&gt;0.01,0,IF($B745=0,0,MIN((SUM($G755:AA755)-IF(AA$2&gt;$B745*12/Prj_Step,SUM($G755:OFFSET(AA755,0,-$B745*12/Prj_Step)),0))*IF($B747=0,1,(1+$B749))/$B745/12*Параметры!AA$31,IF(AA$2=1,AA755,Z760+SUM($F755:AA755)*IF($B747=0,1,(1+$B749))-SUM($F755:Z755)*IF($B747=0,1,(1+$B749))))))</f>
        <v>2824.4915254237289</v>
      </c>
      <c r="AB759" s="185">
        <f ca="1">IF(SUM($G751:AB751)&gt;0.01,0,IF($B745=0,0,MIN((SUM($G755:AB755)-IF(AB$2&gt;$B745*12/Prj_Step,SUM($G755:OFFSET(AB755,0,-$B745*12/Prj_Step)),0))*IF($B747=0,1,(1+$B749))/$B745/12*Параметры!AB$31,IF(AB$2=1,AB755,AA760+SUM($F755:AB755)*IF($B747=0,1,(1+$B749))-SUM($F755:AA755)*IF($B747=0,1,(1+$B749))))))</f>
        <v>2824.4915254237289</v>
      </c>
      <c r="AC759" s="185">
        <f ca="1">IF(SUM($G751:AC751)&gt;0.01,0,IF($B745=0,0,MIN((SUM($G755:AC755)-IF(AC$2&gt;$B745*12/Prj_Step,SUM($G755:OFFSET(AC755,0,-$B745*12/Prj_Step)),0))*IF($B747=0,1,(1+$B749))/$B745/12*Параметры!AC$31,IF(AC$2=1,AC755,AB760+SUM($F755:AC755)*IF($B747=0,1,(1+$B749))-SUM($F755:AB755)*IF($B747=0,1,(1+$B749))))))</f>
        <v>2824.4915254237289</v>
      </c>
      <c r="AD759" s="185">
        <f ca="1">IF(SUM($G751:AD751)&gt;0.01,0,IF($B745=0,0,MIN((SUM($G755:AD755)-IF(AD$2&gt;$B745*12/Prj_Step,SUM($G755:OFFSET(AD755,0,-$B745*12/Prj_Step)),0))*IF($B747=0,1,(1+$B749))/$B745/12*Параметры!AD$31,IF(AD$2=1,AD755,AC760+SUM($F755:AD755)*IF($B747=0,1,(1+$B749))-SUM($F755:AC755)*IF($B747=0,1,(1+$B749))))))</f>
        <v>2824.4915254237289</v>
      </c>
      <c r="AE759" s="185">
        <f ca="1">IF(SUM($G751:AE751)&gt;0.01,0,IF($B745=0,0,MIN((SUM($G755:AE755)-IF(AE$2&gt;$B745*12/Prj_Step,SUM($G755:OFFSET(AE755,0,-$B745*12/Prj_Step)),0))*IF($B747=0,1,(1+$B749))/$B745/12*Параметры!AE$31,IF(AE$2=1,AE755,AD760+SUM($F755:AE755)*IF($B747=0,1,(1+$B749))-SUM($F755:AD755)*IF($B747=0,1,(1+$B749))))))</f>
        <v>2824.4915254237289</v>
      </c>
      <c r="AF759" s="185">
        <f ca="1">IF(SUM($G751:AF751)&gt;0.01,0,IF($B745=0,0,MIN((SUM($G755:AF755)-IF(AF$2&gt;$B745*12/Prj_Step,SUM($G755:OFFSET(AF755,0,-$B745*12/Prj_Step)),0))*IF($B747=0,1,(1+$B749))/$B745/12*Параметры!AF$31,IF(AF$2=1,AF755,AE760+SUM($F755:AF755)*IF($B747=0,1,(1+$B749))-SUM($F755:AE755)*IF($B747=0,1,(1+$B749))))))</f>
        <v>2824.4915254237289</v>
      </c>
      <c r="AG759" s="185">
        <f ca="1">IF(SUM($G751:AG751)&gt;0.01,0,IF($B745=0,0,MIN((SUM($G755:AG755)-IF(AG$2&gt;$B745*12/Prj_Step,SUM($G755:OFFSET(AG755,0,-$B745*12/Prj_Step)),0))*IF($B747=0,1,(1+$B749))/$B745/12*Параметры!AG$31,IF(AG$2=1,AG755,AF760+SUM($F755:AG755)*IF($B747=0,1,(1+$B749))-SUM($F755:AF755)*IF($B747=0,1,(1+$B749))))))</f>
        <v>2824.4915254237289</v>
      </c>
      <c r="AH759" s="185">
        <f ca="1">IF(SUM($G751:AH751)&gt;0.01,0,IF($B745=0,0,MIN((SUM($G755:AH755)-IF(AH$2&gt;$B745*12/Prj_Step,SUM($G755:OFFSET(AH755,0,-$B745*12/Prj_Step)),0))*IF($B747=0,1,(1+$B749))/$B745/12*Параметры!AH$31,IF(AH$2=1,AH755,AG760+SUM($F755:AH755)*IF($B747=0,1,(1+$B749))-SUM($F755:AG755)*IF($B747=0,1,(1+$B749))))))</f>
        <v>2824.4915254237289</v>
      </c>
      <c r="AI759" s="185">
        <f ca="1">IF(SUM($G751:AI751)&gt;0.01,0,IF($B745=0,0,MIN((SUM($G755:AI755)-IF(AI$2&gt;$B745*12/Prj_Step,SUM($G755:OFFSET(AI755,0,-$B745*12/Prj_Step)),0))*IF($B747=0,1,(1+$B749))/$B745/12*Параметры!AI$31,IF(AI$2=1,AI755,AH760+SUM($F755:AI755)*IF($B747=0,1,(1+$B749))-SUM($F755:AH755)*IF($B747=0,1,(1+$B749))))))</f>
        <v>2824.4915254237289</v>
      </c>
      <c r="AJ759" s="185">
        <f ca="1">IF(SUM($G751:AJ751)&gt;0.01,0,IF($B745=0,0,MIN((SUM($G755:AJ755)-IF(AJ$2&gt;$B745*12/Prj_Step,SUM($G755:OFFSET(AJ755,0,-$B745*12/Prj_Step)),0))*IF($B747=0,1,(1+$B749))/$B745/12*Параметры!AJ$31,IF(AJ$2=1,AJ755,AI760+SUM($F755:AJ755)*IF($B747=0,1,(1+$B749))-SUM($F755:AI755)*IF($B747=0,1,(1+$B749))))))</f>
        <v>2824.4915254237289</v>
      </c>
      <c r="AK759" s="185">
        <f ca="1">IF(SUM($G751:AK751)&gt;0.01,0,IF($B745=0,0,MIN((SUM($G755:AK755)-IF(AK$2&gt;$B745*12/Prj_Step,SUM($G755:OFFSET(AK755,0,-$B745*12/Prj_Step)),0))*IF($B747=0,1,(1+$B749))/$B745/12*Параметры!AK$31,IF(AK$2=1,AK755,AJ760+SUM($F755:AK755)*IF($B747=0,1,(1+$B749))-SUM($F755:AJ755)*IF($B747=0,1,(1+$B749))))))</f>
        <v>2824.4915254237289</v>
      </c>
      <c r="AL759" s="185">
        <f ca="1">IF(SUM($G751:AL751)&gt;0.01,0,IF($B745=0,0,MIN((SUM($G755:AL755)-IF(AL$2&gt;$B745*12/Prj_Step,SUM($G755:OFFSET(AL755,0,-$B745*12/Prj_Step)),0))*IF($B747=0,1,(1+$B749))/$B745/12*Параметры!AL$31,IF(AL$2=1,AL755,AK760+SUM($F755:AL755)*IF($B747=0,1,(1+$B749))-SUM($F755:AK755)*IF($B747=0,1,(1+$B749))))))</f>
        <v>2824.4915254237289</v>
      </c>
      <c r="AM759" s="185">
        <f ca="1">IF(SUM($G751:AM751)&gt;0.01,0,IF($B745=0,0,MIN((SUM($G755:AM755)-IF(AM$2&gt;$B745*12/Prj_Step,SUM($G755:OFFSET(AM755,0,-$B745*12/Prj_Step)),0))*IF($B747=0,1,(1+$B749))/$B745/12*Параметры!AM$31,IF(AM$2=1,AM755,AL760+SUM($F755:AM755)*IF($B747=0,1,(1+$B749))-SUM($F755:AL755)*IF($B747=0,1,(1+$B749))))))</f>
        <v>2824.4915254237289</v>
      </c>
      <c r="AN759" s="185">
        <f ca="1">IF(SUM($G751:AN751)&gt;0.01,0,IF($B745=0,0,MIN((SUM($G755:AN755)-IF(AN$2&gt;$B745*12/Prj_Step,SUM($G755:OFFSET(AN755,0,-$B745*12/Prj_Step)),0))*IF($B747=0,1,(1+$B749))/$B745/12*Параметры!AN$31,IF(AN$2=1,AN755,AM760+SUM($F755:AN755)*IF($B747=0,1,(1+$B749))-SUM($F755:AM755)*IF($B747=0,1,(1+$B749))))))</f>
        <v>2824.4915254237289</v>
      </c>
      <c r="AO759" s="185">
        <f ca="1">IF(SUM($G751:AO751)&gt;0.01,0,IF($B745=0,0,MIN((SUM($G755:AO755)-IF(AO$2&gt;$B745*12/Prj_Step,SUM($G755:OFFSET(AO755,0,-$B745*12/Prj_Step)),0))*IF($B747=0,1,(1+$B749))/$B745/12*Параметры!AO$31,IF(AO$2=1,AO755,AN760+SUM($F755:AO755)*IF($B747=0,1,(1+$B749))-SUM($F755:AN755)*IF($B747=0,1,(1+$B749))))))</f>
        <v>2824.4915254237289</v>
      </c>
      <c r="AP759" s="185">
        <f ca="1">IF(SUM($G751:AP751)&gt;0.01,0,IF($B745=0,0,MIN((SUM($G755:AP755)-IF(AP$2&gt;$B745*12/Prj_Step,SUM($G755:OFFSET(AP755,0,-$B745*12/Prj_Step)),0))*IF($B747=0,1,(1+$B749))/$B745/12*Параметры!AP$31,IF(AP$2=1,AP755,AO760+SUM($F755:AP755)*IF($B747=0,1,(1+$B749))-SUM($F755:AO755)*IF($B747=0,1,(1+$B749))))))</f>
        <v>2824.4915254237289</v>
      </c>
      <c r="AQ759" s="185">
        <f ca="1">IF(SUM($G751:AQ751)&gt;0.01,0,IF($B745=0,0,MIN((SUM($G755:AQ755)-IF(AQ$2&gt;$B745*12/Prj_Step,SUM($G755:OFFSET(AQ755,0,-$B745*12/Prj_Step)),0))*IF($B747=0,1,(1+$B749))/$B745/12*Параметры!AQ$31,IF(AQ$2=1,AQ755,AP760+SUM($F755:AQ755)*IF($B747=0,1,(1+$B749))-SUM($F755:AP755)*IF($B747=0,1,(1+$B749))))))</f>
        <v>2824.4915254237289</v>
      </c>
      <c r="AR759" s="185">
        <f ca="1">IF(SUM($G751:AR751)&gt;0.01,0,IF($B745=0,0,MIN((SUM($G755:AR755)-IF(AR$2&gt;$B745*12/Prj_Step,SUM($G755:OFFSET(AR755,0,-$B745*12/Prj_Step)),0))*IF($B747=0,1,(1+$B749))/$B745/12*Параметры!AR$31,IF(AR$2=1,AR755,AQ760+SUM($F755:AR755)*IF($B747=0,1,(1+$B749))-SUM($F755:AQ755)*IF($B747=0,1,(1+$B749))))))</f>
        <v>2824.4915254237289</v>
      </c>
      <c r="AS759" s="185">
        <f ca="1">IF(SUM($G751:AS751)&gt;0.01,0,IF($B745=0,0,MIN((SUM($G755:AS755)-IF(AS$2&gt;$B745*12/Prj_Step,SUM($G755:OFFSET(AS755,0,-$B745*12/Prj_Step)),0))*IF($B747=0,1,(1+$B749))/$B745/12*Параметры!AS$31,IF(AS$2=1,AS755,AR760+SUM($F755:AS755)*IF($B747=0,1,(1+$B749))-SUM($F755:AR755)*IF($B747=0,1,(1+$B749))))))</f>
        <v>2824.4915254237289</v>
      </c>
      <c r="AT759" s="185">
        <f ca="1">IF(SUM($G751:AT751)&gt;0.01,0,IF($B745=0,0,MIN((SUM($G755:AT755)-IF(AT$2&gt;$B745*12/Prj_Step,SUM($G755:OFFSET(AT755,0,-$B745*12/Prj_Step)),0))*IF($B747=0,1,(1+$B749))/$B745/12*Параметры!AT$31,IF(AT$2=1,AT755,AS760+SUM($F755:AT755)*IF($B747=0,1,(1+$B749))-SUM($F755:AS755)*IF($B747=0,1,(1+$B749))))))</f>
        <v>2824.4915254237289</v>
      </c>
      <c r="AU759" s="185">
        <f ca="1">IF(SUM($G751:AU751)&gt;0.01,0,IF($B745=0,0,MIN((SUM($G755:AU755)-IF(AU$2&gt;$B745*12/Prj_Step,SUM($G755:OFFSET(AU755,0,-$B745*12/Prj_Step)),0))*IF($B747=0,1,(1+$B749))/$B745/12*Параметры!AU$31,IF(AU$2=1,AU755,AT760+SUM($F755:AU755)*IF($B747=0,1,(1+$B749))-SUM($F755:AT755)*IF($B747=0,1,(1+$B749))))))</f>
        <v>0</v>
      </c>
      <c r="AV759" s="185">
        <f ca="1">IF(SUM($G751:AV751)&gt;0.01,0,IF($B745=0,0,MIN((SUM($G755:AV755)-IF(AV$2&gt;$B745*12/Prj_Step,SUM($G755:OFFSET(AV755,0,-$B745*12/Prj_Step)),0))*IF($B747=0,1,(1+$B749))/$B745/12*Параметры!AV$31,IF(AV$2=1,AV755,AU760+SUM($F755:AV755)*IF($B747=0,1,(1+$B749))-SUM($F755:AU755)*IF($B747=0,1,(1+$B749))))))</f>
        <v>0</v>
      </c>
      <c r="AW759" s="180"/>
      <c r="AX759" s="189">
        <f ca="1">SUM(G759:AW759)</f>
        <v>112979.66101694912</v>
      </c>
    </row>
    <row r="760" spans="1:50" hidden="1" outlineLevel="1" x14ac:dyDescent="0.2">
      <c r="A760" s="217" t="str">
        <f ca="1">Language!A$900</f>
        <v>балансовая стоимость (бухгалтерская)</v>
      </c>
      <c r="B760" s="57"/>
      <c r="C760" s="82" t="str">
        <f t="shared" ca="1" si="3253"/>
        <v>тыс. руб.</v>
      </c>
      <c r="D760" s="66">
        <v>1</v>
      </c>
      <c r="E760" s="57" t="s">
        <v>763</v>
      </c>
      <c r="F760" s="57" t="s">
        <v>754</v>
      </c>
      <c r="G760" s="185">
        <f ca="1">IF(SUM($G751:G751)&gt;0.01,0,SUM($G755:G755)*IF($B747=0,1,(1+$B749))-SUM($G759:G759))</f>
        <v>110155.16949152543</v>
      </c>
      <c r="H760" s="185">
        <f ca="1">IF(SUM($G751:H751)&gt;0.01,0,SUM($G755:H755)*IF($B747=0,1,(1+$B749))-SUM($G759:H759))</f>
        <v>107330.67796610171</v>
      </c>
      <c r="I760" s="185">
        <f ca="1">IF(SUM($G751:I751)&gt;0.01,0,SUM($G755:I755)*IF($B747=0,1,(1+$B749))-SUM($G759:I759))</f>
        <v>104506.18644067798</v>
      </c>
      <c r="J760" s="185">
        <f ca="1">IF(SUM($G751:J751)&gt;0.01,0,SUM($G755:J755)*IF($B747=0,1,(1+$B749))-SUM($G759:J759))</f>
        <v>101681.69491525425</v>
      </c>
      <c r="K760" s="185">
        <f ca="1">IF(SUM($G751:K751)&gt;0.01,0,SUM($G755:K755)*IF($B747=0,1,(1+$B749))-SUM($G759:K759))</f>
        <v>98857.203389830509</v>
      </c>
      <c r="L760" s="185">
        <f ca="1">IF(SUM($G751:L751)&gt;0.01,0,SUM($G755:L755)*IF($B747=0,1,(1+$B749))-SUM($G759:L759))</f>
        <v>96032.711864406796</v>
      </c>
      <c r="M760" s="185">
        <f ca="1">IF(SUM($G751:M751)&gt;0.01,0,SUM($G755:M755)*IF($B747=0,1,(1+$B749))-SUM($G759:M759))</f>
        <v>93208.220338983054</v>
      </c>
      <c r="N760" s="185">
        <f ca="1">IF(SUM($G751:N751)&gt;0.01,0,SUM($G755:N755)*IF($B747=0,1,(1+$B749))-SUM($G759:N759))</f>
        <v>90383.728813559341</v>
      </c>
      <c r="O760" s="185">
        <f ca="1">IF(SUM($G751:O751)&gt;0.01,0,SUM($G755:O755)*IF($B747=0,1,(1+$B749))-SUM($G759:O759))</f>
        <v>87559.237288135599</v>
      </c>
      <c r="P760" s="185">
        <f ca="1">IF(SUM($G751:P751)&gt;0.01,0,SUM($G755:P755)*IF($B747=0,1,(1+$B749))-SUM($G759:P759))</f>
        <v>84734.745762711886</v>
      </c>
      <c r="Q760" s="185">
        <f ca="1">IF(SUM($G751:Q751)&gt;0.01,0,SUM($G755:Q755)*IF($B747=0,1,(1+$B749))-SUM($G759:Q759))</f>
        <v>81910.254237288143</v>
      </c>
      <c r="R760" s="185">
        <f ca="1">IF(SUM($G751:R751)&gt;0.01,0,SUM($G755:R755)*IF($B747=0,1,(1+$B749))-SUM($G759:R759))</f>
        <v>79085.76271186443</v>
      </c>
      <c r="S760" s="185">
        <f ca="1">IF(SUM($G751:S751)&gt;0.01,0,SUM($G755:S755)*IF($B747=0,1,(1+$B749))-SUM($G759:S759))</f>
        <v>76261.271186440688</v>
      </c>
      <c r="T760" s="185">
        <f ca="1">IF(SUM($G751:T751)&gt;0.01,0,SUM($G755:T755)*IF($B747=0,1,(1+$B749))-SUM($G759:T759))</f>
        <v>73436.779661016975</v>
      </c>
      <c r="U760" s="185">
        <f ca="1">IF(SUM($G751:U751)&gt;0.01,0,SUM($G755:U755)*IF($B747=0,1,(1+$B749))-SUM($G759:U759))</f>
        <v>70612.288135593233</v>
      </c>
      <c r="V760" s="185">
        <f ca="1">IF(SUM($G751:V751)&gt;0.01,0,SUM($G755:V755)*IF($B747=0,1,(1+$B749))-SUM($G759:V759))</f>
        <v>67787.79661016952</v>
      </c>
      <c r="W760" s="185">
        <f ca="1">IF(SUM($G751:W751)&gt;0.01,0,SUM($G755:W755)*IF($B747=0,1,(1+$B749))-SUM($G759:W759))</f>
        <v>64963.305084745785</v>
      </c>
      <c r="X760" s="185">
        <f ca="1">IF(SUM($G751:X751)&gt;0.01,0,SUM($G755:X755)*IF($B747=0,1,(1+$B749))-SUM($G759:X759))</f>
        <v>62138.813559322058</v>
      </c>
      <c r="Y760" s="185">
        <f ca="1">IF(SUM($G751:Y751)&gt;0.01,0,SUM($G755:Y755)*IF($B747=0,1,(1+$B749))-SUM($G759:Y759))</f>
        <v>59314.32203389833</v>
      </c>
      <c r="Z760" s="185">
        <f ca="1">IF(SUM($G751:Z751)&gt;0.01,0,SUM($G755:Z755)*IF($B747=0,1,(1+$B749))-SUM($G759:Z759))</f>
        <v>56489.830508474603</v>
      </c>
      <c r="AA760" s="185">
        <f ca="1">IF(SUM($G751:AA751)&gt;0.01,0,SUM($G755:AA755)*IF($B747=0,1,(1+$B749))-SUM($G759:AA759))</f>
        <v>53665.338983050875</v>
      </c>
      <c r="AB760" s="185">
        <f ca="1">IF(SUM($G751:AB751)&gt;0.01,0,SUM($G755:AB755)*IF($B747=0,1,(1+$B749))-SUM($G759:AB759))</f>
        <v>50840.847457627147</v>
      </c>
      <c r="AC760" s="185">
        <f ca="1">IF(SUM($G751:AC751)&gt;0.01,0,SUM($G755:AC755)*IF($B747=0,1,(1+$B749))-SUM($G759:AC759))</f>
        <v>48016.35593220342</v>
      </c>
      <c r="AD760" s="185">
        <f ca="1">IF(SUM($G751:AD751)&gt;0.01,0,SUM($G755:AD755)*IF($B747=0,1,(1+$B749))-SUM($G759:AD759))</f>
        <v>45191.864406779685</v>
      </c>
      <c r="AE760" s="185">
        <f ca="1">IF(SUM($G751:AE751)&gt;0.01,0,SUM($G755:AE755)*IF($B747=0,1,(1+$B749))-SUM($G759:AE759))</f>
        <v>42367.372881355957</v>
      </c>
      <c r="AF760" s="185">
        <f ca="1">IF(SUM($G751:AF751)&gt;0.01,0,SUM($G755:AF755)*IF($B747=0,1,(1+$B749))-SUM($G759:AF759))</f>
        <v>39542.88135593223</v>
      </c>
      <c r="AG760" s="185">
        <f ca="1">IF(SUM($G751:AG751)&gt;0.01,0,SUM($G755:AG755)*IF($B747=0,1,(1+$B749))-SUM($G759:AG759))</f>
        <v>36718.389830508502</v>
      </c>
      <c r="AH760" s="185">
        <f ca="1">IF(SUM($G751:AH751)&gt;0.01,0,SUM($G755:AH755)*IF($B747=0,1,(1+$B749))-SUM($G759:AH759))</f>
        <v>33893.898305084775</v>
      </c>
      <c r="AI760" s="185">
        <f ca="1">IF(SUM($G751:AI751)&gt;0.01,0,SUM($G755:AI755)*IF($B747=0,1,(1+$B749))-SUM($G759:AI759))</f>
        <v>31069.406779661047</v>
      </c>
      <c r="AJ760" s="185">
        <f ca="1">IF(SUM($G751:AJ751)&gt;0.01,0,SUM($G755:AJ755)*IF($B747=0,1,(1+$B749))-SUM($G759:AJ759))</f>
        <v>28244.915254237319</v>
      </c>
      <c r="AK760" s="185">
        <f ca="1">IF(SUM($G751:AK751)&gt;0.01,0,SUM($G755:AK755)*IF($B747=0,1,(1+$B749))-SUM($G759:AK759))</f>
        <v>25420.423728813592</v>
      </c>
      <c r="AL760" s="185">
        <f ca="1">IF(SUM($G751:AL751)&gt;0.01,0,SUM($G755:AL755)*IF($B747=0,1,(1+$B749))-SUM($G759:AL759))</f>
        <v>22595.932203389864</v>
      </c>
      <c r="AM760" s="185">
        <f ca="1">IF(SUM($G751:AM751)&gt;0.01,0,SUM($G755:AM755)*IF($B747=0,1,(1+$B749))-SUM($G759:AM759))</f>
        <v>19771.440677966137</v>
      </c>
      <c r="AN760" s="185">
        <f ca="1">IF(SUM($G751:AN751)&gt;0.01,0,SUM($G755:AN755)*IF($B747=0,1,(1+$B749))-SUM($G759:AN759))</f>
        <v>16946.949152542409</v>
      </c>
      <c r="AO760" s="185">
        <f ca="1">IF(SUM($G751:AO751)&gt;0.01,0,SUM($G755:AO755)*IF($B747=0,1,(1+$B749))-SUM($G759:AO759))</f>
        <v>14122.457627118682</v>
      </c>
      <c r="AP760" s="185">
        <f ca="1">IF(SUM($G751:AP751)&gt;0.01,0,SUM($G755:AP755)*IF($B747=0,1,(1+$B749))-SUM($G759:AP759))</f>
        <v>11297.966101694954</v>
      </c>
      <c r="AQ760" s="185">
        <f ca="1">IF(SUM($G751:AQ751)&gt;0.01,0,SUM($G755:AQ755)*IF($B747=0,1,(1+$B749))-SUM($G759:AQ759))</f>
        <v>8473.4745762712264</v>
      </c>
      <c r="AR760" s="185">
        <f ca="1">IF(SUM($G751:AR751)&gt;0.01,0,SUM($G755:AR755)*IF($B747=0,1,(1+$B749))-SUM($G759:AR759))</f>
        <v>5648.9830508474988</v>
      </c>
      <c r="AS760" s="185">
        <f ca="1">IF(SUM($G751:AS751)&gt;0.01,0,SUM($G755:AS755)*IF($B747=0,1,(1+$B749))-SUM($G759:AS759))</f>
        <v>2824.4915254237712</v>
      </c>
      <c r="AT760" s="185">
        <f ca="1">IF(SUM($G751:AT751)&gt;0.01,0,SUM($G755:AT755)*IF($B747=0,1,(1+$B749))-SUM($G759:AT759))</f>
        <v>4.3655745685100555E-11</v>
      </c>
      <c r="AU760" s="185">
        <f ca="1">IF(SUM($G751:AU751)&gt;0.01,0,SUM($G755:AU755)*IF($B747=0,1,(1+$B749))-SUM($G759:AU759))</f>
        <v>4.3655745685100555E-11</v>
      </c>
      <c r="AV760" s="185">
        <f ca="1">IF(SUM($G751:AV751)&gt;0.01,0,SUM($G755:AV755)*IF($B747=0,1,(1+$B749))-SUM($G759:AV759))</f>
        <v>4.3655745685100555E-11</v>
      </c>
      <c r="AW760" s="180"/>
      <c r="AX760" s="87"/>
    </row>
    <row r="761" spans="1:50" hidden="1" outlineLevel="1" x14ac:dyDescent="0.2">
      <c r="A761" s="217" t="str">
        <f ca="1">Language!A$901</f>
        <v>выплаченный НДС</v>
      </c>
      <c r="B761" s="219"/>
      <c r="C761" s="82" t="str">
        <f t="shared" ca="1" si="3253"/>
        <v>тыс. руб.</v>
      </c>
      <c r="D761" s="66">
        <v>1</v>
      </c>
      <c r="E761" s="57" t="s">
        <v>764</v>
      </c>
      <c r="F761" s="57" t="s">
        <v>753</v>
      </c>
      <c r="G761" s="180">
        <f t="shared" ref="G761:AV761" si="3254">IF($B747=0,G752*G750,IF(G$2=$B748,($AX752+$B753+$AX756)*G750,0))</f>
        <v>2288.1355932203392</v>
      </c>
      <c r="H761" s="180">
        <f t="shared" si="3254"/>
        <v>9152.5423728813566</v>
      </c>
      <c r="I761" s="180">
        <f t="shared" si="3254"/>
        <v>5338.9830508474579</v>
      </c>
      <c r="J761" s="180">
        <f t="shared" si="3254"/>
        <v>3556.6779661016949</v>
      </c>
      <c r="K761" s="180">
        <f t="shared" si="3254"/>
        <v>0</v>
      </c>
      <c r="L761" s="180">
        <f t="shared" si="3254"/>
        <v>0</v>
      </c>
      <c r="M761" s="180">
        <f t="shared" si="3254"/>
        <v>0</v>
      </c>
      <c r="N761" s="180">
        <f t="shared" si="3254"/>
        <v>0</v>
      </c>
      <c r="O761" s="180">
        <f t="shared" si="3254"/>
        <v>0</v>
      </c>
      <c r="P761" s="180">
        <f t="shared" si="3254"/>
        <v>0</v>
      </c>
      <c r="Q761" s="180">
        <f t="shared" si="3254"/>
        <v>0</v>
      </c>
      <c r="R761" s="180">
        <f t="shared" si="3254"/>
        <v>0</v>
      </c>
      <c r="S761" s="180">
        <f t="shared" si="3254"/>
        <v>0</v>
      </c>
      <c r="T761" s="180">
        <f t="shared" si="3254"/>
        <v>0</v>
      </c>
      <c r="U761" s="180">
        <f t="shared" si="3254"/>
        <v>0</v>
      </c>
      <c r="V761" s="180">
        <f t="shared" si="3254"/>
        <v>0</v>
      </c>
      <c r="W761" s="180">
        <f t="shared" si="3254"/>
        <v>0</v>
      </c>
      <c r="X761" s="180">
        <f t="shared" si="3254"/>
        <v>0</v>
      </c>
      <c r="Y761" s="180">
        <f t="shared" si="3254"/>
        <v>0</v>
      </c>
      <c r="Z761" s="180">
        <f t="shared" si="3254"/>
        <v>0</v>
      </c>
      <c r="AA761" s="180">
        <f t="shared" si="3254"/>
        <v>0</v>
      </c>
      <c r="AB761" s="180">
        <f t="shared" si="3254"/>
        <v>0</v>
      </c>
      <c r="AC761" s="180">
        <f t="shared" si="3254"/>
        <v>0</v>
      </c>
      <c r="AD761" s="180">
        <f t="shared" si="3254"/>
        <v>0</v>
      </c>
      <c r="AE761" s="180">
        <f t="shared" si="3254"/>
        <v>0</v>
      </c>
      <c r="AF761" s="180">
        <f t="shared" si="3254"/>
        <v>0</v>
      </c>
      <c r="AG761" s="180">
        <f t="shared" si="3254"/>
        <v>0</v>
      </c>
      <c r="AH761" s="180">
        <f t="shared" si="3254"/>
        <v>0</v>
      </c>
      <c r="AI761" s="180">
        <f t="shared" si="3254"/>
        <v>0</v>
      </c>
      <c r="AJ761" s="180">
        <f t="shared" si="3254"/>
        <v>0</v>
      </c>
      <c r="AK761" s="180">
        <f t="shared" si="3254"/>
        <v>0</v>
      </c>
      <c r="AL761" s="180">
        <f t="shared" si="3254"/>
        <v>0</v>
      </c>
      <c r="AM761" s="180">
        <f t="shared" si="3254"/>
        <v>0</v>
      </c>
      <c r="AN761" s="180">
        <f t="shared" si="3254"/>
        <v>0</v>
      </c>
      <c r="AO761" s="180">
        <f t="shared" si="3254"/>
        <v>0</v>
      </c>
      <c r="AP761" s="180">
        <f t="shared" si="3254"/>
        <v>0</v>
      </c>
      <c r="AQ761" s="180">
        <f t="shared" si="3254"/>
        <v>0</v>
      </c>
      <c r="AR761" s="180">
        <f t="shared" si="3254"/>
        <v>0</v>
      </c>
      <c r="AS761" s="180">
        <f t="shared" si="3254"/>
        <v>0</v>
      </c>
      <c r="AT761" s="180">
        <f t="shared" si="3254"/>
        <v>0</v>
      </c>
      <c r="AU761" s="180">
        <f t="shared" si="3254"/>
        <v>0</v>
      </c>
      <c r="AV761" s="180">
        <f t="shared" si="3254"/>
        <v>0</v>
      </c>
      <c r="AW761" s="180"/>
      <c r="AX761" s="189">
        <f>SUM(G761:AW761)</f>
        <v>20336.338983050849</v>
      </c>
    </row>
    <row r="762" spans="1:50" hidden="1" outlineLevel="1" x14ac:dyDescent="0.2">
      <c r="A762" s="217" t="str">
        <f ca="1">Language!A$902</f>
        <v>зачтенный НДС</v>
      </c>
      <c r="B762" s="219"/>
      <c r="C762" s="82" t="str">
        <f t="shared" ca="1" si="3253"/>
        <v>тыс. руб.</v>
      </c>
      <c r="D762" s="66">
        <v>1</v>
      </c>
      <c r="E762" s="57" t="s">
        <v>765</v>
      </c>
      <c r="F762" s="57" t="s">
        <v>753</v>
      </c>
      <c r="G762" s="180">
        <f t="shared" ref="G762:AV762" si="3255">G755*G750*IF($B747=0,1,1+$B749)</f>
        <v>20336.338983050849</v>
      </c>
      <c r="H762" s="180">
        <f t="shared" si="3255"/>
        <v>0</v>
      </c>
      <c r="I762" s="180">
        <f t="shared" si="3255"/>
        <v>0</v>
      </c>
      <c r="J762" s="180">
        <f t="shared" si="3255"/>
        <v>0</v>
      </c>
      <c r="K762" s="180">
        <f t="shared" si="3255"/>
        <v>0</v>
      </c>
      <c r="L762" s="180">
        <f t="shared" si="3255"/>
        <v>0</v>
      </c>
      <c r="M762" s="180">
        <f t="shared" si="3255"/>
        <v>0</v>
      </c>
      <c r="N762" s="180">
        <f t="shared" si="3255"/>
        <v>0</v>
      </c>
      <c r="O762" s="180">
        <f t="shared" si="3255"/>
        <v>0</v>
      </c>
      <c r="P762" s="180">
        <f t="shared" si="3255"/>
        <v>0</v>
      </c>
      <c r="Q762" s="180">
        <f t="shared" si="3255"/>
        <v>0</v>
      </c>
      <c r="R762" s="180">
        <f t="shared" si="3255"/>
        <v>0</v>
      </c>
      <c r="S762" s="180">
        <f t="shared" si="3255"/>
        <v>0</v>
      </c>
      <c r="T762" s="180">
        <f t="shared" si="3255"/>
        <v>0</v>
      </c>
      <c r="U762" s="180">
        <f t="shared" si="3255"/>
        <v>0</v>
      </c>
      <c r="V762" s="180">
        <f t="shared" si="3255"/>
        <v>0</v>
      </c>
      <c r="W762" s="180">
        <f t="shared" si="3255"/>
        <v>0</v>
      </c>
      <c r="X762" s="180">
        <f t="shared" si="3255"/>
        <v>0</v>
      </c>
      <c r="Y762" s="180">
        <f t="shared" si="3255"/>
        <v>0</v>
      </c>
      <c r="Z762" s="180">
        <f t="shared" si="3255"/>
        <v>0</v>
      </c>
      <c r="AA762" s="180">
        <f t="shared" si="3255"/>
        <v>0</v>
      </c>
      <c r="AB762" s="180">
        <f t="shared" si="3255"/>
        <v>0</v>
      </c>
      <c r="AC762" s="180">
        <f t="shared" si="3255"/>
        <v>0</v>
      </c>
      <c r="AD762" s="180">
        <f t="shared" si="3255"/>
        <v>0</v>
      </c>
      <c r="AE762" s="180">
        <f t="shared" si="3255"/>
        <v>0</v>
      </c>
      <c r="AF762" s="180">
        <f t="shared" si="3255"/>
        <v>0</v>
      </c>
      <c r="AG762" s="180">
        <f t="shared" si="3255"/>
        <v>0</v>
      </c>
      <c r="AH762" s="180">
        <f t="shared" si="3255"/>
        <v>0</v>
      </c>
      <c r="AI762" s="180">
        <f t="shared" si="3255"/>
        <v>0</v>
      </c>
      <c r="AJ762" s="180">
        <f t="shared" si="3255"/>
        <v>0</v>
      </c>
      <c r="AK762" s="180">
        <f t="shared" si="3255"/>
        <v>0</v>
      </c>
      <c r="AL762" s="180">
        <f t="shared" si="3255"/>
        <v>0</v>
      </c>
      <c r="AM762" s="180">
        <f t="shared" si="3255"/>
        <v>0</v>
      </c>
      <c r="AN762" s="180">
        <f t="shared" si="3255"/>
        <v>0</v>
      </c>
      <c r="AO762" s="180">
        <f t="shared" si="3255"/>
        <v>0</v>
      </c>
      <c r="AP762" s="180">
        <f t="shared" si="3255"/>
        <v>0</v>
      </c>
      <c r="AQ762" s="180">
        <f t="shared" si="3255"/>
        <v>0</v>
      </c>
      <c r="AR762" s="180">
        <f t="shared" si="3255"/>
        <v>0</v>
      </c>
      <c r="AS762" s="180">
        <f t="shared" si="3255"/>
        <v>0</v>
      </c>
      <c r="AT762" s="180">
        <f t="shared" si="3255"/>
        <v>0</v>
      </c>
      <c r="AU762" s="180">
        <f t="shared" si="3255"/>
        <v>0</v>
      </c>
      <c r="AV762" s="180">
        <f t="shared" si="3255"/>
        <v>0</v>
      </c>
      <c r="AW762" s="180"/>
      <c r="AX762" s="189">
        <f>SUM(G762:AW762)</f>
        <v>20336.338983050849</v>
      </c>
    </row>
    <row r="763" spans="1:50" hidden="1" outlineLevel="1" x14ac:dyDescent="0.2">
      <c r="A763" s="217" t="str">
        <f ca="1">Language!A$903</f>
        <v>амортизация (налоговая)</v>
      </c>
      <c r="B763" s="219"/>
      <c r="C763" s="82" t="str">
        <f t="shared" ca="1" si="3253"/>
        <v>тыс. руб.</v>
      </c>
      <c r="D763" s="66">
        <v>1</v>
      </c>
      <c r="E763" s="57" t="s">
        <v>766</v>
      </c>
      <c r="F763" s="57" t="s">
        <v>753</v>
      </c>
      <c r="G763" s="185">
        <f ca="1">IF(SUM($G751:G751)&gt;0.01,0,$B746*G755*IF($B747=0,1,(1+$B749))+IF($B745=0,0,MIN((SUM($G755:G755)-IF(G$2&gt;$B745*12/Prj_Step,SUM($G755:OFFSET(G755,0,-$B745*12/Prj_Step)),0))*IF($B747=0,1,(1+$B749))*(1-$B746)/$B745/12*Параметры!G$31,IF(G$2=1,G755*IF($B747=0,1,(1+$B749)),F764+SUM($F755:G755)*(1-$B746)*IF($B747=0,1,(1+$B749))-SUM($F755:F755)*(1-$B746)*IF($B747=0,1,(1+$B749))))))</f>
        <v>2824.4915254237289</v>
      </c>
      <c r="H763" s="185">
        <f ca="1">IF(SUM($G751:H751)&gt;0.01,0,$B746*H755*IF($B747=0,1,(1+$B749))+IF($B745=0,0,MIN((SUM($G755:H755)-IF(H$2&gt;$B745*12/Prj_Step,SUM($G755:OFFSET(H755,0,-$B745*12/Prj_Step)),0))*IF($B747=0,1,(1+$B749))*(1-$B746)/$B745/12*Параметры!H$31,IF(H$2=1,H755*IF($B747=0,1,(1+$B749)),G764+SUM($F755:H755)*(1-$B746)*IF($B747=0,1,(1+$B749))-SUM($F755:G755)*(1-$B746)*IF($B747=0,1,(1+$B749))))))</f>
        <v>2824.4915254237289</v>
      </c>
      <c r="I763" s="185">
        <f ca="1">IF(SUM($G751:I751)&gt;0.01,0,$B746*I755*IF($B747=0,1,(1+$B749))+IF($B745=0,0,MIN((SUM($G755:I755)-IF(I$2&gt;$B745*12/Prj_Step,SUM($G755:OFFSET(I755,0,-$B745*12/Prj_Step)),0))*IF($B747=0,1,(1+$B749))*(1-$B746)/$B745/12*Параметры!I$31,IF(I$2=1,I755*IF($B747=0,1,(1+$B749)),H764+SUM($F755:I755)*(1-$B746)*IF($B747=0,1,(1+$B749))-SUM($F755:H755)*(1-$B746)*IF($B747=0,1,(1+$B749))))))</f>
        <v>2824.4915254237289</v>
      </c>
      <c r="J763" s="185">
        <f ca="1">IF(SUM($G751:J751)&gt;0.01,0,$B746*J755*IF($B747=0,1,(1+$B749))+IF($B745=0,0,MIN((SUM($G755:J755)-IF(J$2&gt;$B745*12/Prj_Step,SUM($G755:OFFSET(J755,0,-$B745*12/Prj_Step)),0))*IF($B747=0,1,(1+$B749))*(1-$B746)/$B745/12*Параметры!J$31,IF(J$2=1,J755*IF($B747=0,1,(1+$B749)),I764+SUM($F755:J755)*(1-$B746)*IF($B747=0,1,(1+$B749))-SUM($F755:I755)*(1-$B746)*IF($B747=0,1,(1+$B749))))))</f>
        <v>2824.4915254237289</v>
      </c>
      <c r="K763" s="185">
        <f ca="1">IF(SUM($G751:K751)&gt;0.01,0,$B746*K755*IF($B747=0,1,(1+$B749))+IF($B745=0,0,MIN((SUM($G755:K755)-IF(K$2&gt;$B745*12/Prj_Step,SUM($G755:OFFSET(K755,0,-$B745*12/Prj_Step)),0))*IF($B747=0,1,(1+$B749))*(1-$B746)/$B745/12*Параметры!K$31,IF(K$2=1,K755*IF($B747=0,1,(1+$B749)),J764+SUM($F755:K755)*(1-$B746)*IF($B747=0,1,(1+$B749))-SUM($F755:J755)*(1-$B746)*IF($B747=0,1,(1+$B749))))))</f>
        <v>2824.4915254237289</v>
      </c>
      <c r="L763" s="185">
        <f ca="1">IF(SUM($G751:L751)&gt;0.01,0,$B746*L755*IF($B747=0,1,(1+$B749))+IF($B745=0,0,MIN((SUM($G755:L755)-IF(L$2&gt;$B745*12/Prj_Step,SUM($G755:OFFSET(L755,0,-$B745*12/Prj_Step)),0))*IF($B747=0,1,(1+$B749))*(1-$B746)/$B745/12*Параметры!L$31,IF(L$2=1,L755*IF($B747=0,1,(1+$B749)),K764+SUM($F755:L755)*(1-$B746)*IF($B747=0,1,(1+$B749))-SUM($F755:K755)*(1-$B746)*IF($B747=0,1,(1+$B749))))))</f>
        <v>2824.4915254237289</v>
      </c>
      <c r="M763" s="185">
        <f ca="1">IF(SUM($G751:M751)&gt;0.01,0,$B746*M755*IF($B747=0,1,(1+$B749))+IF($B745=0,0,MIN((SUM($G755:M755)-IF(M$2&gt;$B745*12/Prj_Step,SUM($G755:OFFSET(M755,0,-$B745*12/Prj_Step)),0))*IF($B747=0,1,(1+$B749))*(1-$B746)/$B745/12*Параметры!M$31,IF(M$2=1,M755*IF($B747=0,1,(1+$B749)),L764+SUM($F755:M755)*(1-$B746)*IF($B747=0,1,(1+$B749))-SUM($F755:L755)*(1-$B746)*IF($B747=0,1,(1+$B749))))))</f>
        <v>2824.4915254237289</v>
      </c>
      <c r="N763" s="185">
        <f ca="1">IF(SUM($G751:N751)&gt;0.01,0,$B746*N755*IF($B747=0,1,(1+$B749))+IF($B745=0,0,MIN((SUM($G755:N755)-IF(N$2&gt;$B745*12/Prj_Step,SUM($G755:OFFSET(N755,0,-$B745*12/Prj_Step)),0))*IF($B747=0,1,(1+$B749))*(1-$B746)/$B745/12*Параметры!N$31,IF(N$2=1,N755*IF($B747=0,1,(1+$B749)),M764+SUM($F755:N755)*(1-$B746)*IF($B747=0,1,(1+$B749))-SUM($F755:M755)*(1-$B746)*IF($B747=0,1,(1+$B749))))))</f>
        <v>2824.4915254237289</v>
      </c>
      <c r="O763" s="185">
        <f ca="1">IF(SUM($G751:O751)&gt;0.01,0,$B746*O755*IF($B747=0,1,(1+$B749))+IF($B745=0,0,MIN((SUM($G755:O755)-IF(O$2&gt;$B745*12/Prj_Step,SUM($G755:OFFSET(O755,0,-$B745*12/Prj_Step)),0))*IF($B747=0,1,(1+$B749))*(1-$B746)/$B745/12*Параметры!O$31,IF(O$2=1,O755*IF($B747=0,1,(1+$B749)),N764+SUM($F755:O755)*(1-$B746)*IF($B747=0,1,(1+$B749))-SUM($F755:N755)*(1-$B746)*IF($B747=0,1,(1+$B749))))))</f>
        <v>2824.4915254237289</v>
      </c>
      <c r="P763" s="185">
        <f ca="1">IF(SUM($G751:P751)&gt;0.01,0,$B746*P755*IF($B747=0,1,(1+$B749))+IF($B745=0,0,MIN((SUM($G755:P755)-IF(P$2&gt;$B745*12/Prj_Step,SUM($G755:OFFSET(P755,0,-$B745*12/Prj_Step)),0))*IF($B747=0,1,(1+$B749))*(1-$B746)/$B745/12*Параметры!P$31,IF(P$2=1,P755*IF($B747=0,1,(1+$B749)),O764+SUM($F755:P755)*(1-$B746)*IF($B747=0,1,(1+$B749))-SUM($F755:O755)*(1-$B746)*IF($B747=0,1,(1+$B749))))))</f>
        <v>2824.4915254237289</v>
      </c>
      <c r="Q763" s="185">
        <f ca="1">IF(SUM($G751:Q751)&gt;0.01,0,$B746*Q755*IF($B747=0,1,(1+$B749))+IF($B745=0,0,MIN((SUM($G755:Q755)-IF(Q$2&gt;$B745*12/Prj_Step,SUM($G755:OFFSET(Q755,0,-$B745*12/Prj_Step)),0))*IF($B747=0,1,(1+$B749))*(1-$B746)/$B745/12*Параметры!Q$31,IF(Q$2=1,Q755*IF($B747=0,1,(1+$B749)),P764+SUM($F755:Q755)*(1-$B746)*IF($B747=0,1,(1+$B749))-SUM($F755:P755)*(1-$B746)*IF($B747=0,1,(1+$B749))))))</f>
        <v>2824.4915254237289</v>
      </c>
      <c r="R763" s="185">
        <f ca="1">IF(SUM($G751:R751)&gt;0.01,0,$B746*R755*IF($B747=0,1,(1+$B749))+IF($B745=0,0,MIN((SUM($G755:R755)-IF(R$2&gt;$B745*12/Prj_Step,SUM($G755:OFFSET(R755,0,-$B745*12/Prj_Step)),0))*IF($B747=0,1,(1+$B749))*(1-$B746)/$B745/12*Параметры!R$31,IF(R$2=1,R755*IF($B747=0,1,(1+$B749)),Q764+SUM($F755:R755)*(1-$B746)*IF($B747=0,1,(1+$B749))-SUM($F755:Q755)*(1-$B746)*IF($B747=0,1,(1+$B749))))))</f>
        <v>2824.4915254237289</v>
      </c>
      <c r="S763" s="185">
        <f ca="1">IF(SUM($G751:S751)&gt;0.01,0,$B746*S755*IF($B747=0,1,(1+$B749))+IF($B745=0,0,MIN((SUM($G755:S755)-IF(S$2&gt;$B745*12/Prj_Step,SUM($G755:OFFSET(S755,0,-$B745*12/Prj_Step)),0))*IF($B747=0,1,(1+$B749))*(1-$B746)/$B745/12*Параметры!S$31,IF(S$2=1,S755*IF($B747=0,1,(1+$B749)),R764+SUM($F755:S755)*(1-$B746)*IF($B747=0,1,(1+$B749))-SUM($F755:R755)*(1-$B746)*IF($B747=0,1,(1+$B749))))))</f>
        <v>2824.4915254237289</v>
      </c>
      <c r="T763" s="185">
        <f ca="1">IF(SUM($G751:T751)&gt;0.01,0,$B746*T755*IF($B747=0,1,(1+$B749))+IF($B745=0,0,MIN((SUM($G755:T755)-IF(T$2&gt;$B745*12/Prj_Step,SUM($G755:OFFSET(T755,0,-$B745*12/Prj_Step)),0))*IF($B747=0,1,(1+$B749))*(1-$B746)/$B745/12*Параметры!T$31,IF(T$2=1,T755*IF($B747=0,1,(1+$B749)),S764+SUM($F755:T755)*(1-$B746)*IF($B747=0,1,(1+$B749))-SUM($F755:S755)*(1-$B746)*IF($B747=0,1,(1+$B749))))))</f>
        <v>2824.4915254237289</v>
      </c>
      <c r="U763" s="185">
        <f ca="1">IF(SUM($G751:U751)&gt;0.01,0,$B746*U755*IF($B747=0,1,(1+$B749))+IF($B745=0,0,MIN((SUM($G755:U755)-IF(U$2&gt;$B745*12/Prj_Step,SUM($G755:OFFSET(U755,0,-$B745*12/Prj_Step)),0))*IF($B747=0,1,(1+$B749))*(1-$B746)/$B745/12*Параметры!U$31,IF(U$2=1,U755*IF($B747=0,1,(1+$B749)),T764+SUM($F755:U755)*(1-$B746)*IF($B747=0,1,(1+$B749))-SUM($F755:T755)*(1-$B746)*IF($B747=0,1,(1+$B749))))))</f>
        <v>2824.4915254237289</v>
      </c>
      <c r="V763" s="185">
        <f ca="1">IF(SUM($G751:V751)&gt;0.01,0,$B746*V755*IF($B747=0,1,(1+$B749))+IF($B745=0,0,MIN((SUM($G755:V755)-IF(V$2&gt;$B745*12/Prj_Step,SUM($G755:OFFSET(V755,0,-$B745*12/Prj_Step)),0))*IF($B747=0,1,(1+$B749))*(1-$B746)/$B745/12*Параметры!V$31,IF(V$2=1,V755*IF($B747=0,1,(1+$B749)),U764+SUM($F755:V755)*(1-$B746)*IF($B747=0,1,(1+$B749))-SUM($F755:U755)*(1-$B746)*IF($B747=0,1,(1+$B749))))))</f>
        <v>2824.4915254237289</v>
      </c>
      <c r="W763" s="185">
        <f ca="1">IF(SUM($G751:W751)&gt;0.01,0,$B746*W755*IF($B747=0,1,(1+$B749))+IF($B745=0,0,MIN((SUM($G755:W755)-IF(W$2&gt;$B745*12/Prj_Step,SUM($G755:OFFSET(W755,0,-$B745*12/Prj_Step)),0))*IF($B747=0,1,(1+$B749))*(1-$B746)/$B745/12*Параметры!W$31,IF(W$2=1,W755*IF($B747=0,1,(1+$B749)),V764+SUM($F755:W755)*(1-$B746)*IF($B747=0,1,(1+$B749))-SUM($F755:V755)*(1-$B746)*IF($B747=0,1,(1+$B749))))))</f>
        <v>2824.4915254237289</v>
      </c>
      <c r="X763" s="185">
        <f ca="1">IF(SUM($G751:X751)&gt;0.01,0,$B746*X755*IF($B747=0,1,(1+$B749))+IF($B745=0,0,MIN((SUM($G755:X755)-IF(X$2&gt;$B745*12/Prj_Step,SUM($G755:OFFSET(X755,0,-$B745*12/Prj_Step)),0))*IF($B747=0,1,(1+$B749))*(1-$B746)/$B745/12*Параметры!X$31,IF(X$2=1,X755*IF($B747=0,1,(1+$B749)),W764+SUM($F755:X755)*(1-$B746)*IF($B747=0,1,(1+$B749))-SUM($F755:W755)*(1-$B746)*IF($B747=0,1,(1+$B749))))))</f>
        <v>2824.4915254237289</v>
      </c>
      <c r="Y763" s="185">
        <f ca="1">IF(SUM($G751:Y751)&gt;0.01,0,$B746*Y755*IF($B747=0,1,(1+$B749))+IF($B745=0,0,MIN((SUM($G755:Y755)-IF(Y$2&gt;$B745*12/Prj_Step,SUM($G755:OFFSET(Y755,0,-$B745*12/Prj_Step)),0))*IF($B747=0,1,(1+$B749))*(1-$B746)/$B745/12*Параметры!Y$31,IF(Y$2=1,Y755*IF($B747=0,1,(1+$B749)),X764+SUM($F755:Y755)*(1-$B746)*IF($B747=0,1,(1+$B749))-SUM($F755:X755)*(1-$B746)*IF($B747=0,1,(1+$B749))))))</f>
        <v>2824.4915254237289</v>
      </c>
      <c r="Z763" s="185">
        <f ca="1">IF(SUM($G751:Z751)&gt;0.01,0,$B746*Z755*IF($B747=0,1,(1+$B749))+IF($B745=0,0,MIN((SUM($G755:Z755)-IF(Z$2&gt;$B745*12/Prj_Step,SUM($G755:OFFSET(Z755,0,-$B745*12/Prj_Step)),0))*IF($B747=0,1,(1+$B749))*(1-$B746)/$B745/12*Параметры!Z$31,IF(Z$2=1,Z755*IF($B747=0,1,(1+$B749)),Y764+SUM($F755:Z755)*(1-$B746)*IF($B747=0,1,(1+$B749))-SUM($F755:Y755)*(1-$B746)*IF($B747=0,1,(1+$B749))))))</f>
        <v>2824.4915254237289</v>
      </c>
      <c r="AA763" s="185">
        <f ca="1">IF(SUM($G751:AA751)&gt;0.01,0,$B746*AA755*IF($B747=0,1,(1+$B749))+IF($B745=0,0,MIN((SUM($G755:AA755)-IF(AA$2&gt;$B745*12/Prj_Step,SUM($G755:OFFSET(AA755,0,-$B745*12/Prj_Step)),0))*IF($B747=0,1,(1+$B749))*(1-$B746)/$B745/12*Параметры!AA$31,IF(AA$2=1,AA755*IF($B747=0,1,(1+$B749)),Z764+SUM($F755:AA755)*(1-$B746)*IF($B747=0,1,(1+$B749))-SUM($F755:Z755)*(1-$B746)*IF($B747=0,1,(1+$B749))))))</f>
        <v>2824.4915254237289</v>
      </c>
      <c r="AB763" s="185">
        <f ca="1">IF(SUM($G751:AB751)&gt;0.01,0,$B746*AB755*IF($B747=0,1,(1+$B749))+IF($B745=0,0,MIN((SUM($G755:AB755)-IF(AB$2&gt;$B745*12/Prj_Step,SUM($G755:OFFSET(AB755,0,-$B745*12/Prj_Step)),0))*IF($B747=0,1,(1+$B749))*(1-$B746)/$B745/12*Параметры!AB$31,IF(AB$2=1,AB755*IF($B747=0,1,(1+$B749)),AA764+SUM($F755:AB755)*(1-$B746)*IF($B747=0,1,(1+$B749))-SUM($F755:AA755)*(1-$B746)*IF($B747=0,1,(1+$B749))))))</f>
        <v>2824.4915254237289</v>
      </c>
      <c r="AC763" s="185">
        <f ca="1">IF(SUM($G751:AC751)&gt;0.01,0,$B746*AC755*IF($B747=0,1,(1+$B749))+IF($B745=0,0,MIN((SUM($G755:AC755)-IF(AC$2&gt;$B745*12/Prj_Step,SUM($G755:OFFSET(AC755,0,-$B745*12/Prj_Step)),0))*IF($B747=0,1,(1+$B749))*(1-$B746)/$B745/12*Параметры!AC$31,IF(AC$2=1,AC755*IF($B747=0,1,(1+$B749)),AB764+SUM($F755:AC755)*(1-$B746)*IF($B747=0,1,(1+$B749))-SUM($F755:AB755)*(1-$B746)*IF($B747=0,1,(1+$B749))))))</f>
        <v>2824.4915254237289</v>
      </c>
      <c r="AD763" s="185">
        <f ca="1">IF(SUM($G751:AD751)&gt;0.01,0,$B746*AD755*IF($B747=0,1,(1+$B749))+IF($B745=0,0,MIN((SUM($G755:AD755)-IF(AD$2&gt;$B745*12/Prj_Step,SUM($G755:OFFSET(AD755,0,-$B745*12/Prj_Step)),0))*IF($B747=0,1,(1+$B749))*(1-$B746)/$B745/12*Параметры!AD$31,IF(AD$2=1,AD755*IF($B747=0,1,(1+$B749)),AC764+SUM($F755:AD755)*(1-$B746)*IF($B747=0,1,(1+$B749))-SUM($F755:AC755)*(1-$B746)*IF($B747=0,1,(1+$B749))))))</f>
        <v>2824.4915254237289</v>
      </c>
      <c r="AE763" s="185">
        <f ca="1">IF(SUM($G751:AE751)&gt;0.01,0,$B746*AE755*IF($B747=0,1,(1+$B749))+IF($B745=0,0,MIN((SUM($G755:AE755)-IF(AE$2&gt;$B745*12/Prj_Step,SUM($G755:OFFSET(AE755,0,-$B745*12/Prj_Step)),0))*IF($B747=0,1,(1+$B749))*(1-$B746)/$B745/12*Параметры!AE$31,IF(AE$2=1,AE755*IF($B747=0,1,(1+$B749)),AD764+SUM($F755:AE755)*(1-$B746)*IF($B747=0,1,(1+$B749))-SUM($F755:AD755)*(1-$B746)*IF($B747=0,1,(1+$B749))))))</f>
        <v>2824.4915254237289</v>
      </c>
      <c r="AF763" s="185">
        <f ca="1">IF(SUM($G751:AF751)&gt;0.01,0,$B746*AF755*IF($B747=0,1,(1+$B749))+IF($B745=0,0,MIN((SUM($G755:AF755)-IF(AF$2&gt;$B745*12/Prj_Step,SUM($G755:OFFSET(AF755,0,-$B745*12/Prj_Step)),0))*IF($B747=0,1,(1+$B749))*(1-$B746)/$B745/12*Параметры!AF$31,IF(AF$2=1,AF755*IF($B747=0,1,(1+$B749)),AE764+SUM($F755:AF755)*(1-$B746)*IF($B747=0,1,(1+$B749))-SUM($F755:AE755)*(1-$B746)*IF($B747=0,1,(1+$B749))))))</f>
        <v>2824.4915254237289</v>
      </c>
      <c r="AG763" s="185">
        <f ca="1">IF(SUM($G751:AG751)&gt;0.01,0,$B746*AG755*IF($B747=0,1,(1+$B749))+IF($B745=0,0,MIN((SUM($G755:AG755)-IF(AG$2&gt;$B745*12/Prj_Step,SUM($G755:OFFSET(AG755,0,-$B745*12/Prj_Step)),0))*IF($B747=0,1,(1+$B749))*(1-$B746)/$B745/12*Параметры!AG$31,IF(AG$2=1,AG755*IF($B747=0,1,(1+$B749)),AF764+SUM($F755:AG755)*(1-$B746)*IF($B747=0,1,(1+$B749))-SUM($F755:AF755)*(1-$B746)*IF($B747=0,1,(1+$B749))))))</f>
        <v>2824.4915254237289</v>
      </c>
      <c r="AH763" s="185">
        <f ca="1">IF(SUM($G751:AH751)&gt;0.01,0,$B746*AH755*IF($B747=0,1,(1+$B749))+IF($B745=0,0,MIN((SUM($G755:AH755)-IF(AH$2&gt;$B745*12/Prj_Step,SUM($G755:OFFSET(AH755,0,-$B745*12/Prj_Step)),0))*IF($B747=0,1,(1+$B749))*(1-$B746)/$B745/12*Параметры!AH$31,IF(AH$2=1,AH755*IF($B747=0,1,(1+$B749)),AG764+SUM($F755:AH755)*(1-$B746)*IF($B747=0,1,(1+$B749))-SUM($F755:AG755)*(1-$B746)*IF($B747=0,1,(1+$B749))))))</f>
        <v>2824.4915254237289</v>
      </c>
      <c r="AI763" s="185">
        <f ca="1">IF(SUM($G751:AI751)&gt;0.01,0,$B746*AI755*IF($B747=0,1,(1+$B749))+IF($B745=0,0,MIN((SUM($G755:AI755)-IF(AI$2&gt;$B745*12/Prj_Step,SUM($G755:OFFSET(AI755,0,-$B745*12/Prj_Step)),0))*IF($B747=0,1,(1+$B749))*(1-$B746)/$B745/12*Параметры!AI$31,IF(AI$2=1,AI755*IF($B747=0,1,(1+$B749)),AH764+SUM($F755:AI755)*(1-$B746)*IF($B747=0,1,(1+$B749))-SUM($F755:AH755)*(1-$B746)*IF($B747=0,1,(1+$B749))))))</f>
        <v>2824.4915254237289</v>
      </c>
      <c r="AJ763" s="185">
        <f ca="1">IF(SUM($G751:AJ751)&gt;0.01,0,$B746*AJ755*IF($B747=0,1,(1+$B749))+IF($B745=0,0,MIN((SUM($G755:AJ755)-IF(AJ$2&gt;$B745*12/Prj_Step,SUM($G755:OFFSET(AJ755,0,-$B745*12/Prj_Step)),0))*IF($B747=0,1,(1+$B749))*(1-$B746)/$B745/12*Параметры!AJ$31,IF(AJ$2=1,AJ755*IF($B747=0,1,(1+$B749)),AI764+SUM($F755:AJ755)*(1-$B746)*IF($B747=0,1,(1+$B749))-SUM($F755:AI755)*(1-$B746)*IF($B747=0,1,(1+$B749))))))</f>
        <v>2824.4915254237289</v>
      </c>
      <c r="AK763" s="185">
        <f ca="1">IF(SUM($G751:AK751)&gt;0.01,0,$B746*AK755*IF($B747=0,1,(1+$B749))+IF($B745=0,0,MIN((SUM($G755:AK755)-IF(AK$2&gt;$B745*12/Prj_Step,SUM($G755:OFFSET(AK755,0,-$B745*12/Prj_Step)),0))*IF($B747=0,1,(1+$B749))*(1-$B746)/$B745/12*Параметры!AK$31,IF(AK$2=1,AK755*IF($B747=0,1,(1+$B749)),AJ764+SUM($F755:AK755)*(1-$B746)*IF($B747=0,1,(1+$B749))-SUM($F755:AJ755)*(1-$B746)*IF($B747=0,1,(1+$B749))))))</f>
        <v>2824.4915254237289</v>
      </c>
      <c r="AL763" s="185">
        <f ca="1">IF(SUM($G751:AL751)&gt;0.01,0,$B746*AL755*IF($B747=0,1,(1+$B749))+IF($B745=0,0,MIN((SUM($G755:AL755)-IF(AL$2&gt;$B745*12/Prj_Step,SUM($G755:OFFSET(AL755,0,-$B745*12/Prj_Step)),0))*IF($B747=0,1,(1+$B749))*(1-$B746)/$B745/12*Параметры!AL$31,IF(AL$2=1,AL755*IF($B747=0,1,(1+$B749)),AK764+SUM($F755:AL755)*(1-$B746)*IF($B747=0,1,(1+$B749))-SUM($F755:AK755)*(1-$B746)*IF($B747=0,1,(1+$B749))))))</f>
        <v>2824.4915254237289</v>
      </c>
      <c r="AM763" s="185">
        <f ca="1">IF(SUM($G751:AM751)&gt;0.01,0,$B746*AM755*IF($B747=0,1,(1+$B749))+IF($B745=0,0,MIN((SUM($G755:AM755)-IF(AM$2&gt;$B745*12/Prj_Step,SUM($G755:OFFSET(AM755,0,-$B745*12/Prj_Step)),0))*IF($B747=0,1,(1+$B749))*(1-$B746)/$B745/12*Параметры!AM$31,IF(AM$2=1,AM755*IF($B747=0,1,(1+$B749)),AL764+SUM($F755:AM755)*(1-$B746)*IF($B747=0,1,(1+$B749))-SUM($F755:AL755)*(1-$B746)*IF($B747=0,1,(1+$B749))))))</f>
        <v>2824.4915254237289</v>
      </c>
      <c r="AN763" s="185">
        <f ca="1">IF(SUM($G751:AN751)&gt;0.01,0,$B746*AN755*IF($B747=0,1,(1+$B749))+IF($B745=0,0,MIN((SUM($G755:AN755)-IF(AN$2&gt;$B745*12/Prj_Step,SUM($G755:OFFSET(AN755,0,-$B745*12/Prj_Step)),0))*IF($B747=0,1,(1+$B749))*(1-$B746)/$B745/12*Параметры!AN$31,IF(AN$2=1,AN755*IF($B747=0,1,(1+$B749)),AM764+SUM($F755:AN755)*(1-$B746)*IF($B747=0,1,(1+$B749))-SUM($F755:AM755)*(1-$B746)*IF($B747=0,1,(1+$B749))))))</f>
        <v>2824.4915254237289</v>
      </c>
      <c r="AO763" s="185">
        <f ca="1">IF(SUM($G751:AO751)&gt;0.01,0,$B746*AO755*IF($B747=0,1,(1+$B749))+IF($B745=0,0,MIN((SUM($G755:AO755)-IF(AO$2&gt;$B745*12/Prj_Step,SUM($G755:OFFSET(AO755,0,-$B745*12/Prj_Step)),0))*IF($B747=0,1,(1+$B749))*(1-$B746)/$B745/12*Параметры!AO$31,IF(AO$2=1,AO755*IF($B747=0,1,(1+$B749)),AN764+SUM($F755:AO755)*(1-$B746)*IF($B747=0,1,(1+$B749))-SUM($F755:AN755)*(1-$B746)*IF($B747=0,1,(1+$B749))))))</f>
        <v>2824.4915254237289</v>
      </c>
      <c r="AP763" s="185">
        <f ca="1">IF(SUM($G751:AP751)&gt;0.01,0,$B746*AP755*IF($B747=0,1,(1+$B749))+IF($B745=0,0,MIN((SUM($G755:AP755)-IF(AP$2&gt;$B745*12/Prj_Step,SUM($G755:OFFSET(AP755,0,-$B745*12/Prj_Step)),0))*IF($B747=0,1,(1+$B749))*(1-$B746)/$B745/12*Параметры!AP$31,IF(AP$2=1,AP755*IF($B747=0,1,(1+$B749)),AO764+SUM($F755:AP755)*(1-$B746)*IF($B747=0,1,(1+$B749))-SUM($F755:AO755)*(1-$B746)*IF($B747=0,1,(1+$B749))))))</f>
        <v>2824.4915254237289</v>
      </c>
      <c r="AQ763" s="185">
        <f ca="1">IF(SUM($G751:AQ751)&gt;0.01,0,$B746*AQ755*IF($B747=0,1,(1+$B749))+IF($B745=0,0,MIN((SUM($G755:AQ755)-IF(AQ$2&gt;$B745*12/Prj_Step,SUM($G755:OFFSET(AQ755,0,-$B745*12/Prj_Step)),0))*IF($B747=0,1,(1+$B749))*(1-$B746)/$B745/12*Параметры!AQ$31,IF(AQ$2=1,AQ755*IF($B747=0,1,(1+$B749)),AP764+SUM($F755:AQ755)*(1-$B746)*IF($B747=0,1,(1+$B749))-SUM($F755:AP755)*(1-$B746)*IF($B747=0,1,(1+$B749))))))</f>
        <v>2824.4915254237289</v>
      </c>
      <c r="AR763" s="185">
        <f ca="1">IF(SUM($G751:AR751)&gt;0.01,0,$B746*AR755*IF($B747=0,1,(1+$B749))+IF($B745=0,0,MIN((SUM($G755:AR755)-IF(AR$2&gt;$B745*12/Prj_Step,SUM($G755:OFFSET(AR755,0,-$B745*12/Prj_Step)),0))*IF($B747=0,1,(1+$B749))*(1-$B746)/$B745/12*Параметры!AR$31,IF(AR$2=1,AR755*IF($B747=0,1,(1+$B749)),AQ764+SUM($F755:AR755)*(1-$B746)*IF($B747=0,1,(1+$B749))-SUM($F755:AQ755)*(1-$B746)*IF($B747=0,1,(1+$B749))))))</f>
        <v>2824.4915254237289</v>
      </c>
      <c r="AS763" s="185">
        <f ca="1">IF(SUM($G751:AS751)&gt;0.01,0,$B746*AS755*IF($B747=0,1,(1+$B749))+IF($B745=0,0,MIN((SUM($G755:AS755)-IF(AS$2&gt;$B745*12/Prj_Step,SUM($G755:OFFSET(AS755,0,-$B745*12/Prj_Step)),0))*IF($B747=0,1,(1+$B749))*(1-$B746)/$B745/12*Параметры!AS$31,IF(AS$2=1,AS755*IF($B747=0,1,(1+$B749)),AR764+SUM($F755:AS755)*(1-$B746)*IF($B747=0,1,(1+$B749))-SUM($F755:AR755)*(1-$B746)*IF($B747=0,1,(1+$B749))))))</f>
        <v>2824.4915254237289</v>
      </c>
      <c r="AT763" s="185">
        <f ca="1">IF(SUM($G751:AT751)&gt;0.01,0,$B746*AT755*IF($B747=0,1,(1+$B749))+IF($B745=0,0,MIN((SUM($G755:AT755)-IF(AT$2&gt;$B745*12/Prj_Step,SUM($G755:OFFSET(AT755,0,-$B745*12/Prj_Step)),0))*IF($B747=0,1,(1+$B749))*(1-$B746)/$B745/12*Параметры!AT$31,IF(AT$2=1,AT755*IF($B747=0,1,(1+$B749)),AS764+SUM($F755:AT755)*(1-$B746)*IF($B747=0,1,(1+$B749))-SUM($F755:AS755)*(1-$B746)*IF($B747=0,1,(1+$B749))))))</f>
        <v>2824.4915254237289</v>
      </c>
      <c r="AU763" s="185">
        <f ca="1">IF(SUM($G751:AU751)&gt;0.01,0,$B746*AU755*IF($B747=0,1,(1+$B749))+IF($B745=0,0,MIN((SUM($G755:AU755)-IF(AU$2&gt;$B745*12/Prj_Step,SUM($G755:OFFSET(AU755,0,-$B745*12/Prj_Step)),0))*IF($B747=0,1,(1+$B749))*(1-$B746)/$B745/12*Параметры!AU$31,IF(AU$2=1,AU755*IF($B747=0,1,(1+$B749)),AT764+SUM($F755:AU755)*(1-$B746)*IF($B747=0,1,(1+$B749))-SUM($F755:AT755)*(1-$B746)*IF($B747=0,1,(1+$B749))))))</f>
        <v>0</v>
      </c>
      <c r="AV763" s="185">
        <f ca="1">IF(SUM($G751:AV751)&gt;0.01,0,$B746*AV755*IF($B747=0,1,(1+$B749))+IF($B745=0,0,MIN((SUM($G755:AV755)-IF(AV$2&gt;$B745*12/Prj_Step,SUM($G755:OFFSET(AV755,0,-$B745*12/Prj_Step)),0))*IF($B747=0,1,(1+$B749))*(1-$B746)/$B745/12*Параметры!AV$31,IF(AV$2=1,AV755*IF($B747=0,1,(1+$B749)),AU764+SUM($F755:AV755)*(1-$B746)*IF($B747=0,1,(1+$B749))-SUM($F755:AU755)*(1-$B746)*IF($B747=0,1,(1+$B749))))))</f>
        <v>0</v>
      </c>
      <c r="AW763" s="180"/>
      <c r="AX763" s="189">
        <f ca="1">SUM(G763:AW763)</f>
        <v>112979.66101694912</v>
      </c>
    </row>
    <row r="764" spans="1:50" hidden="1" outlineLevel="1" x14ac:dyDescent="0.2">
      <c r="A764" s="217" t="str">
        <f ca="1">Language!A$904</f>
        <v>балансовая стоимость (налоговая)</v>
      </c>
      <c r="B764" s="219"/>
      <c r="C764" s="82" t="str">
        <f t="shared" ca="1" si="3253"/>
        <v>тыс. руб.</v>
      </c>
      <c r="D764" s="66">
        <v>1</v>
      </c>
      <c r="E764" s="57" t="s">
        <v>767</v>
      </c>
      <c r="F764" s="57" t="s">
        <v>754</v>
      </c>
      <c r="G764" s="185">
        <f ca="1">IF(SUM($G751:G751)&gt;0.01,0,SUM($G755:G755)*IF($B747=0,1,(1+$B749))-SUM($G763:G763))</f>
        <v>110155.16949152543</v>
      </c>
      <c r="H764" s="185">
        <f ca="1">IF(SUM($G751:H751)&gt;0.01,0,SUM($G755:H755)*IF($B747=0,1,(1+$B749))-SUM($G763:H763))</f>
        <v>107330.67796610171</v>
      </c>
      <c r="I764" s="185">
        <f ca="1">IF(SUM($G751:I751)&gt;0.01,0,SUM($G755:I755)*IF($B747=0,1,(1+$B749))-SUM($G763:I763))</f>
        <v>104506.18644067798</v>
      </c>
      <c r="J764" s="185">
        <f ca="1">IF(SUM($G751:J751)&gt;0.01,0,SUM($G755:J755)*IF($B747=0,1,(1+$B749))-SUM($G763:J763))</f>
        <v>101681.69491525425</v>
      </c>
      <c r="K764" s="185">
        <f ca="1">IF(SUM($G751:K751)&gt;0.01,0,SUM($G755:K755)*IF($B747=0,1,(1+$B749))-SUM($G763:K763))</f>
        <v>98857.203389830509</v>
      </c>
      <c r="L764" s="185">
        <f ca="1">IF(SUM($G751:L751)&gt;0.01,0,SUM($G755:L755)*IF($B747=0,1,(1+$B749))-SUM($G763:L763))</f>
        <v>96032.711864406796</v>
      </c>
      <c r="M764" s="185">
        <f ca="1">IF(SUM($G751:M751)&gt;0.01,0,SUM($G755:M755)*IF($B747=0,1,(1+$B749))-SUM($G763:M763))</f>
        <v>93208.220338983054</v>
      </c>
      <c r="N764" s="185">
        <f ca="1">IF(SUM($G751:N751)&gt;0.01,0,SUM($G755:N755)*IF($B747=0,1,(1+$B749))-SUM($G763:N763))</f>
        <v>90383.728813559341</v>
      </c>
      <c r="O764" s="185">
        <f ca="1">IF(SUM($G751:O751)&gt;0.01,0,SUM($G755:O755)*IF($B747=0,1,(1+$B749))-SUM($G763:O763))</f>
        <v>87559.237288135599</v>
      </c>
      <c r="P764" s="185">
        <f ca="1">IF(SUM($G751:P751)&gt;0.01,0,SUM($G755:P755)*IF($B747=0,1,(1+$B749))-SUM($G763:P763))</f>
        <v>84734.745762711886</v>
      </c>
      <c r="Q764" s="185">
        <f ca="1">IF(SUM($G751:Q751)&gt;0.01,0,SUM($G755:Q755)*IF($B747=0,1,(1+$B749))-SUM($G763:Q763))</f>
        <v>81910.254237288143</v>
      </c>
      <c r="R764" s="185">
        <f ca="1">IF(SUM($G751:R751)&gt;0.01,0,SUM($G755:R755)*IF($B747=0,1,(1+$B749))-SUM($G763:R763))</f>
        <v>79085.76271186443</v>
      </c>
      <c r="S764" s="185">
        <f ca="1">IF(SUM($G751:S751)&gt;0.01,0,SUM($G755:S755)*IF($B747=0,1,(1+$B749))-SUM($G763:S763))</f>
        <v>76261.271186440688</v>
      </c>
      <c r="T764" s="185">
        <f ca="1">IF(SUM($G751:T751)&gt;0.01,0,SUM($G755:T755)*IF($B747=0,1,(1+$B749))-SUM($G763:T763))</f>
        <v>73436.779661016975</v>
      </c>
      <c r="U764" s="185">
        <f ca="1">IF(SUM($G751:U751)&gt;0.01,0,SUM($G755:U755)*IF($B747=0,1,(1+$B749))-SUM($G763:U763))</f>
        <v>70612.288135593233</v>
      </c>
      <c r="V764" s="185">
        <f ca="1">IF(SUM($G751:V751)&gt;0.01,0,SUM($G755:V755)*IF($B747=0,1,(1+$B749))-SUM($G763:V763))</f>
        <v>67787.79661016952</v>
      </c>
      <c r="W764" s="185">
        <f ca="1">IF(SUM($G751:W751)&gt;0.01,0,SUM($G755:W755)*IF($B747=0,1,(1+$B749))-SUM($G763:W763))</f>
        <v>64963.305084745785</v>
      </c>
      <c r="X764" s="185">
        <f ca="1">IF(SUM($G751:X751)&gt;0.01,0,SUM($G755:X755)*IF($B747=0,1,(1+$B749))-SUM($G763:X763))</f>
        <v>62138.813559322058</v>
      </c>
      <c r="Y764" s="185">
        <f ca="1">IF(SUM($G751:Y751)&gt;0.01,0,SUM($G755:Y755)*IF($B747=0,1,(1+$B749))-SUM($G763:Y763))</f>
        <v>59314.32203389833</v>
      </c>
      <c r="Z764" s="185">
        <f ca="1">IF(SUM($G751:Z751)&gt;0.01,0,SUM($G755:Z755)*IF($B747=0,1,(1+$B749))-SUM($G763:Z763))</f>
        <v>56489.830508474603</v>
      </c>
      <c r="AA764" s="185">
        <f ca="1">IF(SUM($G751:AA751)&gt;0.01,0,SUM($G755:AA755)*IF($B747=0,1,(1+$B749))-SUM($G763:AA763))</f>
        <v>53665.338983050875</v>
      </c>
      <c r="AB764" s="185">
        <f ca="1">IF(SUM($G751:AB751)&gt;0.01,0,SUM($G755:AB755)*IF($B747=0,1,(1+$B749))-SUM($G763:AB763))</f>
        <v>50840.847457627147</v>
      </c>
      <c r="AC764" s="185">
        <f ca="1">IF(SUM($G751:AC751)&gt;0.01,0,SUM($G755:AC755)*IF($B747=0,1,(1+$B749))-SUM($G763:AC763))</f>
        <v>48016.35593220342</v>
      </c>
      <c r="AD764" s="185">
        <f ca="1">IF(SUM($G751:AD751)&gt;0.01,0,SUM($G755:AD755)*IF($B747=0,1,(1+$B749))-SUM($G763:AD763))</f>
        <v>45191.864406779685</v>
      </c>
      <c r="AE764" s="185">
        <f ca="1">IF(SUM($G751:AE751)&gt;0.01,0,SUM($G755:AE755)*IF($B747=0,1,(1+$B749))-SUM($G763:AE763))</f>
        <v>42367.372881355957</v>
      </c>
      <c r="AF764" s="185">
        <f ca="1">IF(SUM($G751:AF751)&gt;0.01,0,SUM($G755:AF755)*IF($B747=0,1,(1+$B749))-SUM($G763:AF763))</f>
        <v>39542.88135593223</v>
      </c>
      <c r="AG764" s="185">
        <f ca="1">IF(SUM($G751:AG751)&gt;0.01,0,SUM($G755:AG755)*IF($B747=0,1,(1+$B749))-SUM($G763:AG763))</f>
        <v>36718.389830508502</v>
      </c>
      <c r="AH764" s="185">
        <f ca="1">IF(SUM($G751:AH751)&gt;0.01,0,SUM($G755:AH755)*IF($B747=0,1,(1+$B749))-SUM($G763:AH763))</f>
        <v>33893.898305084775</v>
      </c>
      <c r="AI764" s="185">
        <f ca="1">IF(SUM($G751:AI751)&gt;0.01,0,SUM($G755:AI755)*IF($B747=0,1,(1+$B749))-SUM($G763:AI763))</f>
        <v>31069.406779661047</v>
      </c>
      <c r="AJ764" s="185">
        <f ca="1">IF(SUM($G751:AJ751)&gt;0.01,0,SUM($G755:AJ755)*IF($B747=0,1,(1+$B749))-SUM($G763:AJ763))</f>
        <v>28244.915254237319</v>
      </c>
      <c r="AK764" s="185">
        <f ca="1">IF(SUM($G751:AK751)&gt;0.01,0,SUM($G755:AK755)*IF($B747=0,1,(1+$B749))-SUM($G763:AK763))</f>
        <v>25420.423728813592</v>
      </c>
      <c r="AL764" s="185">
        <f ca="1">IF(SUM($G751:AL751)&gt;0.01,0,SUM($G755:AL755)*IF($B747=0,1,(1+$B749))-SUM($G763:AL763))</f>
        <v>22595.932203389864</v>
      </c>
      <c r="AM764" s="185">
        <f ca="1">IF(SUM($G751:AM751)&gt;0.01,0,SUM($G755:AM755)*IF($B747=0,1,(1+$B749))-SUM($G763:AM763))</f>
        <v>19771.440677966137</v>
      </c>
      <c r="AN764" s="185">
        <f ca="1">IF(SUM($G751:AN751)&gt;0.01,0,SUM($G755:AN755)*IF($B747=0,1,(1+$B749))-SUM($G763:AN763))</f>
        <v>16946.949152542409</v>
      </c>
      <c r="AO764" s="185">
        <f ca="1">IF(SUM($G751:AO751)&gt;0.01,0,SUM($G755:AO755)*IF($B747=0,1,(1+$B749))-SUM($G763:AO763))</f>
        <v>14122.457627118682</v>
      </c>
      <c r="AP764" s="185">
        <f ca="1">IF(SUM($G751:AP751)&gt;0.01,0,SUM($G755:AP755)*IF($B747=0,1,(1+$B749))-SUM($G763:AP763))</f>
        <v>11297.966101694954</v>
      </c>
      <c r="AQ764" s="185">
        <f ca="1">IF(SUM($G751:AQ751)&gt;0.01,0,SUM($G755:AQ755)*IF($B747=0,1,(1+$B749))-SUM($G763:AQ763))</f>
        <v>8473.4745762712264</v>
      </c>
      <c r="AR764" s="185">
        <f ca="1">IF(SUM($G751:AR751)&gt;0.01,0,SUM($G755:AR755)*IF($B747=0,1,(1+$B749))-SUM($G763:AR763))</f>
        <v>5648.9830508474988</v>
      </c>
      <c r="AS764" s="185">
        <f ca="1">IF(SUM($G751:AS751)&gt;0.01,0,SUM($G755:AS755)*IF($B747=0,1,(1+$B749))-SUM($G763:AS763))</f>
        <v>2824.4915254237712</v>
      </c>
      <c r="AT764" s="185">
        <f ca="1">IF(SUM($G751:AT751)&gt;0.01,0,SUM($G755:AT755)*IF($B747=0,1,(1+$B749))-SUM($G763:AT763))</f>
        <v>4.3655745685100555E-11</v>
      </c>
      <c r="AU764" s="185">
        <f ca="1">IF(SUM($G751:AU751)&gt;0.01,0,SUM($G755:AU755)*IF($B747=0,1,(1+$B749))-SUM($G763:AU763))</f>
        <v>4.3655745685100555E-11</v>
      </c>
      <c r="AV764" s="185">
        <f ca="1">IF(SUM($G751:AV751)&gt;0.01,0,SUM($G755:AV755)*IF($B747=0,1,(1+$B749))-SUM($G763:AV763))</f>
        <v>4.3655745685100555E-11</v>
      </c>
      <c r="AW764" s="180"/>
      <c r="AX764" s="189"/>
    </row>
    <row r="765" spans="1:50" hidden="1" outlineLevel="1" x14ac:dyDescent="0.2">
      <c r="A765" s="217" t="str">
        <f ca="1">Language!A$905</f>
        <v>прибыль/убыток от продажи актива (бухгалтерская)</v>
      </c>
      <c r="B765" s="219"/>
      <c r="C765" s="82" t="str">
        <f t="shared" ca="1" si="3253"/>
        <v>тыс. руб.</v>
      </c>
      <c r="D765" s="66">
        <v>1</v>
      </c>
      <c r="E765" s="57" t="s">
        <v>768</v>
      </c>
      <c r="F765" s="57" t="s">
        <v>753</v>
      </c>
      <c r="G765" s="185">
        <f t="shared" ref="G765:AV765" si="3256">IF(G751=0,0,G751-IF(G$2=1,G752,F757+F760))</f>
        <v>0</v>
      </c>
      <c r="H765" s="185">
        <f t="shared" si="3256"/>
        <v>0</v>
      </c>
      <c r="I765" s="185">
        <f t="shared" si="3256"/>
        <v>0</v>
      </c>
      <c r="J765" s="185">
        <f t="shared" si="3256"/>
        <v>0</v>
      </c>
      <c r="K765" s="185">
        <f t="shared" si="3256"/>
        <v>0</v>
      </c>
      <c r="L765" s="185">
        <f t="shared" si="3256"/>
        <v>0</v>
      </c>
      <c r="M765" s="185">
        <f t="shared" si="3256"/>
        <v>0</v>
      </c>
      <c r="N765" s="185">
        <f t="shared" si="3256"/>
        <v>0</v>
      </c>
      <c r="O765" s="185">
        <f t="shared" si="3256"/>
        <v>0</v>
      </c>
      <c r="P765" s="185">
        <f t="shared" si="3256"/>
        <v>0</v>
      </c>
      <c r="Q765" s="185">
        <f t="shared" si="3256"/>
        <v>0</v>
      </c>
      <c r="R765" s="185">
        <f t="shared" si="3256"/>
        <v>0</v>
      </c>
      <c r="S765" s="185">
        <f t="shared" si="3256"/>
        <v>0</v>
      </c>
      <c r="T765" s="185">
        <f t="shared" si="3256"/>
        <v>0</v>
      </c>
      <c r="U765" s="185">
        <f t="shared" si="3256"/>
        <v>0</v>
      </c>
      <c r="V765" s="185">
        <f t="shared" si="3256"/>
        <v>0</v>
      </c>
      <c r="W765" s="185">
        <f t="shared" si="3256"/>
        <v>0</v>
      </c>
      <c r="X765" s="185">
        <f t="shared" si="3256"/>
        <v>0</v>
      </c>
      <c r="Y765" s="185">
        <f t="shared" si="3256"/>
        <v>0</v>
      </c>
      <c r="Z765" s="185">
        <f t="shared" si="3256"/>
        <v>0</v>
      </c>
      <c r="AA765" s="185">
        <f t="shared" si="3256"/>
        <v>0</v>
      </c>
      <c r="AB765" s="185">
        <f t="shared" si="3256"/>
        <v>0</v>
      </c>
      <c r="AC765" s="185">
        <f t="shared" si="3256"/>
        <v>0</v>
      </c>
      <c r="AD765" s="185">
        <f t="shared" si="3256"/>
        <v>0</v>
      </c>
      <c r="AE765" s="185">
        <f t="shared" si="3256"/>
        <v>0</v>
      </c>
      <c r="AF765" s="185">
        <f t="shared" si="3256"/>
        <v>0</v>
      </c>
      <c r="AG765" s="185">
        <f t="shared" si="3256"/>
        <v>0</v>
      </c>
      <c r="AH765" s="185">
        <f t="shared" si="3256"/>
        <v>0</v>
      </c>
      <c r="AI765" s="185">
        <f t="shared" si="3256"/>
        <v>0</v>
      </c>
      <c r="AJ765" s="185">
        <f t="shared" si="3256"/>
        <v>0</v>
      </c>
      <c r="AK765" s="185">
        <f t="shared" si="3256"/>
        <v>0</v>
      </c>
      <c r="AL765" s="185">
        <f t="shared" si="3256"/>
        <v>0</v>
      </c>
      <c r="AM765" s="185">
        <f t="shared" si="3256"/>
        <v>0</v>
      </c>
      <c r="AN765" s="185">
        <f t="shared" si="3256"/>
        <v>0</v>
      </c>
      <c r="AO765" s="185">
        <f t="shared" si="3256"/>
        <v>0</v>
      </c>
      <c r="AP765" s="185">
        <f t="shared" si="3256"/>
        <v>0</v>
      </c>
      <c r="AQ765" s="185">
        <f t="shared" si="3256"/>
        <v>0</v>
      </c>
      <c r="AR765" s="185">
        <f t="shared" si="3256"/>
        <v>0</v>
      </c>
      <c r="AS765" s="185">
        <f t="shared" si="3256"/>
        <v>0</v>
      </c>
      <c r="AT765" s="185">
        <f t="shared" si="3256"/>
        <v>0</v>
      </c>
      <c r="AU765" s="185">
        <f t="shared" si="3256"/>
        <v>0</v>
      </c>
      <c r="AV765" s="185">
        <f t="shared" si="3256"/>
        <v>0</v>
      </c>
      <c r="AW765" s="180"/>
      <c r="AX765" s="189">
        <f>SUM(G765:AW765)</f>
        <v>0</v>
      </c>
    </row>
    <row r="766" spans="1:50" hidden="1" outlineLevel="1" x14ac:dyDescent="0.2">
      <c r="A766" s="217" t="str">
        <f ca="1">Language!A$906</f>
        <v>прибыль/убыток от продажи актива (налоговая)</v>
      </c>
      <c r="B766" s="219"/>
      <c r="C766" s="82" t="str">
        <f t="shared" ca="1" si="3253"/>
        <v>тыс. руб.</v>
      </c>
      <c r="D766" s="66">
        <v>1</v>
      </c>
      <c r="E766" s="57" t="s">
        <v>769</v>
      </c>
      <c r="F766" s="57" t="s">
        <v>753</v>
      </c>
      <c r="G766" s="185">
        <f t="shared" ref="G766:AV766" si="3257">IF(G751=0,0,G751-IF(G$2=1,G752,F757+F764))</f>
        <v>0</v>
      </c>
      <c r="H766" s="185">
        <f t="shared" si="3257"/>
        <v>0</v>
      </c>
      <c r="I766" s="185">
        <f t="shared" si="3257"/>
        <v>0</v>
      </c>
      <c r="J766" s="185">
        <f t="shared" si="3257"/>
        <v>0</v>
      </c>
      <c r="K766" s="185">
        <f t="shared" si="3257"/>
        <v>0</v>
      </c>
      <c r="L766" s="185">
        <f t="shared" si="3257"/>
        <v>0</v>
      </c>
      <c r="M766" s="185">
        <f t="shared" si="3257"/>
        <v>0</v>
      </c>
      <c r="N766" s="185">
        <f t="shared" si="3257"/>
        <v>0</v>
      </c>
      <c r="O766" s="185">
        <f t="shared" si="3257"/>
        <v>0</v>
      </c>
      <c r="P766" s="185">
        <f t="shared" si="3257"/>
        <v>0</v>
      </c>
      <c r="Q766" s="185">
        <f t="shared" si="3257"/>
        <v>0</v>
      </c>
      <c r="R766" s="185">
        <f t="shared" si="3257"/>
        <v>0</v>
      </c>
      <c r="S766" s="185">
        <f t="shared" si="3257"/>
        <v>0</v>
      </c>
      <c r="T766" s="185">
        <f t="shared" si="3257"/>
        <v>0</v>
      </c>
      <c r="U766" s="185">
        <f t="shared" si="3257"/>
        <v>0</v>
      </c>
      <c r="V766" s="185">
        <f t="shared" si="3257"/>
        <v>0</v>
      </c>
      <c r="W766" s="185">
        <f t="shared" si="3257"/>
        <v>0</v>
      </c>
      <c r="X766" s="185">
        <f t="shared" si="3257"/>
        <v>0</v>
      </c>
      <c r="Y766" s="185">
        <f t="shared" si="3257"/>
        <v>0</v>
      </c>
      <c r="Z766" s="185">
        <f t="shared" si="3257"/>
        <v>0</v>
      </c>
      <c r="AA766" s="185">
        <f t="shared" si="3257"/>
        <v>0</v>
      </c>
      <c r="AB766" s="185">
        <f t="shared" si="3257"/>
        <v>0</v>
      </c>
      <c r="AC766" s="185">
        <f t="shared" si="3257"/>
        <v>0</v>
      </c>
      <c r="AD766" s="185">
        <f t="shared" si="3257"/>
        <v>0</v>
      </c>
      <c r="AE766" s="185">
        <f t="shared" si="3257"/>
        <v>0</v>
      </c>
      <c r="AF766" s="185">
        <f t="shared" si="3257"/>
        <v>0</v>
      </c>
      <c r="AG766" s="185">
        <f t="shared" si="3257"/>
        <v>0</v>
      </c>
      <c r="AH766" s="185">
        <f t="shared" si="3257"/>
        <v>0</v>
      </c>
      <c r="AI766" s="185">
        <f t="shared" si="3257"/>
        <v>0</v>
      </c>
      <c r="AJ766" s="185">
        <f t="shared" si="3257"/>
        <v>0</v>
      </c>
      <c r="AK766" s="185">
        <f t="shared" si="3257"/>
        <v>0</v>
      </c>
      <c r="AL766" s="185">
        <f t="shared" si="3257"/>
        <v>0</v>
      </c>
      <c r="AM766" s="185">
        <f t="shared" si="3257"/>
        <v>0</v>
      </c>
      <c r="AN766" s="185">
        <f t="shared" si="3257"/>
        <v>0</v>
      </c>
      <c r="AO766" s="185">
        <f t="shared" si="3257"/>
        <v>0</v>
      </c>
      <c r="AP766" s="185">
        <f t="shared" si="3257"/>
        <v>0</v>
      </c>
      <c r="AQ766" s="185">
        <f t="shared" si="3257"/>
        <v>0</v>
      </c>
      <c r="AR766" s="185">
        <f t="shared" si="3257"/>
        <v>0</v>
      </c>
      <c r="AS766" s="185">
        <f t="shared" si="3257"/>
        <v>0</v>
      </c>
      <c r="AT766" s="185">
        <f t="shared" si="3257"/>
        <v>0</v>
      </c>
      <c r="AU766" s="185">
        <f t="shared" si="3257"/>
        <v>0</v>
      </c>
      <c r="AV766" s="185">
        <f t="shared" si="3257"/>
        <v>0</v>
      </c>
      <c r="AW766" s="180"/>
      <c r="AX766" s="189">
        <f>SUM(G766:AW766)</f>
        <v>0</v>
      </c>
    </row>
    <row r="767" spans="1:50" hidden="1" outlineLevel="1" x14ac:dyDescent="0.2">
      <c r="A767" s="217" t="str">
        <f ca="1">Language!A$907</f>
        <v>НДС к выручке от продажи актива</v>
      </c>
      <c r="B767" s="219"/>
      <c r="C767" s="82" t="str">
        <f t="shared" ca="1" si="3253"/>
        <v>тыс. руб.</v>
      </c>
      <c r="D767" s="66">
        <v>1</v>
      </c>
      <c r="E767" s="57" t="s">
        <v>770</v>
      </c>
      <c r="F767" s="57" t="s">
        <v>753</v>
      </c>
      <c r="G767" s="185">
        <f t="shared" ref="G767:AV767" si="3258">G751*G750</f>
        <v>0</v>
      </c>
      <c r="H767" s="185">
        <f t="shared" si="3258"/>
        <v>0</v>
      </c>
      <c r="I767" s="185">
        <f t="shared" si="3258"/>
        <v>0</v>
      </c>
      <c r="J767" s="185">
        <f t="shared" si="3258"/>
        <v>0</v>
      </c>
      <c r="K767" s="185">
        <f t="shared" si="3258"/>
        <v>0</v>
      </c>
      <c r="L767" s="185">
        <f t="shared" si="3258"/>
        <v>0</v>
      </c>
      <c r="M767" s="185">
        <f t="shared" si="3258"/>
        <v>0</v>
      </c>
      <c r="N767" s="185">
        <f t="shared" si="3258"/>
        <v>0</v>
      </c>
      <c r="O767" s="185">
        <f t="shared" si="3258"/>
        <v>0</v>
      </c>
      <c r="P767" s="185">
        <f t="shared" si="3258"/>
        <v>0</v>
      </c>
      <c r="Q767" s="185">
        <f t="shared" si="3258"/>
        <v>0</v>
      </c>
      <c r="R767" s="185">
        <f t="shared" si="3258"/>
        <v>0</v>
      </c>
      <c r="S767" s="185">
        <f t="shared" si="3258"/>
        <v>0</v>
      </c>
      <c r="T767" s="185">
        <f t="shared" si="3258"/>
        <v>0</v>
      </c>
      <c r="U767" s="185">
        <f t="shared" si="3258"/>
        <v>0</v>
      </c>
      <c r="V767" s="185">
        <f t="shared" si="3258"/>
        <v>0</v>
      </c>
      <c r="W767" s="185">
        <f t="shared" si="3258"/>
        <v>0</v>
      </c>
      <c r="X767" s="185">
        <f t="shared" si="3258"/>
        <v>0</v>
      </c>
      <c r="Y767" s="185">
        <f t="shared" si="3258"/>
        <v>0</v>
      </c>
      <c r="Z767" s="185">
        <f t="shared" si="3258"/>
        <v>0</v>
      </c>
      <c r="AA767" s="185">
        <f t="shared" si="3258"/>
        <v>0</v>
      </c>
      <c r="AB767" s="185">
        <f t="shared" si="3258"/>
        <v>0</v>
      </c>
      <c r="AC767" s="185">
        <f t="shared" si="3258"/>
        <v>0</v>
      </c>
      <c r="AD767" s="185">
        <f t="shared" si="3258"/>
        <v>0</v>
      </c>
      <c r="AE767" s="185">
        <f t="shared" si="3258"/>
        <v>0</v>
      </c>
      <c r="AF767" s="185">
        <f t="shared" si="3258"/>
        <v>0</v>
      </c>
      <c r="AG767" s="185">
        <f t="shared" si="3258"/>
        <v>0</v>
      </c>
      <c r="AH767" s="185">
        <f t="shared" si="3258"/>
        <v>0</v>
      </c>
      <c r="AI767" s="185">
        <f t="shared" si="3258"/>
        <v>0</v>
      </c>
      <c r="AJ767" s="185">
        <f t="shared" si="3258"/>
        <v>0</v>
      </c>
      <c r="AK767" s="185">
        <f t="shared" si="3258"/>
        <v>0</v>
      </c>
      <c r="AL767" s="185">
        <f t="shared" si="3258"/>
        <v>0</v>
      </c>
      <c r="AM767" s="185">
        <f t="shared" si="3258"/>
        <v>0</v>
      </c>
      <c r="AN767" s="185">
        <f t="shared" si="3258"/>
        <v>0</v>
      </c>
      <c r="AO767" s="185">
        <f t="shared" si="3258"/>
        <v>0</v>
      </c>
      <c r="AP767" s="185">
        <f t="shared" si="3258"/>
        <v>0</v>
      </c>
      <c r="AQ767" s="185">
        <f t="shared" si="3258"/>
        <v>0</v>
      </c>
      <c r="AR767" s="185">
        <f t="shared" si="3258"/>
        <v>0</v>
      </c>
      <c r="AS767" s="185">
        <f t="shared" si="3258"/>
        <v>0</v>
      </c>
      <c r="AT767" s="185">
        <f t="shared" si="3258"/>
        <v>0</v>
      </c>
      <c r="AU767" s="185">
        <f t="shared" si="3258"/>
        <v>0</v>
      </c>
      <c r="AV767" s="185">
        <f t="shared" si="3258"/>
        <v>0</v>
      </c>
      <c r="AW767" s="180"/>
      <c r="AX767" s="189">
        <f>SUM(G767:AW767)</f>
        <v>0</v>
      </c>
    </row>
    <row r="768" spans="1:50" hidden="1" outlineLevel="1" x14ac:dyDescent="0.2">
      <c r="A768" s="217" t="str">
        <f ca="1">Language!A$908</f>
        <v>курсовые разницы</v>
      </c>
      <c r="B768" s="219"/>
      <c r="C768" s="82" t="str">
        <f t="shared" ca="1" si="3253"/>
        <v>тыс. руб.</v>
      </c>
      <c r="D768" s="66">
        <v>1</v>
      </c>
      <c r="E768" s="57" t="s">
        <v>1270</v>
      </c>
      <c r="F768" s="57" t="s">
        <v>753</v>
      </c>
      <c r="G768" s="185">
        <f>-(SUM($G752:G752)+$B753+SUM($G756:G756)-G757+G758-SUM($G755:G755)*IF($B747=0,1,1+$B749)+IF(G$2=1,0,SUM($F768:F768)))</f>
        <v>0</v>
      </c>
      <c r="H768" s="185">
        <f>-(SUM($G752:H752)+$B753+SUM($G756:H756)-H757+H758-SUM($G755:H755)*IF($B747=0,1,1+$B749)+IF(H$2=1,0,SUM($F768:G768)))</f>
        <v>0</v>
      </c>
      <c r="I768" s="185">
        <f>-(SUM($G752:I752)+$B753+SUM($G756:I756)-I757+I758-SUM($G755:I755)*IF($B747=0,1,1+$B749)+IF(I$2=1,0,SUM($F768:H768)))</f>
        <v>0</v>
      </c>
      <c r="J768" s="185">
        <f>-(SUM($G752:J752)+$B753+SUM($G756:J756)-J757+J758-SUM($G755:J755)*IF($B747=0,1,1+$B749)+IF(J$2=1,0,SUM($F768:I768)))</f>
        <v>0</v>
      </c>
      <c r="K768" s="185">
        <f>-(SUM($G752:K752)+$B753+SUM($G756:K756)-K757+K758-SUM($G755:K755)*IF($B747=0,1,1+$B749)+IF(K$2=1,0,SUM($F768:J768)))</f>
        <v>0</v>
      </c>
      <c r="L768" s="185">
        <f>-(SUM($G752:L752)+$B753+SUM($G756:L756)-L757+L758-SUM($G755:L755)*IF($B747=0,1,1+$B749)+IF(L$2=1,0,SUM($F768:K768)))</f>
        <v>0</v>
      </c>
      <c r="M768" s="185">
        <f>-(SUM($G752:M752)+$B753+SUM($G756:M756)-M757+M758-SUM($G755:M755)*IF($B747=0,1,1+$B749)+IF(M$2=1,0,SUM($F768:L768)))</f>
        <v>0</v>
      </c>
      <c r="N768" s="185">
        <f>-(SUM($G752:N752)+$B753+SUM($G756:N756)-N757+N758-SUM($G755:N755)*IF($B747=0,1,1+$B749)+IF(N$2=1,0,SUM($F768:M768)))</f>
        <v>0</v>
      </c>
      <c r="O768" s="185">
        <f>-(SUM($G752:O752)+$B753+SUM($G756:O756)-O757+O758-SUM($G755:O755)*IF($B747=0,1,1+$B749)+IF(O$2=1,0,SUM($F768:N768)))</f>
        <v>0</v>
      </c>
      <c r="P768" s="185">
        <f>-(SUM($G752:P752)+$B753+SUM($G756:P756)-P757+P758-SUM($G755:P755)*IF($B747=0,1,1+$B749)+IF(P$2=1,0,SUM($F768:O768)))</f>
        <v>0</v>
      </c>
      <c r="Q768" s="185">
        <f>-(SUM($G752:Q752)+$B753+SUM($G756:Q756)-Q757+Q758-SUM($G755:Q755)*IF($B747=0,1,1+$B749)+IF(Q$2=1,0,SUM($F768:P768)))</f>
        <v>0</v>
      </c>
      <c r="R768" s="185">
        <f>-(SUM($G752:R752)+$B753+SUM($G756:R756)-R757+R758-SUM($G755:R755)*IF($B747=0,1,1+$B749)+IF(R$2=1,0,SUM($F768:Q768)))</f>
        <v>0</v>
      </c>
      <c r="S768" s="185">
        <f>-(SUM($G752:S752)+$B753+SUM($G756:S756)-S757+S758-SUM($G755:S755)*IF($B747=0,1,1+$B749)+IF(S$2=1,0,SUM($F768:R768)))</f>
        <v>0</v>
      </c>
      <c r="T768" s="185">
        <f>-(SUM($G752:T752)+$B753+SUM($G756:T756)-T757+T758-SUM($G755:T755)*IF($B747=0,1,1+$B749)+IF(T$2=1,0,SUM($F768:S768)))</f>
        <v>0</v>
      </c>
      <c r="U768" s="185">
        <f>-(SUM($G752:U752)+$B753+SUM($G756:U756)-U757+U758-SUM($G755:U755)*IF($B747=0,1,1+$B749)+IF(U$2=1,0,SUM($F768:T768)))</f>
        <v>0</v>
      </c>
      <c r="V768" s="185">
        <f>-(SUM($G752:V752)+$B753+SUM($G756:V756)-V757+V758-SUM($G755:V755)*IF($B747=0,1,1+$B749)+IF(V$2=1,0,SUM($F768:U768)))</f>
        <v>0</v>
      </c>
      <c r="W768" s="185">
        <f>-(SUM($G752:W752)+$B753+SUM($G756:W756)-W757+W758-SUM($G755:W755)*IF($B747=0,1,1+$B749)+IF(W$2=1,0,SUM($F768:V768)))</f>
        <v>0</v>
      </c>
      <c r="X768" s="185">
        <f>-(SUM($G752:X752)+$B753+SUM($G756:X756)-X757+X758-SUM($G755:X755)*IF($B747=0,1,1+$B749)+IF(X$2=1,0,SUM($F768:W768)))</f>
        <v>0</v>
      </c>
      <c r="Y768" s="185">
        <f>-(SUM($G752:Y752)+$B753+SUM($G756:Y756)-Y757+Y758-SUM($G755:Y755)*IF($B747=0,1,1+$B749)+IF(Y$2=1,0,SUM($F768:X768)))</f>
        <v>0</v>
      </c>
      <c r="Z768" s="185">
        <f>-(SUM($G752:Z752)+$B753+SUM($G756:Z756)-Z757+Z758-SUM($G755:Z755)*IF($B747=0,1,1+$B749)+IF(Z$2=1,0,SUM($F768:Y768)))</f>
        <v>0</v>
      </c>
      <c r="AA768" s="185">
        <f>-(SUM($G752:AA752)+$B753+SUM($G756:AA756)-AA757+AA758-SUM($G755:AA755)*IF($B747=0,1,1+$B749)+IF(AA$2=1,0,SUM($F768:Z768)))</f>
        <v>0</v>
      </c>
      <c r="AB768" s="185">
        <f>-(SUM($G752:AB752)+$B753+SUM($G756:AB756)-AB757+AB758-SUM($G755:AB755)*IF($B747=0,1,1+$B749)+IF(AB$2=1,0,SUM($F768:AA768)))</f>
        <v>0</v>
      </c>
      <c r="AC768" s="185">
        <f>-(SUM($G752:AC752)+$B753+SUM($G756:AC756)-AC757+AC758-SUM($G755:AC755)*IF($B747=0,1,1+$B749)+IF(AC$2=1,0,SUM($F768:AB768)))</f>
        <v>0</v>
      </c>
      <c r="AD768" s="185">
        <f>-(SUM($G752:AD752)+$B753+SUM($G756:AD756)-AD757+AD758-SUM($G755:AD755)*IF($B747=0,1,1+$B749)+IF(AD$2=1,0,SUM($F768:AC768)))</f>
        <v>0</v>
      </c>
      <c r="AE768" s="185">
        <f>-(SUM($G752:AE752)+$B753+SUM($G756:AE756)-AE757+AE758-SUM($G755:AE755)*IF($B747=0,1,1+$B749)+IF(AE$2=1,0,SUM($F768:AD768)))</f>
        <v>0</v>
      </c>
      <c r="AF768" s="185">
        <f>-(SUM($G752:AF752)+$B753+SUM($G756:AF756)-AF757+AF758-SUM($G755:AF755)*IF($B747=0,1,1+$B749)+IF(AF$2=1,0,SUM($F768:AE768)))</f>
        <v>0</v>
      </c>
      <c r="AG768" s="185">
        <f>-(SUM($G752:AG752)+$B753+SUM($G756:AG756)-AG757+AG758-SUM($G755:AG755)*IF($B747=0,1,1+$B749)+IF(AG$2=1,0,SUM($F768:AF768)))</f>
        <v>0</v>
      </c>
      <c r="AH768" s="185">
        <f>-(SUM($G752:AH752)+$B753+SUM($G756:AH756)-AH757+AH758-SUM($G755:AH755)*IF($B747=0,1,1+$B749)+IF(AH$2=1,0,SUM($F768:AG768)))</f>
        <v>0</v>
      </c>
      <c r="AI768" s="185">
        <f>-(SUM($G752:AI752)+$B753+SUM($G756:AI756)-AI757+AI758-SUM($G755:AI755)*IF($B747=0,1,1+$B749)+IF(AI$2=1,0,SUM($F768:AH768)))</f>
        <v>0</v>
      </c>
      <c r="AJ768" s="185">
        <f>-(SUM($G752:AJ752)+$B753+SUM($G756:AJ756)-AJ757+AJ758-SUM($G755:AJ755)*IF($B747=0,1,1+$B749)+IF(AJ$2=1,0,SUM($F768:AI768)))</f>
        <v>0</v>
      </c>
      <c r="AK768" s="185">
        <f>-(SUM($G752:AK752)+$B753+SUM($G756:AK756)-AK757+AK758-SUM($G755:AK755)*IF($B747=0,1,1+$B749)+IF(AK$2=1,0,SUM($F768:AJ768)))</f>
        <v>0</v>
      </c>
      <c r="AL768" s="185">
        <f>-(SUM($G752:AL752)+$B753+SUM($G756:AL756)-AL757+AL758-SUM($G755:AL755)*IF($B747=0,1,1+$B749)+IF(AL$2=1,0,SUM($F768:AK768)))</f>
        <v>0</v>
      </c>
      <c r="AM768" s="185">
        <f>-(SUM($G752:AM752)+$B753+SUM($G756:AM756)-AM757+AM758-SUM($G755:AM755)*IF($B747=0,1,1+$B749)+IF(AM$2=1,0,SUM($F768:AL768)))</f>
        <v>0</v>
      </c>
      <c r="AN768" s="185">
        <f>-(SUM($G752:AN752)+$B753+SUM($G756:AN756)-AN757+AN758-SUM($G755:AN755)*IF($B747=0,1,1+$B749)+IF(AN$2=1,0,SUM($F768:AM768)))</f>
        <v>0</v>
      </c>
      <c r="AO768" s="185">
        <f>-(SUM($G752:AO752)+$B753+SUM($G756:AO756)-AO757+AO758-SUM($G755:AO755)*IF($B747=0,1,1+$B749)+IF(AO$2=1,0,SUM($F768:AN768)))</f>
        <v>0</v>
      </c>
      <c r="AP768" s="185">
        <f>-(SUM($G752:AP752)+$B753+SUM($G756:AP756)-AP757+AP758-SUM($G755:AP755)*IF($B747=0,1,1+$B749)+IF(AP$2=1,0,SUM($F768:AO768)))</f>
        <v>0</v>
      </c>
      <c r="AQ768" s="185">
        <f>-(SUM($G752:AQ752)+$B753+SUM($G756:AQ756)-AQ757+AQ758-SUM($G755:AQ755)*IF($B747=0,1,1+$B749)+IF(AQ$2=1,0,SUM($F768:AP768)))</f>
        <v>0</v>
      </c>
      <c r="AR768" s="185">
        <f>-(SUM($G752:AR752)+$B753+SUM($G756:AR756)-AR757+AR758-SUM($G755:AR755)*IF($B747=0,1,1+$B749)+IF(AR$2=1,0,SUM($F768:AQ768)))</f>
        <v>0</v>
      </c>
      <c r="AS768" s="185">
        <f>-(SUM($G752:AS752)+$B753+SUM($G756:AS756)-AS757+AS758-SUM($G755:AS755)*IF($B747=0,1,1+$B749)+IF(AS$2=1,0,SUM($F768:AR768)))</f>
        <v>0</v>
      </c>
      <c r="AT768" s="185">
        <f>-(SUM($G752:AT752)+$B753+SUM($G756:AT756)-AT757+AT758-SUM($G755:AT755)*IF($B747=0,1,1+$B749)+IF(AT$2=1,0,SUM($F768:AS768)))</f>
        <v>0</v>
      </c>
      <c r="AU768" s="185">
        <f>-(SUM($G752:AU752)+$B753+SUM($G756:AU756)-AU757+AU758-SUM($G755:AU755)*IF($B747=0,1,1+$B749)+IF(AU$2=1,0,SUM($F768:AT768)))</f>
        <v>0</v>
      </c>
      <c r="AV768" s="185">
        <f>-(SUM($G752:AV752)+$B753+SUM($G756:AV756)-AV757+AV758-SUM($G755:AV755)*IF($B747=0,1,1+$B749)+IF(AV$2=1,0,SUM($F768:AU768)))</f>
        <v>0</v>
      </c>
      <c r="AW768" s="180"/>
      <c r="AX768" s="189">
        <f>SUM(G768:AW768)</f>
        <v>0</v>
      </c>
    </row>
    <row r="769" spans="1:50" x14ac:dyDescent="0.2">
      <c r="AW769" s="94"/>
    </row>
    <row r="770" spans="1:50" collapsed="1" x14ac:dyDescent="0.2">
      <c r="A770" s="65" t="str">
        <f ca="1">Language!A$933</f>
        <v>Итого: Земля</v>
      </c>
      <c r="C770" s="124" t="str">
        <f t="shared" ref="C770:C815" ca="1" si="3259">CurName1</f>
        <v>тыс. руб.</v>
      </c>
      <c r="D770" s="66">
        <v>1</v>
      </c>
      <c r="F770" s="57" t="s">
        <v>1048</v>
      </c>
      <c r="G770" s="138">
        <v>0</v>
      </c>
      <c r="H770" s="138">
        <v>0</v>
      </c>
      <c r="I770" s="138">
        <v>0</v>
      </c>
      <c r="J770" s="138">
        <v>0</v>
      </c>
      <c r="K770" s="138">
        <v>0</v>
      </c>
      <c r="L770" s="138">
        <v>0</v>
      </c>
      <c r="M770" s="138">
        <v>0</v>
      </c>
      <c r="N770" s="138">
        <v>0</v>
      </c>
      <c r="O770" s="138">
        <v>0</v>
      </c>
      <c r="P770" s="138">
        <v>0</v>
      </c>
      <c r="Q770" s="138">
        <v>0</v>
      </c>
      <c r="R770" s="138">
        <v>0</v>
      </c>
      <c r="S770" s="138">
        <v>0</v>
      </c>
      <c r="T770" s="138">
        <v>0</v>
      </c>
      <c r="U770" s="138">
        <v>0</v>
      </c>
      <c r="V770" s="138">
        <v>0</v>
      </c>
      <c r="W770" s="138">
        <v>0</v>
      </c>
      <c r="X770" s="138">
        <v>0</v>
      </c>
      <c r="Y770" s="138">
        <v>0</v>
      </c>
      <c r="Z770" s="138">
        <v>0</v>
      </c>
      <c r="AA770" s="138">
        <v>0</v>
      </c>
      <c r="AB770" s="138">
        <v>0</v>
      </c>
      <c r="AC770" s="138">
        <v>0</v>
      </c>
      <c r="AD770" s="138">
        <v>0</v>
      </c>
      <c r="AE770" s="138">
        <v>0</v>
      </c>
      <c r="AF770" s="138">
        <v>0</v>
      </c>
      <c r="AG770" s="138">
        <v>0</v>
      </c>
      <c r="AH770" s="138">
        <v>0</v>
      </c>
      <c r="AI770" s="138">
        <v>0</v>
      </c>
      <c r="AJ770" s="138">
        <v>0</v>
      </c>
      <c r="AK770" s="138">
        <v>0</v>
      </c>
      <c r="AL770" s="138">
        <v>0</v>
      </c>
      <c r="AM770" s="138">
        <v>0</v>
      </c>
      <c r="AN770" s="138">
        <v>0</v>
      </c>
      <c r="AO770" s="138">
        <v>0</v>
      </c>
      <c r="AP770" s="138">
        <v>0</v>
      </c>
      <c r="AQ770" s="138">
        <v>0</v>
      </c>
      <c r="AR770" s="138">
        <v>0</v>
      </c>
      <c r="AS770" s="138">
        <v>0</v>
      </c>
      <c r="AT770" s="138">
        <v>0</v>
      </c>
      <c r="AU770" s="138">
        <v>0</v>
      </c>
      <c r="AV770" s="138">
        <v>0</v>
      </c>
      <c r="AW770" s="148"/>
      <c r="AX770" s="171">
        <f>SUM(G770:AW770)</f>
        <v>0</v>
      </c>
    </row>
    <row r="771" spans="1:50" hidden="1" outlineLevel="1" x14ac:dyDescent="0.2">
      <c r="A771" s="99" t="str">
        <f ca="1">Language!A$934</f>
        <v>незавершенные инвестиции</v>
      </c>
      <c r="C771" s="124" t="str">
        <f t="shared" ca="1" si="3259"/>
        <v>тыс. руб.</v>
      </c>
      <c r="D771" s="66">
        <v>1</v>
      </c>
      <c r="F771" s="57" t="s">
        <v>1049</v>
      </c>
      <c r="G771" s="138">
        <v>0</v>
      </c>
      <c r="H771" s="138">
        <v>0</v>
      </c>
      <c r="I771" s="138">
        <v>0</v>
      </c>
      <c r="J771" s="138">
        <v>0</v>
      </c>
      <c r="K771" s="138">
        <v>0</v>
      </c>
      <c r="L771" s="138">
        <v>0</v>
      </c>
      <c r="M771" s="138">
        <v>0</v>
      </c>
      <c r="N771" s="138">
        <v>0</v>
      </c>
      <c r="O771" s="138">
        <v>0</v>
      </c>
      <c r="P771" s="138">
        <v>0</v>
      </c>
      <c r="Q771" s="138">
        <v>0</v>
      </c>
      <c r="R771" s="138">
        <v>0</v>
      </c>
      <c r="S771" s="138">
        <v>0</v>
      </c>
      <c r="T771" s="138">
        <v>0</v>
      </c>
      <c r="U771" s="138">
        <v>0</v>
      </c>
      <c r="V771" s="138">
        <v>0</v>
      </c>
      <c r="W771" s="138">
        <v>0</v>
      </c>
      <c r="X771" s="138">
        <v>0</v>
      </c>
      <c r="Y771" s="138">
        <v>0</v>
      </c>
      <c r="Z771" s="138">
        <v>0</v>
      </c>
      <c r="AA771" s="138">
        <v>0</v>
      </c>
      <c r="AB771" s="138">
        <v>0</v>
      </c>
      <c r="AC771" s="138">
        <v>0</v>
      </c>
      <c r="AD771" s="138">
        <v>0</v>
      </c>
      <c r="AE771" s="138">
        <v>0</v>
      </c>
      <c r="AF771" s="138">
        <v>0</v>
      </c>
      <c r="AG771" s="138">
        <v>0</v>
      </c>
      <c r="AH771" s="138">
        <v>0</v>
      </c>
      <c r="AI771" s="138">
        <v>0</v>
      </c>
      <c r="AJ771" s="138">
        <v>0</v>
      </c>
      <c r="AK771" s="138">
        <v>0</v>
      </c>
      <c r="AL771" s="138">
        <v>0</v>
      </c>
      <c r="AM771" s="138">
        <v>0</v>
      </c>
      <c r="AN771" s="138">
        <v>0</v>
      </c>
      <c r="AO771" s="138">
        <v>0</v>
      </c>
      <c r="AP771" s="138">
        <v>0</v>
      </c>
      <c r="AQ771" s="138">
        <v>0</v>
      </c>
      <c r="AR771" s="138">
        <v>0</v>
      </c>
      <c r="AS771" s="138">
        <v>0</v>
      </c>
      <c r="AT771" s="138">
        <v>0</v>
      </c>
      <c r="AU771" s="138">
        <v>0</v>
      </c>
      <c r="AV771" s="138">
        <v>0</v>
      </c>
      <c r="AW771" s="148"/>
      <c r="AX771" s="171"/>
    </row>
    <row r="772" spans="1:50" hidden="1" outlineLevel="1" x14ac:dyDescent="0.2">
      <c r="A772" s="99" t="str">
        <f ca="1">Language!A$935</f>
        <v>кредиторская задолженность</v>
      </c>
      <c r="C772" s="124" t="str">
        <f t="shared" ca="1" si="3259"/>
        <v>тыс. руб.</v>
      </c>
      <c r="D772" s="66">
        <v>1</v>
      </c>
      <c r="F772" s="57" t="s">
        <v>1050</v>
      </c>
      <c r="G772" s="138">
        <v>0</v>
      </c>
      <c r="H772" s="138">
        <v>0</v>
      </c>
      <c r="I772" s="138">
        <v>0</v>
      </c>
      <c r="J772" s="138">
        <v>0</v>
      </c>
      <c r="K772" s="138">
        <v>0</v>
      </c>
      <c r="L772" s="138">
        <v>0</v>
      </c>
      <c r="M772" s="138">
        <v>0</v>
      </c>
      <c r="N772" s="138">
        <v>0</v>
      </c>
      <c r="O772" s="138">
        <v>0</v>
      </c>
      <c r="P772" s="138">
        <v>0</v>
      </c>
      <c r="Q772" s="138">
        <v>0</v>
      </c>
      <c r="R772" s="138">
        <v>0</v>
      </c>
      <c r="S772" s="138">
        <v>0</v>
      </c>
      <c r="T772" s="138">
        <v>0</v>
      </c>
      <c r="U772" s="138">
        <v>0</v>
      </c>
      <c r="V772" s="138">
        <v>0</v>
      </c>
      <c r="W772" s="138">
        <v>0</v>
      </c>
      <c r="X772" s="138">
        <v>0</v>
      </c>
      <c r="Y772" s="138">
        <v>0</v>
      </c>
      <c r="Z772" s="138">
        <v>0</v>
      </c>
      <c r="AA772" s="138">
        <v>0</v>
      </c>
      <c r="AB772" s="138">
        <v>0</v>
      </c>
      <c r="AC772" s="138">
        <v>0</v>
      </c>
      <c r="AD772" s="138">
        <v>0</v>
      </c>
      <c r="AE772" s="138">
        <v>0</v>
      </c>
      <c r="AF772" s="138">
        <v>0</v>
      </c>
      <c r="AG772" s="138">
        <v>0</v>
      </c>
      <c r="AH772" s="138">
        <v>0</v>
      </c>
      <c r="AI772" s="138">
        <v>0</v>
      </c>
      <c r="AJ772" s="138">
        <v>0</v>
      </c>
      <c r="AK772" s="138">
        <v>0</v>
      </c>
      <c r="AL772" s="138">
        <v>0</v>
      </c>
      <c r="AM772" s="138">
        <v>0</v>
      </c>
      <c r="AN772" s="138">
        <v>0</v>
      </c>
      <c r="AO772" s="138">
        <v>0</v>
      </c>
      <c r="AP772" s="138">
        <v>0</v>
      </c>
      <c r="AQ772" s="138">
        <v>0</v>
      </c>
      <c r="AR772" s="138">
        <v>0</v>
      </c>
      <c r="AS772" s="138">
        <v>0</v>
      </c>
      <c r="AT772" s="138">
        <v>0</v>
      </c>
      <c r="AU772" s="138">
        <v>0</v>
      </c>
      <c r="AV772" s="138">
        <v>0</v>
      </c>
      <c r="AW772" s="148"/>
      <c r="AX772" s="171"/>
    </row>
    <row r="773" spans="1:50" hidden="1" outlineLevel="1" x14ac:dyDescent="0.2">
      <c r="A773" s="99" t="str">
        <f ca="1">Language!A$936</f>
        <v>балансовая стоимость</v>
      </c>
      <c r="C773" s="124" t="str">
        <f t="shared" ca="1" si="3259"/>
        <v>тыс. руб.</v>
      </c>
      <c r="D773" s="66">
        <v>1</v>
      </c>
      <c r="F773" s="57" t="s">
        <v>1051</v>
      </c>
      <c r="G773" s="138">
        <v>0</v>
      </c>
      <c r="H773" s="138">
        <v>0</v>
      </c>
      <c r="I773" s="138">
        <v>0</v>
      </c>
      <c r="J773" s="138">
        <v>0</v>
      </c>
      <c r="K773" s="138">
        <v>0</v>
      </c>
      <c r="L773" s="138">
        <v>0</v>
      </c>
      <c r="M773" s="138">
        <v>0</v>
      </c>
      <c r="N773" s="138">
        <v>0</v>
      </c>
      <c r="O773" s="138">
        <v>0</v>
      </c>
      <c r="P773" s="138">
        <v>0</v>
      </c>
      <c r="Q773" s="138">
        <v>0</v>
      </c>
      <c r="R773" s="138">
        <v>0</v>
      </c>
      <c r="S773" s="138">
        <v>0</v>
      </c>
      <c r="T773" s="138">
        <v>0</v>
      </c>
      <c r="U773" s="138">
        <v>0</v>
      </c>
      <c r="V773" s="138">
        <v>0</v>
      </c>
      <c r="W773" s="138">
        <v>0</v>
      </c>
      <c r="X773" s="138">
        <v>0</v>
      </c>
      <c r="Y773" s="138">
        <v>0</v>
      </c>
      <c r="Z773" s="138">
        <v>0</v>
      </c>
      <c r="AA773" s="138">
        <v>0</v>
      </c>
      <c r="AB773" s="138">
        <v>0</v>
      </c>
      <c r="AC773" s="138">
        <v>0</v>
      </c>
      <c r="AD773" s="138">
        <v>0</v>
      </c>
      <c r="AE773" s="138">
        <v>0</v>
      </c>
      <c r="AF773" s="138">
        <v>0</v>
      </c>
      <c r="AG773" s="138">
        <v>0</v>
      </c>
      <c r="AH773" s="138">
        <v>0</v>
      </c>
      <c r="AI773" s="138">
        <v>0</v>
      </c>
      <c r="AJ773" s="138">
        <v>0</v>
      </c>
      <c r="AK773" s="138">
        <v>0</v>
      </c>
      <c r="AL773" s="138">
        <v>0</v>
      </c>
      <c r="AM773" s="138">
        <v>0</v>
      </c>
      <c r="AN773" s="138">
        <v>0</v>
      </c>
      <c r="AO773" s="138">
        <v>0</v>
      </c>
      <c r="AP773" s="138">
        <v>0</v>
      </c>
      <c r="AQ773" s="138">
        <v>0</v>
      </c>
      <c r="AR773" s="138">
        <v>0</v>
      </c>
      <c r="AS773" s="138">
        <v>0</v>
      </c>
      <c r="AT773" s="138">
        <v>0</v>
      </c>
      <c r="AU773" s="138">
        <v>0</v>
      </c>
      <c r="AV773" s="138">
        <v>0</v>
      </c>
      <c r="AW773" s="148"/>
      <c r="AX773" s="171"/>
    </row>
    <row r="774" spans="1:50" hidden="1" outlineLevel="1" x14ac:dyDescent="0.2">
      <c r="A774" s="99" t="str">
        <f ca="1">Language!A$937</f>
        <v>выручка от продажи актива</v>
      </c>
      <c r="C774" s="124" t="str">
        <f t="shared" ca="1" si="3259"/>
        <v>тыс. руб.</v>
      </c>
      <c r="D774" s="66">
        <v>1</v>
      </c>
      <c r="F774" s="57" t="s">
        <v>1052</v>
      </c>
      <c r="G774" s="138">
        <v>0</v>
      </c>
      <c r="H774" s="138">
        <v>0</v>
      </c>
      <c r="I774" s="138">
        <v>0</v>
      </c>
      <c r="J774" s="138">
        <v>0</v>
      </c>
      <c r="K774" s="138">
        <v>0</v>
      </c>
      <c r="L774" s="138">
        <v>0</v>
      </c>
      <c r="M774" s="138">
        <v>0</v>
      </c>
      <c r="N774" s="138">
        <v>0</v>
      </c>
      <c r="O774" s="138">
        <v>0</v>
      </c>
      <c r="P774" s="138">
        <v>0</v>
      </c>
      <c r="Q774" s="138">
        <v>0</v>
      </c>
      <c r="R774" s="138">
        <v>0</v>
      </c>
      <c r="S774" s="138">
        <v>0</v>
      </c>
      <c r="T774" s="138">
        <v>0</v>
      </c>
      <c r="U774" s="138">
        <v>0</v>
      </c>
      <c r="V774" s="138">
        <v>0</v>
      </c>
      <c r="W774" s="138">
        <v>0</v>
      </c>
      <c r="X774" s="138">
        <v>0</v>
      </c>
      <c r="Y774" s="138">
        <v>0</v>
      </c>
      <c r="Z774" s="138">
        <v>0</v>
      </c>
      <c r="AA774" s="138">
        <v>0</v>
      </c>
      <c r="AB774" s="138">
        <v>0</v>
      </c>
      <c r="AC774" s="138">
        <v>0</v>
      </c>
      <c r="AD774" s="138">
        <v>0</v>
      </c>
      <c r="AE774" s="138">
        <v>0</v>
      </c>
      <c r="AF774" s="138">
        <v>0</v>
      </c>
      <c r="AG774" s="138">
        <v>0</v>
      </c>
      <c r="AH774" s="138">
        <v>0</v>
      </c>
      <c r="AI774" s="138">
        <v>0</v>
      </c>
      <c r="AJ774" s="138">
        <v>0</v>
      </c>
      <c r="AK774" s="138">
        <v>0</v>
      </c>
      <c r="AL774" s="138">
        <v>0</v>
      </c>
      <c r="AM774" s="138">
        <v>0</v>
      </c>
      <c r="AN774" s="138">
        <v>0</v>
      </c>
      <c r="AO774" s="138">
        <v>0</v>
      </c>
      <c r="AP774" s="138">
        <v>0</v>
      </c>
      <c r="AQ774" s="138">
        <v>0</v>
      </c>
      <c r="AR774" s="138">
        <v>0</v>
      </c>
      <c r="AS774" s="138">
        <v>0</v>
      </c>
      <c r="AT774" s="138">
        <v>0</v>
      </c>
      <c r="AU774" s="138">
        <v>0</v>
      </c>
      <c r="AV774" s="138">
        <v>0</v>
      </c>
      <c r="AW774" s="148"/>
      <c r="AX774" s="171">
        <f>SUM(G774:AW774)</f>
        <v>0</v>
      </c>
    </row>
    <row r="775" spans="1:50" hidden="1" outlineLevel="1" x14ac:dyDescent="0.2">
      <c r="A775" s="99" t="str">
        <f ca="1">Language!A$938</f>
        <v>прибыль/убыток от продажи актива</v>
      </c>
      <c r="C775" s="124" t="str">
        <f t="shared" ca="1" si="3259"/>
        <v>тыс. руб.</v>
      </c>
      <c r="D775" s="66">
        <v>1</v>
      </c>
      <c r="F775" s="57" t="s">
        <v>1053</v>
      </c>
      <c r="G775" s="138">
        <v>0</v>
      </c>
      <c r="H775" s="138">
        <v>0</v>
      </c>
      <c r="I775" s="138">
        <v>0</v>
      </c>
      <c r="J775" s="138">
        <v>0</v>
      </c>
      <c r="K775" s="138">
        <v>0</v>
      </c>
      <c r="L775" s="138">
        <v>0</v>
      </c>
      <c r="M775" s="138">
        <v>0</v>
      </c>
      <c r="N775" s="138">
        <v>0</v>
      </c>
      <c r="O775" s="138">
        <v>0</v>
      </c>
      <c r="P775" s="138">
        <v>0</v>
      </c>
      <c r="Q775" s="138">
        <v>0</v>
      </c>
      <c r="R775" s="138">
        <v>0</v>
      </c>
      <c r="S775" s="138">
        <v>0</v>
      </c>
      <c r="T775" s="138">
        <v>0</v>
      </c>
      <c r="U775" s="138">
        <v>0</v>
      </c>
      <c r="V775" s="138">
        <v>0</v>
      </c>
      <c r="W775" s="138">
        <v>0</v>
      </c>
      <c r="X775" s="138">
        <v>0</v>
      </c>
      <c r="Y775" s="138">
        <v>0</v>
      </c>
      <c r="Z775" s="138">
        <v>0</v>
      </c>
      <c r="AA775" s="138">
        <v>0</v>
      </c>
      <c r="AB775" s="138">
        <v>0</v>
      </c>
      <c r="AC775" s="138">
        <v>0</v>
      </c>
      <c r="AD775" s="138">
        <v>0</v>
      </c>
      <c r="AE775" s="138">
        <v>0</v>
      </c>
      <c r="AF775" s="138">
        <v>0</v>
      </c>
      <c r="AG775" s="138">
        <v>0</v>
      </c>
      <c r="AH775" s="138">
        <v>0</v>
      </c>
      <c r="AI775" s="138">
        <v>0</v>
      </c>
      <c r="AJ775" s="138">
        <v>0</v>
      </c>
      <c r="AK775" s="138">
        <v>0</v>
      </c>
      <c r="AL775" s="138">
        <v>0</v>
      </c>
      <c r="AM775" s="138">
        <v>0</v>
      </c>
      <c r="AN775" s="138">
        <v>0</v>
      </c>
      <c r="AO775" s="138">
        <v>0</v>
      </c>
      <c r="AP775" s="138">
        <v>0</v>
      </c>
      <c r="AQ775" s="138">
        <v>0</v>
      </c>
      <c r="AR775" s="138">
        <v>0</v>
      </c>
      <c r="AS775" s="138">
        <v>0</v>
      </c>
      <c r="AT775" s="138">
        <v>0</v>
      </c>
      <c r="AU775" s="138">
        <v>0</v>
      </c>
      <c r="AV775" s="138">
        <v>0</v>
      </c>
      <c r="AW775" s="148"/>
      <c r="AX775" s="171">
        <f>SUM(G775:AW775)</f>
        <v>0</v>
      </c>
    </row>
    <row r="776" spans="1:50" collapsed="1" x14ac:dyDescent="0.2">
      <c r="A776" s="65" t="str">
        <f ca="1">Language!A$939</f>
        <v>Итого: Здания и сооружения, с НДС</v>
      </c>
      <c r="C776" s="124" t="str">
        <f t="shared" ca="1" si="3259"/>
        <v>тыс. руб.</v>
      </c>
      <c r="D776" s="66">
        <v>1</v>
      </c>
      <c r="F776" s="57" t="s">
        <v>753</v>
      </c>
      <c r="G776" s="138">
        <f t="shared" ref="G776:K776" si="3260">G777+G782</f>
        <v>36908</v>
      </c>
      <c r="H776" s="138">
        <f t="shared" si="3260"/>
        <v>30000</v>
      </c>
      <c r="I776" s="138">
        <f t="shared" si="3260"/>
        <v>20000</v>
      </c>
      <c r="J776" s="138">
        <f t="shared" si="3260"/>
        <v>20942</v>
      </c>
      <c r="K776" s="138">
        <f t="shared" si="3260"/>
        <v>0</v>
      </c>
      <c r="L776" s="138">
        <f t="shared" ref="L776:M776" si="3261">L777+L782</f>
        <v>0</v>
      </c>
      <c r="M776" s="138">
        <f t="shared" si="3261"/>
        <v>0</v>
      </c>
      <c r="N776" s="138">
        <f t="shared" ref="N776:O776" si="3262">N777+N782</f>
        <v>0</v>
      </c>
      <c r="O776" s="138">
        <f t="shared" si="3262"/>
        <v>0</v>
      </c>
      <c r="P776" s="138">
        <f t="shared" ref="P776:Q776" si="3263">P777+P782</f>
        <v>0</v>
      </c>
      <c r="Q776" s="138">
        <f t="shared" si="3263"/>
        <v>0</v>
      </c>
      <c r="R776" s="138">
        <f t="shared" ref="R776:S776" si="3264">R777+R782</f>
        <v>0</v>
      </c>
      <c r="S776" s="138">
        <f t="shared" si="3264"/>
        <v>0</v>
      </c>
      <c r="T776" s="138">
        <f t="shared" ref="T776:U776" si="3265">T777+T782</f>
        <v>0</v>
      </c>
      <c r="U776" s="138">
        <f t="shared" si="3265"/>
        <v>0</v>
      </c>
      <c r="V776" s="138">
        <f t="shared" ref="V776:W776" si="3266">V777+V782</f>
        <v>0</v>
      </c>
      <c r="W776" s="138">
        <f t="shared" si="3266"/>
        <v>0</v>
      </c>
      <c r="X776" s="138">
        <f t="shared" ref="X776:Y776" si="3267">X777+X782</f>
        <v>0</v>
      </c>
      <c r="Y776" s="138">
        <f t="shared" si="3267"/>
        <v>0</v>
      </c>
      <c r="Z776" s="138">
        <f t="shared" ref="Z776:AA776" si="3268">Z777+Z782</f>
        <v>0</v>
      </c>
      <c r="AA776" s="138">
        <f t="shared" si="3268"/>
        <v>0</v>
      </c>
      <c r="AB776" s="138">
        <f t="shared" ref="AB776:AC776" si="3269">AB777+AB782</f>
        <v>0</v>
      </c>
      <c r="AC776" s="138">
        <f t="shared" si="3269"/>
        <v>0</v>
      </c>
      <c r="AD776" s="138">
        <f t="shared" ref="AD776:AE776" si="3270">AD777+AD782</f>
        <v>0</v>
      </c>
      <c r="AE776" s="138">
        <f t="shared" si="3270"/>
        <v>0</v>
      </c>
      <c r="AF776" s="138">
        <f t="shared" ref="AF776:AG776" si="3271">AF777+AF782</f>
        <v>0</v>
      </c>
      <c r="AG776" s="138">
        <f t="shared" si="3271"/>
        <v>0</v>
      </c>
      <c r="AH776" s="138">
        <f t="shared" ref="AH776:AI776" si="3272">AH777+AH782</f>
        <v>0</v>
      </c>
      <c r="AI776" s="138">
        <f t="shared" si="3272"/>
        <v>0</v>
      </c>
      <c r="AJ776" s="138">
        <f t="shared" ref="AJ776:AK776" si="3273">AJ777+AJ782</f>
        <v>0</v>
      </c>
      <c r="AK776" s="138">
        <f t="shared" si="3273"/>
        <v>0</v>
      </c>
      <c r="AL776" s="138">
        <f t="shared" ref="AL776:AM776" si="3274">AL777+AL782</f>
        <v>0</v>
      </c>
      <c r="AM776" s="138">
        <f t="shared" si="3274"/>
        <v>0</v>
      </c>
      <c r="AN776" s="138">
        <f t="shared" ref="AN776:AO776" si="3275">AN777+AN782</f>
        <v>0</v>
      </c>
      <c r="AO776" s="138">
        <f t="shared" si="3275"/>
        <v>0</v>
      </c>
      <c r="AP776" s="138">
        <f t="shared" ref="AP776:AQ776" si="3276">AP777+AP782</f>
        <v>0</v>
      </c>
      <c r="AQ776" s="138">
        <f t="shared" si="3276"/>
        <v>0</v>
      </c>
      <c r="AR776" s="138">
        <f t="shared" ref="AR776:AS776" si="3277">AR777+AR782</f>
        <v>0</v>
      </c>
      <c r="AS776" s="138">
        <f t="shared" si="3277"/>
        <v>0</v>
      </c>
      <c r="AT776" s="138">
        <f t="shared" ref="AT776:AU776" si="3278">AT777+AT782</f>
        <v>0</v>
      </c>
      <c r="AU776" s="138">
        <f t="shared" si="3278"/>
        <v>0</v>
      </c>
      <c r="AV776" s="138">
        <f t="shared" ref="AV776" si="3279">AV777+AV782</f>
        <v>0</v>
      </c>
      <c r="AW776" s="148"/>
      <c r="AX776" s="171">
        <f>SUM(G776:AW776)</f>
        <v>107850</v>
      </c>
    </row>
    <row r="777" spans="1:50" hidden="1" outlineLevel="1" x14ac:dyDescent="0.2">
      <c r="A777" s="99" t="str">
        <f ca="1">Language!A$940</f>
        <v>график оплаты (без НДС)</v>
      </c>
      <c r="C777" s="124" t="str">
        <f t="shared" ca="1" si="3259"/>
        <v>тыс. руб.</v>
      </c>
      <c r="D777" s="66">
        <v>1</v>
      </c>
      <c r="F777" s="57" t="s">
        <v>1054</v>
      </c>
      <c r="G777" s="138">
        <f t="shared" ref="G777:AV777" si="3280">SUM(G$694)</f>
        <v>31277.966101694918</v>
      </c>
      <c r="H777" s="138">
        <f t="shared" si="3280"/>
        <v>25423.728813559323</v>
      </c>
      <c r="I777" s="138">
        <f t="shared" si="3280"/>
        <v>16949.152542372882</v>
      </c>
      <c r="J777" s="138">
        <f t="shared" si="3280"/>
        <v>17747.457627118645</v>
      </c>
      <c r="K777" s="138">
        <f t="shared" si="3280"/>
        <v>0</v>
      </c>
      <c r="L777" s="138">
        <f t="shared" si="3280"/>
        <v>0</v>
      </c>
      <c r="M777" s="138">
        <f t="shared" si="3280"/>
        <v>0</v>
      </c>
      <c r="N777" s="138">
        <f t="shared" si="3280"/>
        <v>0</v>
      </c>
      <c r="O777" s="138">
        <f t="shared" si="3280"/>
        <v>0</v>
      </c>
      <c r="P777" s="138">
        <f t="shared" si="3280"/>
        <v>0</v>
      </c>
      <c r="Q777" s="138">
        <f t="shared" si="3280"/>
        <v>0</v>
      </c>
      <c r="R777" s="138">
        <f t="shared" si="3280"/>
        <v>0</v>
      </c>
      <c r="S777" s="138">
        <f t="shared" si="3280"/>
        <v>0</v>
      </c>
      <c r="T777" s="138">
        <f t="shared" si="3280"/>
        <v>0</v>
      </c>
      <c r="U777" s="138">
        <f t="shared" si="3280"/>
        <v>0</v>
      </c>
      <c r="V777" s="138">
        <f t="shared" si="3280"/>
        <v>0</v>
      </c>
      <c r="W777" s="138">
        <f t="shared" si="3280"/>
        <v>0</v>
      </c>
      <c r="X777" s="138">
        <f t="shared" si="3280"/>
        <v>0</v>
      </c>
      <c r="Y777" s="138">
        <f t="shared" si="3280"/>
        <v>0</v>
      </c>
      <c r="Z777" s="138">
        <f t="shared" si="3280"/>
        <v>0</v>
      </c>
      <c r="AA777" s="138">
        <f t="shared" si="3280"/>
        <v>0</v>
      </c>
      <c r="AB777" s="138">
        <f t="shared" si="3280"/>
        <v>0</v>
      </c>
      <c r="AC777" s="138">
        <f t="shared" si="3280"/>
        <v>0</v>
      </c>
      <c r="AD777" s="138">
        <f t="shared" si="3280"/>
        <v>0</v>
      </c>
      <c r="AE777" s="138">
        <f t="shared" si="3280"/>
        <v>0</v>
      </c>
      <c r="AF777" s="138">
        <f t="shared" si="3280"/>
        <v>0</v>
      </c>
      <c r="AG777" s="138">
        <f t="shared" si="3280"/>
        <v>0</v>
      </c>
      <c r="AH777" s="138">
        <f t="shared" si="3280"/>
        <v>0</v>
      </c>
      <c r="AI777" s="138">
        <f t="shared" si="3280"/>
        <v>0</v>
      </c>
      <c r="AJ777" s="138">
        <f t="shared" si="3280"/>
        <v>0</v>
      </c>
      <c r="AK777" s="138">
        <f t="shared" si="3280"/>
        <v>0</v>
      </c>
      <c r="AL777" s="138">
        <f t="shared" si="3280"/>
        <v>0</v>
      </c>
      <c r="AM777" s="138">
        <f t="shared" si="3280"/>
        <v>0</v>
      </c>
      <c r="AN777" s="138">
        <f t="shared" si="3280"/>
        <v>0</v>
      </c>
      <c r="AO777" s="138">
        <f t="shared" si="3280"/>
        <v>0</v>
      </c>
      <c r="AP777" s="138">
        <f t="shared" si="3280"/>
        <v>0</v>
      </c>
      <c r="AQ777" s="138">
        <f t="shared" si="3280"/>
        <v>0</v>
      </c>
      <c r="AR777" s="138">
        <f t="shared" si="3280"/>
        <v>0</v>
      </c>
      <c r="AS777" s="138">
        <f t="shared" si="3280"/>
        <v>0</v>
      </c>
      <c r="AT777" s="138">
        <f t="shared" si="3280"/>
        <v>0</v>
      </c>
      <c r="AU777" s="138">
        <f t="shared" si="3280"/>
        <v>0</v>
      </c>
      <c r="AV777" s="138">
        <f t="shared" si="3280"/>
        <v>0</v>
      </c>
      <c r="AW777" s="148"/>
      <c r="AX777" s="171">
        <f>SUM(G777:AW777)</f>
        <v>91398.305084745778</v>
      </c>
    </row>
    <row r="778" spans="1:50" hidden="1" outlineLevel="1" x14ac:dyDescent="0.2">
      <c r="A778" s="99" t="str">
        <f ca="1">Language!A$941</f>
        <v>незавершенные инвестиции</v>
      </c>
      <c r="C778" s="124" t="str">
        <f t="shared" ca="1" si="3259"/>
        <v>тыс. руб.</v>
      </c>
      <c r="D778" s="66">
        <v>1</v>
      </c>
      <c r="F778" s="57" t="s">
        <v>1055</v>
      </c>
      <c r="G778" s="138">
        <f t="shared" ref="G778:AV778" si="3281">SUM(G$698)</f>
        <v>0</v>
      </c>
      <c r="H778" s="138">
        <f t="shared" si="3281"/>
        <v>0</v>
      </c>
      <c r="I778" s="138">
        <f t="shared" si="3281"/>
        <v>0</v>
      </c>
      <c r="J778" s="138">
        <f t="shared" si="3281"/>
        <v>0</v>
      </c>
      <c r="K778" s="138">
        <f t="shared" si="3281"/>
        <v>0</v>
      </c>
      <c r="L778" s="138">
        <f t="shared" si="3281"/>
        <v>0</v>
      </c>
      <c r="M778" s="138">
        <f t="shared" si="3281"/>
        <v>0</v>
      </c>
      <c r="N778" s="138">
        <f t="shared" si="3281"/>
        <v>0</v>
      </c>
      <c r="O778" s="138">
        <f t="shared" si="3281"/>
        <v>0</v>
      </c>
      <c r="P778" s="138">
        <f t="shared" si="3281"/>
        <v>0</v>
      </c>
      <c r="Q778" s="138">
        <f t="shared" si="3281"/>
        <v>0</v>
      </c>
      <c r="R778" s="138">
        <f t="shared" si="3281"/>
        <v>0</v>
      </c>
      <c r="S778" s="138">
        <f t="shared" si="3281"/>
        <v>0</v>
      </c>
      <c r="T778" s="138">
        <f t="shared" si="3281"/>
        <v>0</v>
      </c>
      <c r="U778" s="138">
        <f t="shared" si="3281"/>
        <v>0</v>
      </c>
      <c r="V778" s="138">
        <f t="shared" si="3281"/>
        <v>0</v>
      </c>
      <c r="W778" s="138">
        <f t="shared" si="3281"/>
        <v>0</v>
      </c>
      <c r="X778" s="138">
        <f t="shared" si="3281"/>
        <v>0</v>
      </c>
      <c r="Y778" s="138">
        <f t="shared" si="3281"/>
        <v>0</v>
      </c>
      <c r="Z778" s="138">
        <f t="shared" si="3281"/>
        <v>0</v>
      </c>
      <c r="AA778" s="138">
        <f t="shared" si="3281"/>
        <v>0</v>
      </c>
      <c r="AB778" s="138">
        <f t="shared" si="3281"/>
        <v>0</v>
      </c>
      <c r="AC778" s="138">
        <f t="shared" si="3281"/>
        <v>0</v>
      </c>
      <c r="AD778" s="138">
        <f t="shared" si="3281"/>
        <v>0</v>
      </c>
      <c r="AE778" s="138">
        <f t="shared" si="3281"/>
        <v>0</v>
      </c>
      <c r="AF778" s="138">
        <f t="shared" si="3281"/>
        <v>0</v>
      </c>
      <c r="AG778" s="138">
        <f t="shared" si="3281"/>
        <v>0</v>
      </c>
      <c r="AH778" s="138">
        <f t="shared" si="3281"/>
        <v>0</v>
      </c>
      <c r="AI778" s="138">
        <f t="shared" si="3281"/>
        <v>0</v>
      </c>
      <c r="AJ778" s="138">
        <f t="shared" si="3281"/>
        <v>0</v>
      </c>
      <c r="AK778" s="138">
        <f t="shared" si="3281"/>
        <v>0</v>
      </c>
      <c r="AL778" s="138">
        <f t="shared" si="3281"/>
        <v>0</v>
      </c>
      <c r="AM778" s="138">
        <f t="shared" si="3281"/>
        <v>0</v>
      </c>
      <c r="AN778" s="138">
        <f t="shared" si="3281"/>
        <v>0</v>
      </c>
      <c r="AO778" s="138">
        <f t="shared" si="3281"/>
        <v>0</v>
      </c>
      <c r="AP778" s="138">
        <f t="shared" si="3281"/>
        <v>0</v>
      </c>
      <c r="AQ778" s="138">
        <f t="shared" si="3281"/>
        <v>0</v>
      </c>
      <c r="AR778" s="138">
        <f t="shared" si="3281"/>
        <v>0</v>
      </c>
      <c r="AS778" s="138">
        <f t="shared" si="3281"/>
        <v>0</v>
      </c>
      <c r="AT778" s="138">
        <f t="shared" si="3281"/>
        <v>0</v>
      </c>
      <c r="AU778" s="138">
        <f t="shared" si="3281"/>
        <v>0</v>
      </c>
      <c r="AV778" s="138">
        <f t="shared" si="3281"/>
        <v>0</v>
      </c>
      <c r="AW778" s="148"/>
      <c r="AX778" s="171"/>
    </row>
    <row r="779" spans="1:50" hidden="1" outlineLevel="1" x14ac:dyDescent="0.2">
      <c r="A779" s="99" t="str">
        <f ca="1">Language!A$942</f>
        <v>кредиторская задолженность</v>
      </c>
      <c r="C779" s="124" t="str">
        <f t="shared" ca="1" si="3259"/>
        <v>тыс. руб.</v>
      </c>
      <c r="D779" s="66">
        <v>1</v>
      </c>
      <c r="F779" s="57" t="s">
        <v>1056</v>
      </c>
      <c r="G779" s="138">
        <f t="shared" ref="G779:AV779" si="3282">SUM(G$699)</f>
        <v>60120.33898305086</v>
      </c>
      <c r="H779" s="138">
        <f t="shared" si="3282"/>
        <v>34696.610169491541</v>
      </c>
      <c r="I779" s="138">
        <f t="shared" si="3282"/>
        <v>17747.457627118652</v>
      </c>
      <c r="J779" s="138">
        <f t="shared" si="3282"/>
        <v>0</v>
      </c>
      <c r="K779" s="138">
        <f t="shared" si="3282"/>
        <v>0</v>
      </c>
      <c r="L779" s="138">
        <f t="shared" si="3282"/>
        <v>0</v>
      </c>
      <c r="M779" s="138">
        <f t="shared" si="3282"/>
        <v>0</v>
      </c>
      <c r="N779" s="138">
        <f t="shared" si="3282"/>
        <v>0</v>
      </c>
      <c r="O779" s="138">
        <f t="shared" si="3282"/>
        <v>0</v>
      </c>
      <c r="P779" s="138">
        <f t="shared" si="3282"/>
        <v>0</v>
      </c>
      <c r="Q779" s="138">
        <f t="shared" si="3282"/>
        <v>0</v>
      </c>
      <c r="R779" s="138">
        <f t="shared" si="3282"/>
        <v>0</v>
      </c>
      <c r="S779" s="138">
        <f t="shared" si="3282"/>
        <v>0</v>
      </c>
      <c r="T779" s="138">
        <f t="shared" si="3282"/>
        <v>0</v>
      </c>
      <c r="U779" s="138">
        <f t="shared" si="3282"/>
        <v>0</v>
      </c>
      <c r="V779" s="138">
        <f t="shared" si="3282"/>
        <v>0</v>
      </c>
      <c r="W779" s="138">
        <f t="shared" si="3282"/>
        <v>0</v>
      </c>
      <c r="X779" s="138">
        <f t="shared" si="3282"/>
        <v>0</v>
      </c>
      <c r="Y779" s="138">
        <f t="shared" si="3282"/>
        <v>0</v>
      </c>
      <c r="Z779" s="138">
        <f t="shared" si="3282"/>
        <v>0</v>
      </c>
      <c r="AA779" s="138">
        <f t="shared" si="3282"/>
        <v>0</v>
      </c>
      <c r="AB779" s="138">
        <f t="shared" si="3282"/>
        <v>0</v>
      </c>
      <c r="AC779" s="138">
        <f t="shared" si="3282"/>
        <v>0</v>
      </c>
      <c r="AD779" s="138">
        <f t="shared" si="3282"/>
        <v>0</v>
      </c>
      <c r="AE779" s="138">
        <f t="shared" si="3282"/>
        <v>0</v>
      </c>
      <c r="AF779" s="138">
        <f t="shared" si="3282"/>
        <v>0</v>
      </c>
      <c r="AG779" s="138">
        <f t="shared" si="3282"/>
        <v>0</v>
      </c>
      <c r="AH779" s="138">
        <f t="shared" si="3282"/>
        <v>0</v>
      </c>
      <c r="AI779" s="138">
        <f t="shared" si="3282"/>
        <v>0</v>
      </c>
      <c r="AJ779" s="138">
        <f t="shared" si="3282"/>
        <v>0</v>
      </c>
      <c r="AK779" s="138">
        <f t="shared" si="3282"/>
        <v>0</v>
      </c>
      <c r="AL779" s="138">
        <f t="shared" si="3282"/>
        <v>0</v>
      </c>
      <c r="AM779" s="138">
        <f t="shared" si="3282"/>
        <v>0</v>
      </c>
      <c r="AN779" s="138">
        <f t="shared" si="3282"/>
        <v>0</v>
      </c>
      <c r="AO779" s="138">
        <f t="shared" si="3282"/>
        <v>0</v>
      </c>
      <c r="AP779" s="138">
        <f t="shared" si="3282"/>
        <v>0</v>
      </c>
      <c r="AQ779" s="138">
        <f t="shared" si="3282"/>
        <v>0</v>
      </c>
      <c r="AR779" s="138">
        <f t="shared" si="3282"/>
        <v>0</v>
      </c>
      <c r="AS779" s="138">
        <f t="shared" si="3282"/>
        <v>0</v>
      </c>
      <c r="AT779" s="138">
        <f t="shared" si="3282"/>
        <v>0</v>
      </c>
      <c r="AU779" s="138">
        <f t="shared" si="3282"/>
        <v>0</v>
      </c>
      <c r="AV779" s="138">
        <f t="shared" si="3282"/>
        <v>0</v>
      </c>
      <c r="AW779" s="148"/>
      <c r="AX779" s="171"/>
    </row>
    <row r="780" spans="1:50" hidden="1" outlineLevel="1" x14ac:dyDescent="0.2">
      <c r="A780" s="99" t="str">
        <f ca="1">Language!A$943</f>
        <v>амортизация (бухгалтерская)</v>
      </c>
      <c r="C780" s="124" t="str">
        <f t="shared" ca="1" si="3259"/>
        <v>тыс. руб.</v>
      </c>
      <c r="D780" s="66">
        <v>1</v>
      </c>
      <c r="F780" s="57" t="s">
        <v>1057</v>
      </c>
      <c r="G780" s="138">
        <f t="shared" ref="G780:AV780" ca="1" si="3283">SUM(G$700)</f>
        <v>761.6525423728815</v>
      </c>
      <c r="H780" s="138">
        <f t="shared" ca="1" si="3283"/>
        <v>761.6525423728815</v>
      </c>
      <c r="I780" s="138">
        <f t="shared" ca="1" si="3283"/>
        <v>761.6525423728815</v>
      </c>
      <c r="J780" s="138">
        <f t="shared" ca="1" si="3283"/>
        <v>761.6525423728815</v>
      </c>
      <c r="K780" s="138">
        <f t="shared" ca="1" si="3283"/>
        <v>761.6525423728815</v>
      </c>
      <c r="L780" s="138">
        <f t="shared" ca="1" si="3283"/>
        <v>761.6525423728815</v>
      </c>
      <c r="M780" s="138">
        <f t="shared" ca="1" si="3283"/>
        <v>761.6525423728815</v>
      </c>
      <c r="N780" s="138">
        <f t="shared" ca="1" si="3283"/>
        <v>761.6525423728815</v>
      </c>
      <c r="O780" s="138">
        <f t="shared" ca="1" si="3283"/>
        <v>761.6525423728815</v>
      </c>
      <c r="P780" s="138">
        <f t="shared" ca="1" si="3283"/>
        <v>761.6525423728815</v>
      </c>
      <c r="Q780" s="138">
        <f t="shared" ca="1" si="3283"/>
        <v>761.6525423728815</v>
      </c>
      <c r="R780" s="138">
        <f t="shared" ca="1" si="3283"/>
        <v>761.6525423728815</v>
      </c>
      <c r="S780" s="138">
        <f t="shared" ca="1" si="3283"/>
        <v>761.6525423728815</v>
      </c>
      <c r="T780" s="138">
        <f t="shared" ca="1" si="3283"/>
        <v>761.6525423728815</v>
      </c>
      <c r="U780" s="138">
        <f t="shared" ca="1" si="3283"/>
        <v>761.6525423728815</v>
      </c>
      <c r="V780" s="138">
        <f t="shared" ca="1" si="3283"/>
        <v>761.6525423728815</v>
      </c>
      <c r="W780" s="138">
        <f t="shared" ca="1" si="3283"/>
        <v>761.6525423728815</v>
      </c>
      <c r="X780" s="138">
        <f t="shared" ca="1" si="3283"/>
        <v>761.6525423728815</v>
      </c>
      <c r="Y780" s="138">
        <f t="shared" ca="1" si="3283"/>
        <v>761.6525423728815</v>
      </c>
      <c r="Z780" s="138">
        <f t="shared" ca="1" si="3283"/>
        <v>761.6525423728815</v>
      </c>
      <c r="AA780" s="138">
        <f t="shared" ca="1" si="3283"/>
        <v>761.6525423728815</v>
      </c>
      <c r="AB780" s="138">
        <f t="shared" ca="1" si="3283"/>
        <v>761.6525423728815</v>
      </c>
      <c r="AC780" s="138">
        <f t="shared" ca="1" si="3283"/>
        <v>761.6525423728815</v>
      </c>
      <c r="AD780" s="138">
        <f t="shared" ca="1" si="3283"/>
        <v>761.6525423728815</v>
      </c>
      <c r="AE780" s="138">
        <f t="shared" ca="1" si="3283"/>
        <v>761.6525423728815</v>
      </c>
      <c r="AF780" s="138">
        <f t="shared" ca="1" si="3283"/>
        <v>761.6525423728815</v>
      </c>
      <c r="AG780" s="138">
        <f t="shared" ca="1" si="3283"/>
        <v>761.6525423728815</v>
      </c>
      <c r="AH780" s="138">
        <f t="shared" ca="1" si="3283"/>
        <v>761.6525423728815</v>
      </c>
      <c r="AI780" s="138">
        <f t="shared" ca="1" si="3283"/>
        <v>761.6525423728815</v>
      </c>
      <c r="AJ780" s="138">
        <f t="shared" ca="1" si="3283"/>
        <v>761.6525423728815</v>
      </c>
      <c r="AK780" s="138">
        <f t="shared" ca="1" si="3283"/>
        <v>761.6525423728815</v>
      </c>
      <c r="AL780" s="138">
        <f t="shared" ca="1" si="3283"/>
        <v>761.6525423728815</v>
      </c>
      <c r="AM780" s="138">
        <f t="shared" ca="1" si="3283"/>
        <v>761.6525423728815</v>
      </c>
      <c r="AN780" s="138">
        <f t="shared" ca="1" si="3283"/>
        <v>761.6525423728815</v>
      </c>
      <c r="AO780" s="138">
        <f t="shared" ca="1" si="3283"/>
        <v>761.6525423728815</v>
      </c>
      <c r="AP780" s="138">
        <f t="shared" ca="1" si="3283"/>
        <v>761.6525423728815</v>
      </c>
      <c r="AQ780" s="138">
        <f t="shared" ca="1" si="3283"/>
        <v>761.6525423728815</v>
      </c>
      <c r="AR780" s="138">
        <f t="shared" ca="1" si="3283"/>
        <v>761.6525423728815</v>
      </c>
      <c r="AS780" s="138">
        <f t="shared" ca="1" si="3283"/>
        <v>761.6525423728815</v>
      </c>
      <c r="AT780" s="138">
        <f t="shared" ca="1" si="3283"/>
        <v>761.6525423728815</v>
      </c>
      <c r="AU780" s="138">
        <f t="shared" ca="1" si="3283"/>
        <v>761.6525423728815</v>
      </c>
      <c r="AV780" s="138">
        <f t="shared" ca="1" si="3283"/>
        <v>761.6525423728815</v>
      </c>
      <c r="AW780" s="148"/>
      <c r="AX780" s="171">
        <f ca="1">SUM(G780:AW780)</f>
        <v>31989.406779661029</v>
      </c>
    </row>
    <row r="781" spans="1:50" hidden="1" outlineLevel="1" x14ac:dyDescent="0.2">
      <c r="A781" s="99" t="str">
        <f ca="1">Language!A$944</f>
        <v>балансовая стоимость (бухгалтерская)</v>
      </c>
      <c r="C781" s="124" t="str">
        <f t="shared" ca="1" si="3259"/>
        <v>тыс. руб.</v>
      </c>
      <c r="D781" s="66">
        <v>1</v>
      </c>
      <c r="F781" s="57" t="s">
        <v>1058</v>
      </c>
      <c r="G781" s="138">
        <f t="shared" ref="G781:AV781" ca="1" si="3284">SUM(G$701)</f>
        <v>90636.652542372904</v>
      </c>
      <c r="H781" s="138">
        <f t="shared" ca="1" si="3284"/>
        <v>89875.000000000015</v>
      </c>
      <c r="I781" s="138">
        <f t="shared" ca="1" si="3284"/>
        <v>89113.34745762714</v>
      </c>
      <c r="J781" s="138">
        <f t="shared" ca="1" si="3284"/>
        <v>88351.694915254251</v>
      </c>
      <c r="K781" s="138">
        <f t="shared" ca="1" si="3284"/>
        <v>87590.042372881377</v>
      </c>
      <c r="L781" s="138">
        <f t="shared" ca="1" si="3284"/>
        <v>86828.389830508488</v>
      </c>
      <c r="M781" s="138">
        <f t="shared" ca="1" si="3284"/>
        <v>86066.737288135613</v>
      </c>
      <c r="N781" s="138">
        <f t="shared" ca="1" si="3284"/>
        <v>85305.084745762724</v>
      </c>
      <c r="O781" s="138">
        <f t="shared" ca="1" si="3284"/>
        <v>84543.43220338985</v>
      </c>
      <c r="P781" s="138">
        <f t="shared" ca="1" si="3284"/>
        <v>83781.779661016961</v>
      </c>
      <c r="Q781" s="138">
        <f t="shared" ca="1" si="3284"/>
        <v>83020.127118644086</v>
      </c>
      <c r="R781" s="138">
        <f t="shared" ca="1" si="3284"/>
        <v>82258.474576271197</v>
      </c>
      <c r="S781" s="138">
        <f t="shared" ca="1" si="3284"/>
        <v>81496.822033898323</v>
      </c>
      <c r="T781" s="138">
        <f t="shared" ca="1" si="3284"/>
        <v>80735.169491525434</v>
      </c>
      <c r="U781" s="138">
        <f t="shared" ca="1" si="3284"/>
        <v>79973.516949152559</v>
      </c>
      <c r="V781" s="138">
        <f t="shared" ca="1" si="3284"/>
        <v>79211.86440677967</v>
      </c>
      <c r="W781" s="138">
        <f t="shared" ca="1" si="3284"/>
        <v>78450.211864406796</v>
      </c>
      <c r="X781" s="138">
        <f t="shared" ca="1" si="3284"/>
        <v>77688.559322033907</v>
      </c>
      <c r="Y781" s="138">
        <f t="shared" ca="1" si="3284"/>
        <v>76926.906779661032</v>
      </c>
      <c r="Z781" s="138">
        <f t="shared" ca="1" si="3284"/>
        <v>76165.254237288143</v>
      </c>
      <c r="AA781" s="138">
        <f t="shared" ca="1" si="3284"/>
        <v>75403.601694915269</v>
      </c>
      <c r="AB781" s="138">
        <f t="shared" ca="1" si="3284"/>
        <v>74641.94915254238</v>
      </c>
      <c r="AC781" s="138">
        <f t="shared" ca="1" si="3284"/>
        <v>73880.296610169506</v>
      </c>
      <c r="AD781" s="138">
        <f t="shared" ca="1" si="3284"/>
        <v>73118.644067796617</v>
      </c>
      <c r="AE781" s="138">
        <f t="shared" ca="1" si="3284"/>
        <v>72356.991525423742</v>
      </c>
      <c r="AF781" s="138">
        <f t="shared" ca="1" si="3284"/>
        <v>71595.338983050853</v>
      </c>
      <c r="AG781" s="138">
        <f t="shared" ca="1" si="3284"/>
        <v>70833.686440677979</v>
      </c>
      <c r="AH781" s="138">
        <f t="shared" ca="1" si="3284"/>
        <v>70072.03389830509</v>
      </c>
      <c r="AI781" s="138">
        <f t="shared" ca="1" si="3284"/>
        <v>69310.381355932215</v>
      </c>
      <c r="AJ781" s="138">
        <f t="shared" ca="1" si="3284"/>
        <v>68548.728813559326</v>
      </c>
      <c r="AK781" s="138">
        <f t="shared" ca="1" si="3284"/>
        <v>67787.076271186452</v>
      </c>
      <c r="AL781" s="138">
        <f t="shared" ca="1" si="3284"/>
        <v>67025.423728813563</v>
      </c>
      <c r="AM781" s="138">
        <f t="shared" ca="1" si="3284"/>
        <v>66263.771186440688</v>
      </c>
      <c r="AN781" s="138">
        <f t="shared" ca="1" si="3284"/>
        <v>65502.118644067799</v>
      </c>
      <c r="AO781" s="138">
        <f t="shared" ca="1" si="3284"/>
        <v>64740.466101694925</v>
      </c>
      <c r="AP781" s="138">
        <f t="shared" ca="1" si="3284"/>
        <v>63978.813559322036</v>
      </c>
      <c r="AQ781" s="138">
        <f t="shared" ca="1" si="3284"/>
        <v>63217.161016949161</v>
      </c>
      <c r="AR781" s="138">
        <f t="shared" ca="1" si="3284"/>
        <v>62455.508474576272</v>
      </c>
      <c r="AS781" s="138">
        <f t="shared" ca="1" si="3284"/>
        <v>61693.855932203398</v>
      </c>
      <c r="AT781" s="138">
        <f t="shared" ca="1" si="3284"/>
        <v>60932.203389830509</v>
      </c>
      <c r="AU781" s="138">
        <f t="shared" ca="1" si="3284"/>
        <v>60170.550847457635</v>
      </c>
      <c r="AV781" s="138">
        <f t="shared" ca="1" si="3284"/>
        <v>59408.898305084746</v>
      </c>
      <c r="AW781" s="148"/>
      <c r="AX781" s="171"/>
    </row>
    <row r="782" spans="1:50" hidden="1" outlineLevel="1" x14ac:dyDescent="0.2">
      <c r="A782" s="99" t="str">
        <f ca="1">Language!A$945</f>
        <v>выплаченный НДС</v>
      </c>
      <c r="C782" s="124" t="str">
        <f t="shared" ca="1" si="3259"/>
        <v>тыс. руб.</v>
      </c>
      <c r="D782" s="66">
        <v>1</v>
      </c>
      <c r="F782" s="57" t="s">
        <v>1059</v>
      </c>
      <c r="G782" s="138">
        <f t="shared" ref="G782:AV782" si="3285">SUM(G$702)</f>
        <v>5630.0338983050851</v>
      </c>
      <c r="H782" s="138">
        <f t="shared" si="3285"/>
        <v>4576.2711864406783</v>
      </c>
      <c r="I782" s="138">
        <f t="shared" si="3285"/>
        <v>3050.8474576271187</v>
      </c>
      <c r="J782" s="138">
        <f t="shared" si="3285"/>
        <v>3194.5423728813562</v>
      </c>
      <c r="K782" s="138">
        <f t="shared" si="3285"/>
        <v>0</v>
      </c>
      <c r="L782" s="138">
        <f t="shared" si="3285"/>
        <v>0</v>
      </c>
      <c r="M782" s="138">
        <f t="shared" si="3285"/>
        <v>0</v>
      </c>
      <c r="N782" s="138">
        <f t="shared" si="3285"/>
        <v>0</v>
      </c>
      <c r="O782" s="138">
        <f t="shared" si="3285"/>
        <v>0</v>
      </c>
      <c r="P782" s="138">
        <f t="shared" si="3285"/>
        <v>0</v>
      </c>
      <c r="Q782" s="138">
        <f t="shared" si="3285"/>
        <v>0</v>
      </c>
      <c r="R782" s="138">
        <f t="shared" si="3285"/>
        <v>0</v>
      </c>
      <c r="S782" s="138">
        <f t="shared" si="3285"/>
        <v>0</v>
      </c>
      <c r="T782" s="138">
        <f t="shared" si="3285"/>
        <v>0</v>
      </c>
      <c r="U782" s="138">
        <f t="shared" si="3285"/>
        <v>0</v>
      </c>
      <c r="V782" s="138">
        <f t="shared" si="3285"/>
        <v>0</v>
      </c>
      <c r="W782" s="138">
        <f t="shared" si="3285"/>
        <v>0</v>
      </c>
      <c r="X782" s="138">
        <f t="shared" si="3285"/>
        <v>0</v>
      </c>
      <c r="Y782" s="138">
        <f t="shared" si="3285"/>
        <v>0</v>
      </c>
      <c r="Z782" s="138">
        <f t="shared" si="3285"/>
        <v>0</v>
      </c>
      <c r="AA782" s="138">
        <f t="shared" si="3285"/>
        <v>0</v>
      </c>
      <c r="AB782" s="138">
        <f t="shared" si="3285"/>
        <v>0</v>
      </c>
      <c r="AC782" s="138">
        <f t="shared" si="3285"/>
        <v>0</v>
      </c>
      <c r="AD782" s="138">
        <f t="shared" si="3285"/>
        <v>0</v>
      </c>
      <c r="AE782" s="138">
        <f t="shared" si="3285"/>
        <v>0</v>
      </c>
      <c r="AF782" s="138">
        <f t="shared" si="3285"/>
        <v>0</v>
      </c>
      <c r="AG782" s="138">
        <f t="shared" si="3285"/>
        <v>0</v>
      </c>
      <c r="AH782" s="138">
        <f t="shared" si="3285"/>
        <v>0</v>
      </c>
      <c r="AI782" s="138">
        <f t="shared" si="3285"/>
        <v>0</v>
      </c>
      <c r="AJ782" s="138">
        <f t="shared" si="3285"/>
        <v>0</v>
      </c>
      <c r="AK782" s="138">
        <f t="shared" si="3285"/>
        <v>0</v>
      </c>
      <c r="AL782" s="138">
        <f t="shared" si="3285"/>
        <v>0</v>
      </c>
      <c r="AM782" s="138">
        <f t="shared" si="3285"/>
        <v>0</v>
      </c>
      <c r="AN782" s="138">
        <f t="shared" si="3285"/>
        <v>0</v>
      </c>
      <c r="AO782" s="138">
        <f t="shared" si="3285"/>
        <v>0</v>
      </c>
      <c r="AP782" s="138">
        <f t="shared" si="3285"/>
        <v>0</v>
      </c>
      <c r="AQ782" s="138">
        <f t="shared" si="3285"/>
        <v>0</v>
      </c>
      <c r="AR782" s="138">
        <f t="shared" si="3285"/>
        <v>0</v>
      </c>
      <c r="AS782" s="138">
        <f t="shared" si="3285"/>
        <v>0</v>
      </c>
      <c r="AT782" s="138">
        <f t="shared" si="3285"/>
        <v>0</v>
      </c>
      <c r="AU782" s="138">
        <f t="shared" si="3285"/>
        <v>0</v>
      </c>
      <c r="AV782" s="138">
        <f t="shared" si="3285"/>
        <v>0</v>
      </c>
      <c r="AW782" s="148"/>
      <c r="AX782" s="171">
        <f>SUM(G782:AW782)</f>
        <v>16451.694915254237</v>
      </c>
    </row>
    <row r="783" spans="1:50" hidden="1" outlineLevel="1" x14ac:dyDescent="0.2">
      <c r="A783" s="99" t="str">
        <f ca="1">Language!A$946</f>
        <v>зачтенный НДС</v>
      </c>
      <c r="C783" s="124" t="str">
        <f t="shared" ca="1" si="3259"/>
        <v>тыс. руб.</v>
      </c>
      <c r="D783" s="66">
        <v>1</v>
      </c>
      <c r="F783" s="57" t="s">
        <v>1060</v>
      </c>
      <c r="G783" s="138">
        <f t="shared" ref="G783:AV783" si="3286">SUM(G$703)</f>
        <v>16451.69491525424</v>
      </c>
      <c r="H783" s="138">
        <f t="shared" si="3286"/>
        <v>0</v>
      </c>
      <c r="I783" s="138">
        <f t="shared" si="3286"/>
        <v>0</v>
      </c>
      <c r="J783" s="138">
        <f t="shared" si="3286"/>
        <v>0</v>
      </c>
      <c r="K783" s="138">
        <f t="shared" si="3286"/>
        <v>0</v>
      </c>
      <c r="L783" s="138">
        <f t="shared" si="3286"/>
        <v>0</v>
      </c>
      <c r="M783" s="138">
        <f t="shared" si="3286"/>
        <v>0</v>
      </c>
      <c r="N783" s="138">
        <f t="shared" si="3286"/>
        <v>0</v>
      </c>
      <c r="O783" s="138">
        <f t="shared" si="3286"/>
        <v>0</v>
      </c>
      <c r="P783" s="138">
        <f t="shared" si="3286"/>
        <v>0</v>
      </c>
      <c r="Q783" s="138">
        <f t="shared" si="3286"/>
        <v>0</v>
      </c>
      <c r="R783" s="138">
        <f t="shared" si="3286"/>
        <v>0</v>
      </c>
      <c r="S783" s="138">
        <f t="shared" si="3286"/>
        <v>0</v>
      </c>
      <c r="T783" s="138">
        <f t="shared" si="3286"/>
        <v>0</v>
      </c>
      <c r="U783" s="138">
        <f t="shared" si="3286"/>
        <v>0</v>
      </c>
      <c r="V783" s="138">
        <f t="shared" si="3286"/>
        <v>0</v>
      </c>
      <c r="W783" s="138">
        <f t="shared" si="3286"/>
        <v>0</v>
      </c>
      <c r="X783" s="138">
        <f t="shared" si="3286"/>
        <v>0</v>
      </c>
      <c r="Y783" s="138">
        <f t="shared" si="3286"/>
        <v>0</v>
      </c>
      <c r="Z783" s="138">
        <f t="shared" si="3286"/>
        <v>0</v>
      </c>
      <c r="AA783" s="138">
        <f t="shared" si="3286"/>
        <v>0</v>
      </c>
      <c r="AB783" s="138">
        <f t="shared" si="3286"/>
        <v>0</v>
      </c>
      <c r="AC783" s="138">
        <f t="shared" si="3286"/>
        <v>0</v>
      </c>
      <c r="AD783" s="138">
        <f t="shared" si="3286"/>
        <v>0</v>
      </c>
      <c r="AE783" s="138">
        <f t="shared" si="3286"/>
        <v>0</v>
      </c>
      <c r="AF783" s="138">
        <f t="shared" si="3286"/>
        <v>0</v>
      </c>
      <c r="AG783" s="138">
        <f t="shared" si="3286"/>
        <v>0</v>
      </c>
      <c r="AH783" s="138">
        <f t="shared" si="3286"/>
        <v>0</v>
      </c>
      <c r="AI783" s="138">
        <f t="shared" si="3286"/>
        <v>0</v>
      </c>
      <c r="AJ783" s="138">
        <f t="shared" si="3286"/>
        <v>0</v>
      </c>
      <c r="AK783" s="138">
        <f t="shared" si="3286"/>
        <v>0</v>
      </c>
      <c r="AL783" s="138">
        <f t="shared" si="3286"/>
        <v>0</v>
      </c>
      <c r="AM783" s="138">
        <f t="shared" si="3286"/>
        <v>0</v>
      </c>
      <c r="AN783" s="138">
        <f t="shared" si="3286"/>
        <v>0</v>
      </c>
      <c r="AO783" s="138">
        <f t="shared" si="3286"/>
        <v>0</v>
      </c>
      <c r="AP783" s="138">
        <f t="shared" si="3286"/>
        <v>0</v>
      </c>
      <c r="AQ783" s="138">
        <f t="shared" si="3286"/>
        <v>0</v>
      </c>
      <c r="AR783" s="138">
        <f t="shared" si="3286"/>
        <v>0</v>
      </c>
      <c r="AS783" s="138">
        <f t="shared" si="3286"/>
        <v>0</v>
      </c>
      <c r="AT783" s="138">
        <f t="shared" si="3286"/>
        <v>0</v>
      </c>
      <c r="AU783" s="138">
        <f t="shared" si="3286"/>
        <v>0</v>
      </c>
      <c r="AV783" s="138">
        <f t="shared" si="3286"/>
        <v>0</v>
      </c>
      <c r="AW783" s="148"/>
      <c r="AX783" s="171">
        <f>SUM(G783:AW783)</f>
        <v>16451.69491525424</v>
      </c>
    </row>
    <row r="784" spans="1:50" hidden="1" outlineLevel="1" x14ac:dyDescent="0.2">
      <c r="A784" s="99" t="str">
        <f ca="1">Language!A$947</f>
        <v>амортизация (налоговая)</v>
      </c>
      <c r="C784" s="124" t="str">
        <f t="shared" ca="1" si="3259"/>
        <v>тыс. руб.</v>
      </c>
      <c r="D784" s="66">
        <v>1</v>
      </c>
      <c r="F784" s="57" t="s">
        <v>1061</v>
      </c>
      <c r="G784" s="138">
        <f t="shared" ref="G784:AV784" ca="1" si="3287">SUM(G$704)</f>
        <v>761.6525423728815</v>
      </c>
      <c r="H784" s="138">
        <f t="shared" ca="1" si="3287"/>
        <v>761.6525423728815</v>
      </c>
      <c r="I784" s="138">
        <f t="shared" ca="1" si="3287"/>
        <v>761.6525423728815</v>
      </c>
      <c r="J784" s="138">
        <f t="shared" ca="1" si="3287"/>
        <v>761.6525423728815</v>
      </c>
      <c r="K784" s="138">
        <f t="shared" ca="1" si="3287"/>
        <v>761.6525423728815</v>
      </c>
      <c r="L784" s="138">
        <f t="shared" ca="1" si="3287"/>
        <v>761.6525423728815</v>
      </c>
      <c r="M784" s="138">
        <f t="shared" ca="1" si="3287"/>
        <v>761.6525423728815</v>
      </c>
      <c r="N784" s="138">
        <f t="shared" ca="1" si="3287"/>
        <v>761.6525423728815</v>
      </c>
      <c r="O784" s="138">
        <f t="shared" ca="1" si="3287"/>
        <v>761.6525423728815</v>
      </c>
      <c r="P784" s="138">
        <f t="shared" ca="1" si="3287"/>
        <v>761.6525423728815</v>
      </c>
      <c r="Q784" s="138">
        <f t="shared" ca="1" si="3287"/>
        <v>761.6525423728815</v>
      </c>
      <c r="R784" s="138">
        <f t="shared" ca="1" si="3287"/>
        <v>761.6525423728815</v>
      </c>
      <c r="S784" s="138">
        <f t="shared" ca="1" si="3287"/>
        <v>761.6525423728815</v>
      </c>
      <c r="T784" s="138">
        <f t="shared" ca="1" si="3287"/>
        <v>761.6525423728815</v>
      </c>
      <c r="U784" s="138">
        <f t="shared" ca="1" si="3287"/>
        <v>761.6525423728815</v>
      </c>
      <c r="V784" s="138">
        <f t="shared" ca="1" si="3287"/>
        <v>761.6525423728815</v>
      </c>
      <c r="W784" s="138">
        <f t="shared" ca="1" si="3287"/>
        <v>761.6525423728815</v>
      </c>
      <c r="X784" s="138">
        <f t="shared" ca="1" si="3287"/>
        <v>761.6525423728815</v>
      </c>
      <c r="Y784" s="138">
        <f t="shared" ca="1" si="3287"/>
        <v>761.6525423728815</v>
      </c>
      <c r="Z784" s="138">
        <f t="shared" ca="1" si="3287"/>
        <v>761.6525423728815</v>
      </c>
      <c r="AA784" s="138">
        <f t="shared" ca="1" si="3287"/>
        <v>761.6525423728815</v>
      </c>
      <c r="AB784" s="138">
        <f t="shared" ca="1" si="3287"/>
        <v>761.6525423728815</v>
      </c>
      <c r="AC784" s="138">
        <f t="shared" ca="1" si="3287"/>
        <v>761.6525423728815</v>
      </c>
      <c r="AD784" s="138">
        <f t="shared" ca="1" si="3287"/>
        <v>761.6525423728815</v>
      </c>
      <c r="AE784" s="138">
        <f t="shared" ca="1" si="3287"/>
        <v>761.6525423728815</v>
      </c>
      <c r="AF784" s="138">
        <f t="shared" ca="1" si="3287"/>
        <v>761.6525423728815</v>
      </c>
      <c r="AG784" s="138">
        <f t="shared" ca="1" si="3287"/>
        <v>761.6525423728815</v>
      </c>
      <c r="AH784" s="138">
        <f t="shared" ca="1" si="3287"/>
        <v>761.6525423728815</v>
      </c>
      <c r="AI784" s="138">
        <f t="shared" ca="1" si="3287"/>
        <v>761.6525423728815</v>
      </c>
      <c r="AJ784" s="138">
        <f t="shared" ca="1" si="3287"/>
        <v>761.6525423728815</v>
      </c>
      <c r="AK784" s="138">
        <f t="shared" ca="1" si="3287"/>
        <v>761.6525423728815</v>
      </c>
      <c r="AL784" s="138">
        <f t="shared" ca="1" si="3287"/>
        <v>761.6525423728815</v>
      </c>
      <c r="AM784" s="138">
        <f t="shared" ca="1" si="3287"/>
        <v>761.6525423728815</v>
      </c>
      <c r="AN784" s="138">
        <f t="shared" ca="1" si="3287"/>
        <v>761.6525423728815</v>
      </c>
      <c r="AO784" s="138">
        <f t="shared" ca="1" si="3287"/>
        <v>761.6525423728815</v>
      </c>
      <c r="AP784" s="138">
        <f t="shared" ca="1" si="3287"/>
        <v>761.6525423728815</v>
      </c>
      <c r="AQ784" s="138">
        <f t="shared" ca="1" si="3287"/>
        <v>761.6525423728815</v>
      </c>
      <c r="AR784" s="138">
        <f t="shared" ca="1" si="3287"/>
        <v>761.6525423728815</v>
      </c>
      <c r="AS784" s="138">
        <f t="shared" ca="1" si="3287"/>
        <v>761.6525423728815</v>
      </c>
      <c r="AT784" s="138">
        <f t="shared" ca="1" si="3287"/>
        <v>761.6525423728815</v>
      </c>
      <c r="AU784" s="138">
        <f t="shared" ca="1" si="3287"/>
        <v>761.6525423728815</v>
      </c>
      <c r="AV784" s="138">
        <f t="shared" ca="1" si="3287"/>
        <v>761.6525423728815</v>
      </c>
      <c r="AW784" s="148"/>
      <c r="AX784" s="171">
        <f ca="1">SUM(G784:AW784)</f>
        <v>31989.406779661029</v>
      </c>
    </row>
    <row r="785" spans="1:50" hidden="1" outlineLevel="1" x14ac:dyDescent="0.2">
      <c r="A785" s="99" t="str">
        <f ca="1">Language!A$948</f>
        <v>балансовая стоимость (налоговая)</v>
      </c>
      <c r="C785" s="124" t="str">
        <f t="shared" ca="1" si="3259"/>
        <v>тыс. руб.</v>
      </c>
      <c r="D785" s="66">
        <v>1</v>
      </c>
      <c r="F785" s="57" t="s">
        <v>1062</v>
      </c>
      <c r="G785" s="138">
        <f t="shared" ref="G785:AV785" ca="1" si="3288">SUM(G$705)</f>
        <v>90636.652542372904</v>
      </c>
      <c r="H785" s="138">
        <f t="shared" ca="1" si="3288"/>
        <v>89875.000000000015</v>
      </c>
      <c r="I785" s="138">
        <f t="shared" ca="1" si="3288"/>
        <v>89113.34745762714</v>
      </c>
      <c r="J785" s="138">
        <f t="shared" ca="1" si="3288"/>
        <v>88351.694915254251</v>
      </c>
      <c r="K785" s="138">
        <f t="shared" ca="1" si="3288"/>
        <v>87590.042372881377</v>
      </c>
      <c r="L785" s="138">
        <f t="shared" ca="1" si="3288"/>
        <v>86828.389830508488</v>
      </c>
      <c r="M785" s="138">
        <f t="shared" ca="1" si="3288"/>
        <v>86066.737288135613</v>
      </c>
      <c r="N785" s="138">
        <f t="shared" ca="1" si="3288"/>
        <v>85305.084745762724</v>
      </c>
      <c r="O785" s="138">
        <f t="shared" ca="1" si="3288"/>
        <v>84543.43220338985</v>
      </c>
      <c r="P785" s="138">
        <f t="shared" ca="1" si="3288"/>
        <v>83781.779661016961</v>
      </c>
      <c r="Q785" s="138">
        <f t="shared" ca="1" si="3288"/>
        <v>83020.127118644086</v>
      </c>
      <c r="R785" s="138">
        <f t="shared" ca="1" si="3288"/>
        <v>82258.474576271197</v>
      </c>
      <c r="S785" s="138">
        <f t="shared" ca="1" si="3288"/>
        <v>81496.822033898323</v>
      </c>
      <c r="T785" s="138">
        <f t="shared" ca="1" si="3288"/>
        <v>80735.169491525434</v>
      </c>
      <c r="U785" s="138">
        <f t="shared" ca="1" si="3288"/>
        <v>79973.516949152559</v>
      </c>
      <c r="V785" s="138">
        <f t="shared" ca="1" si="3288"/>
        <v>79211.86440677967</v>
      </c>
      <c r="W785" s="138">
        <f t="shared" ca="1" si="3288"/>
        <v>78450.211864406796</v>
      </c>
      <c r="X785" s="138">
        <f t="shared" ca="1" si="3288"/>
        <v>77688.559322033907</v>
      </c>
      <c r="Y785" s="138">
        <f t="shared" ca="1" si="3288"/>
        <v>76926.906779661032</v>
      </c>
      <c r="Z785" s="138">
        <f t="shared" ca="1" si="3288"/>
        <v>76165.254237288143</v>
      </c>
      <c r="AA785" s="138">
        <f t="shared" ca="1" si="3288"/>
        <v>75403.601694915269</v>
      </c>
      <c r="AB785" s="138">
        <f t="shared" ca="1" si="3288"/>
        <v>74641.94915254238</v>
      </c>
      <c r="AC785" s="138">
        <f t="shared" ca="1" si="3288"/>
        <v>73880.296610169506</v>
      </c>
      <c r="AD785" s="138">
        <f t="shared" ca="1" si="3288"/>
        <v>73118.644067796617</v>
      </c>
      <c r="AE785" s="138">
        <f t="shared" ca="1" si="3288"/>
        <v>72356.991525423742</v>
      </c>
      <c r="AF785" s="138">
        <f t="shared" ca="1" si="3288"/>
        <v>71595.338983050853</v>
      </c>
      <c r="AG785" s="138">
        <f t="shared" ca="1" si="3288"/>
        <v>70833.686440677979</v>
      </c>
      <c r="AH785" s="138">
        <f t="shared" ca="1" si="3288"/>
        <v>70072.03389830509</v>
      </c>
      <c r="AI785" s="138">
        <f t="shared" ca="1" si="3288"/>
        <v>69310.381355932215</v>
      </c>
      <c r="AJ785" s="138">
        <f t="shared" ca="1" si="3288"/>
        <v>68548.728813559326</v>
      </c>
      <c r="AK785" s="138">
        <f t="shared" ca="1" si="3288"/>
        <v>67787.076271186452</v>
      </c>
      <c r="AL785" s="138">
        <f t="shared" ca="1" si="3288"/>
        <v>67025.423728813563</v>
      </c>
      <c r="AM785" s="138">
        <f t="shared" ca="1" si="3288"/>
        <v>66263.771186440688</v>
      </c>
      <c r="AN785" s="138">
        <f t="shared" ca="1" si="3288"/>
        <v>65502.118644067799</v>
      </c>
      <c r="AO785" s="138">
        <f t="shared" ca="1" si="3288"/>
        <v>64740.466101694925</v>
      </c>
      <c r="AP785" s="138">
        <f t="shared" ca="1" si="3288"/>
        <v>63978.813559322036</v>
      </c>
      <c r="AQ785" s="138">
        <f t="shared" ca="1" si="3288"/>
        <v>63217.161016949161</v>
      </c>
      <c r="AR785" s="138">
        <f t="shared" ca="1" si="3288"/>
        <v>62455.508474576272</v>
      </c>
      <c r="AS785" s="138">
        <f t="shared" ca="1" si="3288"/>
        <v>61693.855932203398</v>
      </c>
      <c r="AT785" s="138">
        <f t="shared" ca="1" si="3288"/>
        <v>60932.203389830509</v>
      </c>
      <c r="AU785" s="138">
        <f t="shared" ca="1" si="3288"/>
        <v>60170.550847457635</v>
      </c>
      <c r="AV785" s="138">
        <f t="shared" ca="1" si="3288"/>
        <v>59408.898305084746</v>
      </c>
      <c r="AW785" s="148"/>
      <c r="AX785" s="171"/>
    </row>
    <row r="786" spans="1:50" hidden="1" outlineLevel="1" x14ac:dyDescent="0.2">
      <c r="A786" s="99" t="str">
        <f ca="1">Language!A$949</f>
        <v>выручка от продажи актива</v>
      </c>
      <c r="C786" s="124" t="str">
        <f t="shared" ca="1" si="3259"/>
        <v>тыс. руб.</v>
      </c>
      <c r="D786" s="66">
        <v>1</v>
      </c>
      <c r="F786" s="57" t="s">
        <v>1063</v>
      </c>
      <c r="G786" s="138">
        <f t="shared" ref="G786:AV786" si="3289">SUM(G$693)</f>
        <v>0</v>
      </c>
      <c r="H786" s="138">
        <f t="shared" si="3289"/>
        <v>0</v>
      </c>
      <c r="I786" s="138">
        <f t="shared" si="3289"/>
        <v>0</v>
      </c>
      <c r="J786" s="138">
        <f t="shared" si="3289"/>
        <v>0</v>
      </c>
      <c r="K786" s="138">
        <f t="shared" si="3289"/>
        <v>0</v>
      </c>
      <c r="L786" s="138">
        <f t="shared" si="3289"/>
        <v>0</v>
      </c>
      <c r="M786" s="138">
        <f t="shared" si="3289"/>
        <v>0</v>
      </c>
      <c r="N786" s="138">
        <f t="shared" si="3289"/>
        <v>0</v>
      </c>
      <c r="O786" s="138">
        <f t="shared" si="3289"/>
        <v>0</v>
      </c>
      <c r="P786" s="138">
        <f t="shared" si="3289"/>
        <v>0</v>
      </c>
      <c r="Q786" s="138">
        <f t="shared" si="3289"/>
        <v>0</v>
      </c>
      <c r="R786" s="138">
        <f t="shared" si="3289"/>
        <v>0</v>
      </c>
      <c r="S786" s="138">
        <f t="shared" si="3289"/>
        <v>0</v>
      </c>
      <c r="T786" s="138">
        <f t="shared" si="3289"/>
        <v>0</v>
      </c>
      <c r="U786" s="138">
        <f t="shared" si="3289"/>
        <v>0</v>
      </c>
      <c r="V786" s="138">
        <f t="shared" si="3289"/>
        <v>0</v>
      </c>
      <c r="W786" s="138">
        <f t="shared" si="3289"/>
        <v>0</v>
      </c>
      <c r="X786" s="138">
        <f t="shared" si="3289"/>
        <v>0</v>
      </c>
      <c r="Y786" s="138">
        <f t="shared" si="3289"/>
        <v>0</v>
      </c>
      <c r="Z786" s="138">
        <f t="shared" si="3289"/>
        <v>0</v>
      </c>
      <c r="AA786" s="138">
        <f t="shared" si="3289"/>
        <v>0</v>
      </c>
      <c r="AB786" s="138">
        <f t="shared" si="3289"/>
        <v>0</v>
      </c>
      <c r="AC786" s="138">
        <f t="shared" si="3289"/>
        <v>0</v>
      </c>
      <c r="AD786" s="138">
        <f t="shared" si="3289"/>
        <v>0</v>
      </c>
      <c r="AE786" s="138">
        <f t="shared" si="3289"/>
        <v>0</v>
      </c>
      <c r="AF786" s="138">
        <f t="shared" si="3289"/>
        <v>0</v>
      </c>
      <c r="AG786" s="138">
        <f t="shared" si="3289"/>
        <v>0</v>
      </c>
      <c r="AH786" s="138">
        <f t="shared" si="3289"/>
        <v>0</v>
      </c>
      <c r="AI786" s="138">
        <f t="shared" si="3289"/>
        <v>0</v>
      </c>
      <c r="AJ786" s="138">
        <f t="shared" si="3289"/>
        <v>0</v>
      </c>
      <c r="AK786" s="138">
        <f t="shared" si="3289"/>
        <v>0</v>
      </c>
      <c r="AL786" s="138">
        <f t="shared" si="3289"/>
        <v>0</v>
      </c>
      <c r="AM786" s="138">
        <f t="shared" si="3289"/>
        <v>0</v>
      </c>
      <c r="AN786" s="138">
        <f t="shared" si="3289"/>
        <v>0</v>
      </c>
      <c r="AO786" s="138">
        <f t="shared" si="3289"/>
        <v>0</v>
      </c>
      <c r="AP786" s="138">
        <f t="shared" si="3289"/>
        <v>0</v>
      </c>
      <c r="AQ786" s="138">
        <f t="shared" si="3289"/>
        <v>0</v>
      </c>
      <c r="AR786" s="138">
        <f t="shared" si="3289"/>
        <v>0</v>
      </c>
      <c r="AS786" s="138">
        <f t="shared" si="3289"/>
        <v>0</v>
      </c>
      <c r="AT786" s="138">
        <f t="shared" si="3289"/>
        <v>0</v>
      </c>
      <c r="AU786" s="138">
        <f t="shared" si="3289"/>
        <v>0</v>
      </c>
      <c r="AV786" s="138">
        <f t="shared" si="3289"/>
        <v>0</v>
      </c>
      <c r="AW786" s="148"/>
      <c r="AX786" s="171">
        <f t="shared" ref="AX786:AX792" si="3290">SUM(G786:AW786)</f>
        <v>0</v>
      </c>
    </row>
    <row r="787" spans="1:50" hidden="1" outlineLevel="1" x14ac:dyDescent="0.2">
      <c r="A787" s="99" t="str">
        <f ca="1">Language!A$950</f>
        <v>прибыль/убыток от продажи актива (бухгалтерская)</v>
      </c>
      <c r="C787" s="124" t="str">
        <f t="shared" ca="1" si="3259"/>
        <v>тыс. руб.</v>
      </c>
      <c r="D787" s="66">
        <v>1</v>
      </c>
      <c r="F787" s="57" t="s">
        <v>1064</v>
      </c>
      <c r="G787" s="138">
        <f t="shared" ref="G787:AV787" si="3291">SUM(G$706)</f>
        <v>0</v>
      </c>
      <c r="H787" s="138">
        <f t="shared" si="3291"/>
        <v>0</v>
      </c>
      <c r="I787" s="138">
        <f t="shared" si="3291"/>
        <v>0</v>
      </c>
      <c r="J787" s="138">
        <f t="shared" si="3291"/>
        <v>0</v>
      </c>
      <c r="K787" s="138">
        <f t="shared" si="3291"/>
        <v>0</v>
      </c>
      <c r="L787" s="138">
        <f t="shared" si="3291"/>
        <v>0</v>
      </c>
      <c r="M787" s="138">
        <f t="shared" si="3291"/>
        <v>0</v>
      </c>
      <c r="N787" s="138">
        <f t="shared" si="3291"/>
        <v>0</v>
      </c>
      <c r="O787" s="138">
        <f t="shared" si="3291"/>
        <v>0</v>
      </c>
      <c r="P787" s="138">
        <f t="shared" si="3291"/>
        <v>0</v>
      </c>
      <c r="Q787" s="138">
        <f t="shared" si="3291"/>
        <v>0</v>
      </c>
      <c r="R787" s="138">
        <f t="shared" si="3291"/>
        <v>0</v>
      </c>
      <c r="S787" s="138">
        <f t="shared" si="3291"/>
        <v>0</v>
      </c>
      <c r="T787" s="138">
        <f t="shared" si="3291"/>
        <v>0</v>
      </c>
      <c r="U787" s="138">
        <f t="shared" si="3291"/>
        <v>0</v>
      </c>
      <c r="V787" s="138">
        <f t="shared" si="3291"/>
        <v>0</v>
      </c>
      <c r="W787" s="138">
        <f t="shared" si="3291"/>
        <v>0</v>
      </c>
      <c r="X787" s="138">
        <f t="shared" si="3291"/>
        <v>0</v>
      </c>
      <c r="Y787" s="138">
        <f t="shared" si="3291"/>
        <v>0</v>
      </c>
      <c r="Z787" s="138">
        <f t="shared" si="3291"/>
        <v>0</v>
      </c>
      <c r="AA787" s="138">
        <f t="shared" si="3291"/>
        <v>0</v>
      </c>
      <c r="AB787" s="138">
        <f t="shared" si="3291"/>
        <v>0</v>
      </c>
      <c r="AC787" s="138">
        <f t="shared" si="3291"/>
        <v>0</v>
      </c>
      <c r="AD787" s="138">
        <f t="shared" si="3291"/>
        <v>0</v>
      </c>
      <c r="AE787" s="138">
        <f t="shared" si="3291"/>
        <v>0</v>
      </c>
      <c r="AF787" s="138">
        <f t="shared" si="3291"/>
        <v>0</v>
      </c>
      <c r="AG787" s="138">
        <f t="shared" si="3291"/>
        <v>0</v>
      </c>
      <c r="AH787" s="138">
        <f t="shared" si="3291"/>
        <v>0</v>
      </c>
      <c r="AI787" s="138">
        <f t="shared" si="3291"/>
        <v>0</v>
      </c>
      <c r="AJ787" s="138">
        <f t="shared" si="3291"/>
        <v>0</v>
      </c>
      <c r="AK787" s="138">
        <f t="shared" si="3291"/>
        <v>0</v>
      </c>
      <c r="AL787" s="138">
        <f t="shared" si="3291"/>
        <v>0</v>
      </c>
      <c r="AM787" s="138">
        <f t="shared" si="3291"/>
        <v>0</v>
      </c>
      <c r="AN787" s="138">
        <f t="shared" si="3291"/>
        <v>0</v>
      </c>
      <c r="AO787" s="138">
        <f t="shared" si="3291"/>
        <v>0</v>
      </c>
      <c r="AP787" s="138">
        <f t="shared" si="3291"/>
        <v>0</v>
      </c>
      <c r="AQ787" s="138">
        <f t="shared" si="3291"/>
        <v>0</v>
      </c>
      <c r="AR787" s="138">
        <f t="shared" si="3291"/>
        <v>0</v>
      </c>
      <c r="AS787" s="138">
        <f t="shared" si="3291"/>
        <v>0</v>
      </c>
      <c r="AT787" s="138">
        <f t="shared" si="3291"/>
        <v>0</v>
      </c>
      <c r="AU787" s="138">
        <f t="shared" si="3291"/>
        <v>0</v>
      </c>
      <c r="AV787" s="138">
        <f t="shared" si="3291"/>
        <v>0</v>
      </c>
      <c r="AW787" s="148"/>
      <c r="AX787" s="171">
        <f t="shared" si="3290"/>
        <v>0</v>
      </c>
    </row>
    <row r="788" spans="1:50" hidden="1" outlineLevel="1" x14ac:dyDescent="0.2">
      <c r="A788" s="99" t="str">
        <f ca="1">Language!A$951</f>
        <v>прибыль/убыток от продажи актива (налоговая)</v>
      </c>
      <c r="C788" s="124" t="str">
        <f t="shared" ca="1" si="3259"/>
        <v>тыс. руб.</v>
      </c>
      <c r="D788" s="66">
        <v>1</v>
      </c>
      <c r="F788" s="57" t="s">
        <v>1065</v>
      </c>
      <c r="G788" s="138">
        <f t="shared" ref="G788:AV788" si="3292">SUM(G$707)</f>
        <v>0</v>
      </c>
      <c r="H788" s="138">
        <f t="shared" si="3292"/>
        <v>0</v>
      </c>
      <c r="I788" s="138">
        <f t="shared" si="3292"/>
        <v>0</v>
      </c>
      <c r="J788" s="138">
        <f t="shared" si="3292"/>
        <v>0</v>
      </c>
      <c r="K788" s="138">
        <f t="shared" si="3292"/>
        <v>0</v>
      </c>
      <c r="L788" s="138">
        <f t="shared" si="3292"/>
        <v>0</v>
      </c>
      <c r="M788" s="138">
        <f t="shared" si="3292"/>
        <v>0</v>
      </c>
      <c r="N788" s="138">
        <f t="shared" si="3292"/>
        <v>0</v>
      </c>
      <c r="O788" s="138">
        <f t="shared" si="3292"/>
        <v>0</v>
      </c>
      <c r="P788" s="138">
        <f t="shared" si="3292"/>
        <v>0</v>
      </c>
      <c r="Q788" s="138">
        <f t="shared" si="3292"/>
        <v>0</v>
      </c>
      <c r="R788" s="138">
        <f t="shared" si="3292"/>
        <v>0</v>
      </c>
      <c r="S788" s="138">
        <f t="shared" si="3292"/>
        <v>0</v>
      </c>
      <c r="T788" s="138">
        <f t="shared" si="3292"/>
        <v>0</v>
      </c>
      <c r="U788" s="138">
        <f t="shared" si="3292"/>
        <v>0</v>
      </c>
      <c r="V788" s="138">
        <f t="shared" si="3292"/>
        <v>0</v>
      </c>
      <c r="W788" s="138">
        <f t="shared" si="3292"/>
        <v>0</v>
      </c>
      <c r="X788" s="138">
        <f t="shared" si="3292"/>
        <v>0</v>
      </c>
      <c r="Y788" s="138">
        <f t="shared" si="3292"/>
        <v>0</v>
      </c>
      <c r="Z788" s="138">
        <f t="shared" si="3292"/>
        <v>0</v>
      </c>
      <c r="AA788" s="138">
        <f t="shared" si="3292"/>
        <v>0</v>
      </c>
      <c r="AB788" s="138">
        <f t="shared" si="3292"/>
        <v>0</v>
      </c>
      <c r="AC788" s="138">
        <f t="shared" si="3292"/>
        <v>0</v>
      </c>
      <c r="AD788" s="138">
        <f t="shared" si="3292"/>
        <v>0</v>
      </c>
      <c r="AE788" s="138">
        <f t="shared" si="3292"/>
        <v>0</v>
      </c>
      <c r="AF788" s="138">
        <f t="shared" si="3292"/>
        <v>0</v>
      </c>
      <c r="AG788" s="138">
        <f t="shared" si="3292"/>
        <v>0</v>
      </c>
      <c r="AH788" s="138">
        <f t="shared" si="3292"/>
        <v>0</v>
      </c>
      <c r="AI788" s="138">
        <f t="shared" si="3292"/>
        <v>0</v>
      </c>
      <c r="AJ788" s="138">
        <f t="shared" si="3292"/>
        <v>0</v>
      </c>
      <c r="AK788" s="138">
        <f t="shared" si="3292"/>
        <v>0</v>
      </c>
      <c r="AL788" s="138">
        <f t="shared" si="3292"/>
        <v>0</v>
      </c>
      <c r="AM788" s="138">
        <f t="shared" si="3292"/>
        <v>0</v>
      </c>
      <c r="AN788" s="138">
        <f t="shared" si="3292"/>
        <v>0</v>
      </c>
      <c r="AO788" s="138">
        <f t="shared" si="3292"/>
        <v>0</v>
      </c>
      <c r="AP788" s="138">
        <f t="shared" si="3292"/>
        <v>0</v>
      </c>
      <c r="AQ788" s="138">
        <f t="shared" si="3292"/>
        <v>0</v>
      </c>
      <c r="AR788" s="138">
        <f t="shared" si="3292"/>
        <v>0</v>
      </c>
      <c r="AS788" s="138">
        <f t="shared" si="3292"/>
        <v>0</v>
      </c>
      <c r="AT788" s="138">
        <f t="shared" si="3292"/>
        <v>0</v>
      </c>
      <c r="AU788" s="138">
        <f t="shared" si="3292"/>
        <v>0</v>
      </c>
      <c r="AV788" s="138">
        <f t="shared" si="3292"/>
        <v>0</v>
      </c>
      <c r="AW788" s="148"/>
      <c r="AX788" s="171">
        <f t="shared" si="3290"/>
        <v>0</v>
      </c>
    </row>
    <row r="789" spans="1:50" hidden="1" outlineLevel="1" x14ac:dyDescent="0.2">
      <c r="A789" s="99" t="str">
        <f ca="1">Language!A$952</f>
        <v>НДС к выручке от продажи актива</v>
      </c>
      <c r="C789" s="124" t="str">
        <f t="shared" ca="1" si="3259"/>
        <v>тыс. руб.</v>
      </c>
      <c r="D789" s="66">
        <v>1</v>
      </c>
      <c r="F789" s="57" t="s">
        <v>1066</v>
      </c>
      <c r="G789" s="138">
        <f t="shared" ref="G789:AV789" si="3293">SUM(G$708)</f>
        <v>0</v>
      </c>
      <c r="H789" s="138">
        <f t="shared" si="3293"/>
        <v>0</v>
      </c>
      <c r="I789" s="138">
        <f t="shared" si="3293"/>
        <v>0</v>
      </c>
      <c r="J789" s="138">
        <f t="shared" si="3293"/>
        <v>0</v>
      </c>
      <c r="K789" s="138">
        <f t="shared" si="3293"/>
        <v>0</v>
      </c>
      <c r="L789" s="138">
        <f t="shared" si="3293"/>
        <v>0</v>
      </c>
      <c r="M789" s="138">
        <f t="shared" si="3293"/>
        <v>0</v>
      </c>
      <c r="N789" s="138">
        <f t="shared" si="3293"/>
        <v>0</v>
      </c>
      <c r="O789" s="138">
        <f t="shared" si="3293"/>
        <v>0</v>
      </c>
      <c r="P789" s="138">
        <f t="shared" si="3293"/>
        <v>0</v>
      </c>
      <c r="Q789" s="138">
        <f t="shared" si="3293"/>
        <v>0</v>
      </c>
      <c r="R789" s="138">
        <f t="shared" si="3293"/>
        <v>0</v>
      </c>
      <c r="S789" s="138">
        <f t="shared" si="3293"/>
        <v>0</v>
      </c>
      <c r="T789" s="138">
        <f t="shared" si="3293"/>
        <v>0</v>
      </c>
      <c r="U789" s="138">
        <f t="shared" si="3293"/>
        <v>0</v>
      </c>
      <c r="V789" s="138">
        <f t="shared" si="3293"/>
        <v>0</v>
      </c>
      <c r="W789" s="138">
        <f t="shared" si="3293"/>
        <v>0</v>
      </c>
      <c r="X789" s="138">
        <f t="shared" si="3293"/>
        <v>0</v>
      </c>
      <c r="Y789" s="138">
        <f t="shared" si="3293"/>
        <v>0</v>
      </c>
      <c r="Z789" s="138">
        <f t="shared" si="3293"/>
        <v>0</v>
      </c>
      <c r="AA789" s="138">
        <f t="shared" si="3293"/>
        <v>0</v>
      </c>
      <c r="AB789" s="138">
        <f t="shared" si="3293"/>
        <v>0</v>
      </c>
      <c r="AC789" s="138">
        <f t="shared" si="3293"/>
        <v>0</v>
      </c>
      <c r="AD789" s="138">
        <f t="shared" si="3293"/>
        <v>0</v>
      </c>
      <c r="AE789" s="138">
        <f t="shared" si="3293"/>
        <v>0</v>
      </c>
      <c r="AF789" s="138">
        <f t="shared" si="3293"/>
        <v>0</v>
      </c>
      <c r="AG789" s="138">
        <f t="shared" si="3293"/>
        <v>0</v>
      </c>
      <c r="AH789" s="138">
        <f t="shared" si="3293"/>
        <v>0</v>
      </c>
      <c r="AI789" s="138">
        <f t="shared" si="3293"/>
        <v>0</v>
      </c>
      <c r="AJ789" s="138">
        <f t="shared" si="3293"/>
        <v>0</v>
      </c>
      <c r="AK789" s="138">
        <f t="shared" si="3293"/>
        <v>0</v>
      </c>
      <c r="AL789" s="138">
        <f t="shared" si="3293"/>
        <v>0</v>
      </c>
      <c r="AM789" s="138">
        <f t="shared" si="3293"/>
        <v>0</v>
      </c>
      <c r="AN789" s="138">
        <f t="shared" si="3293"/>
        <v>0</v>
      </c>
      <c r="AO789" s="138">
        <f t="shared" si="3293"/>
        <v>0</v>
      </c>
      <c r="AP789" s="138">
        <f t="shared" si="3293"/>
        <v>0</v>
      </c>
      <c r="AQ789" s="138">
        <f t="shared" si="3293"/>
        <v>0</v>
      </c>
      <c r="AR789" s="138">
        <f t="shared" si="3293"/>
        <v>0</v>
      </c>
      <c r="AS789" s="138">
        <f t="shared" si="3293"/>
        <v>0</v>
      </c>
      <c r="AT789" s="138">
        <f t="shared" si="3293"/>
        <v>0</v>
      </c>
      <c r="AU789" s="138">
        <f t="shared" si="3293"/>
        <v>0</v>
      </c>
      <c r="AV789" s="138">
        <f t="shared" si="3293"/>
        <v>0</v>
      </c>
      <c r="AW789" s="148"/>
      <c r="AX789" s="171">
        <f t="shared" si="3290"/>
        <v>0</v>
      </c>
    </row>
    <row r="790" spans="1:50" collapsed="1" x14ac:dyDescent="0.2">
      <c r="A790" s="65" t="str">
        <f ca="1">Language!A$953</f>
        <v>Итого: Оборудование, с НДС и пошлинами</v>
      </c>
      <c r="C790" s="124" t="str">
        <f t="shared" ca="1" si="3259"/>
        <v>тыс. руб.</v>
      </c>
      <c r="D790" s="66">
        <v>1</v>
      </c>
      <c r="F790" s="57" t="s">
        <v>753</v>
      </c>
      <c r="G790" s="138">
        <f t="shared" ref="G790:K790" si="3294">G791+G792+G797</f>
        <v>62200</v>
      </c>
      <c r="H790" s="138">
        <f t="shared" si="3294"/>
        <v>97760.000000000015</v>
      </c>
      <c r="I790" s="138">
        <f t="shared" si="3294"/>
        <v>72760</v>
      </c>
      <c r="J790" s="138">
        <f t="shared" si="3294"/>
        <v>61076</v>
      </c>
      <c r="K790" s="138">
        <f t="shared" si="3294"/>
        <v>0</v>
      </c>
      <c r="L790" s="138">
        <f t="shared" ref="L790:M790" si="3295">L791+L792+L797</f>
        <v>0</v>
      </c>
      <c r="M790" s="138">
        <f t="shared" si="3295"/>
        <v>0</v>
      </c>
      <c r="N790" s="138">
        <f t="shared" ref="N790:O790" si="3296">N791+N792+N797</f>
        <v>0</v>
      </c>
      <c r="O790" s="138">
        <f t="shared" si="3296"/>
        <v>0</v>
      </c>
      <c r="P790" s="138">
        <f t="shared" ref="P790:Q790" si="3297">P791+P792+P797</f>
        <v>0</v>
      </c>
      <c r="Q790" s="138">
        <f t="shared" si="3297"/>
        <v>0</v>
      </c>
      <c r="R790" s="138">
        <f t="shared" ref="R790:S790" si="3298">R791+R792+R797</f>
        <v>0</v>
      </c>
      <c r="S790" s="138">
        <f t="shared" si="3298"/>
        <v>0</v>
      </c>
      <c r="T790" s="138">
        <f t="shared" ref="T790:U790" si="3299">T791+T792+T797</f>
        <v>0</v>
      </c>
      <c r="U790" s="138">
        <f t="shared" si="3299"/>
        <v>0</v>
      </c>
      <c r="V790" s="138">
        <f t="shared" ref="V790:W790" si="3300">V791+V792+V797</f>
        <v>0</v>
      </c>
      <c r="W790" s="138">
        <f t="shared" si="3300"/>
        <v>0</v>
      </c>
      <c r="X790" s="138">
        <f t="shared" ref="X790:Y790" si="3301">X791+X792+X797</f>
        <v>0</v>
      </c>
      <c r="Y790" s="138">
        <f t="shared" si="3301"/>
        <v>0</v>
      </c>
      <c r="Z790" s="138">
        <f t="shared" ref="Z790:AA790" si="3302">Z791+Z792+Z797</f>
        <v>0</v>
      </c>
      <c r="AA790" s="138">
        <f t="shared" si="3302"/>
        <v>0</v>
      </c>
      <c r="AB790" s="138">
        <f t="shared" ref="AB790:AC790" si="3303">AB791+AB792+AB797</f>
        <v>0</v>
      </c>
      <c r="AC790" s="138">
        <f t="shared" si="3303"/>
        <v>0</v>
      </c>
      <c r="AD790" s="138">
        <f t="shared" ref="AD790:AE790" si="3304">AD791+AD792+AD797</f>
        <v>0</v>
      </c>
      <c r="AE790" s="138">
        <f t="shared" si="3304"/>
        <v>0</v>
      </c>
      <c r="AF790" s="138">
        <f t="shared" ref="AF790:AG790" si="3305">AF791+AF792+AF797</f>
        <v>0</v>
      </c>
      <c r="AG790" s="138">
        <f t="shared" si="3305"/>
        <v>0</v>
      </c>
      <c r="AH790" s="138">
        <f t="shared" ref="AH790:AI790" si="3306">AH791+AH792+AH797</f>
        <v>0</v>
      </c>
      <c r="AI790" s="138">
        <f t="shared" si="3306"/>
        <v>0</v>
      </c>
      <c r="AJ790" s="138">
        <f t="shared" ref="AJ790:AK790" si="3307">AJ791+AJ792+AJ797</f>
        <v>0</v>
      </c>
      <c r="AK790" s="138">
        <f t="shared" si="3307"/>
        <v>0</v>
      </c>
      <c r="AL790" s="138">
        <f t="shared" ref="AL790:AM790" si="3308">AL791+AL792+AL797</f>
        <v>0</v>
      </c>
      <c r="AM790" s="138">
        <f t="shared" si="3308"/>
        <v>0</v>
      </c>
      <c r="AN790" s="138">
        <f t="shared" ref="AN790:AO790" si="3309">AN791+AN792+AN797</f>
        <v>0</v>
      </c>
      <c r="AO790" s="138">
        <f t="shared" si="3309"/>
        <v>0</v>
      </c>
      <c r="AP790" s="138">
        <f t="shared" ref="AP790:AQ790" si="3310">AP791+AP792+AP797</f>
        <v>0</v>
      </c>
      <c r="AQ790" s="138">
        <f t="shared" si="3310"/>
        <v>0</v>
      </c>
      <c r="AR790" s="138">
        <f t="shared" ref="AR790:AS790" si="3311">AR791+AR792+AR797</f>
        <v>0</v>
      </c>
      <c r="AS790" s="138">
        <f t="shared" si="3311"/>
        <v>0</v>
      </c>
      <c r="AT790" s="138">
        <f t="shared" ref="AT790:AU790" si="3312">AT791+AT792+AT797</f>
        <v>0</v>
      </c>
      <c r="AU790" s="138">
        <f t="shared" si="3312"/>
        <v>0</v>
      </c>
      <c r="AV790" s="138">
        <f t="shared" ref="AV790" si="3313">AV791+AV792+AV797</f>
        <v>0</v>
      </c>
      <c r="AW790" s="148"/>
      <c r="AX790" s="171">
        <f t="shared" si="3290"/>
        <v>293796</v>
      </c>
    </row>
    <row r="791" spans="1:50" hidden="1" outlineLevel="1" x14ac:dyDescent="0.2">
      <c r="A791" s="99" t="str">
        <f ca="1">Language!A$954</f>
        <v>график оплаты (без НДС)</v>
      </c>
      <c r="C791" s="124" t="str">
        <f t="shared" ca="1" si="3259"/>
        <v>тыс. руб.</v>
      </c>
      <c r="D791" s="66">
        <v>1</v>
      </c>
      <c r="F791" s="57" t="s">
        <v>1067</v>
      </c>
      <c r="G791" s="138">
        <f t="shared" ref="G791:AV791" si="3314">SUM(G$724,G$752)</f>
        <v>52711.864406779663</v>
      </c>
      <c r="H791" s="138">
        <f t="shared" si="3314"/>
        <v>82847.457627118652</v>
      </c>
      <c r="I791" s="138">
        <f t="shared" si="3314"/>
        <v>61661.016949152545</v>
      </c>
      <c r="J791" s="138">
        <f t="shared" si="3314"/>
        <v>51759.322033898308</v>
      </c>
      <c r="K791" s="138">
        <f t="shared" si="3314"/>
        <v>0</v>
      </c>
      <c r="L791" s="138">
        <f t="shared" si="3314"/>
        <v>0</v>
      </c>
      <c r="M791" s="138">
        <f t="shared" si="3314"/>
        <v>0</v>
      </c>
      <c r="N791" s="138">
        <f t="shared" si="3314"/>
        <v>0</v>
      </c>
      <c r="O791" s="138">
        <f t="shared" si="3314"/>
        <v>0</v>
      </c>
      <c r="P791" s="138">
        <f t="shared" si="3314"/>
        <v>0</v>
      </c>
      <c r="Q791" s="138">
        <f t="shared" si="3314"/>
        <v>0</v>
      </c>
      <c r="R791" s="138">
        <f t="shared" si="3314"/>
        <v>0</v>
      </c>
      <c r="S791" s="138">
        <f t="shared" si="3314"/>
        <v>0</v>
      </c>
      <c r="T791" s="138">
        <f t="shared" si="3314"/>
        <v>0</v>
      </c>
      <c r="U791" s="138">
        <f t="shared" si="3314"/>
        <v>0</v>
      </c>
      <c r="V791" s="138">
        <f t="shared" si="3314"/>
        <v>0</v>
      </c>
      <c r="W791" s="138">
        <f t="shared" si="3314"/>
        <v>0</v>
      </c>
      <c r="X791" s="138">
        <f t="shared" si="3314"/>
        <v>0</v>
      </c>
      <c r="Y791" s="138">
        <f t="shared" si="3314"/>
        <v>0</v>
      </c>
      <c r="Z791" s="138">
        <f t="shared" si="3314"/>
        <v>0</v>
      </c>
      <c r="AA791" s="138">
        <f t="shared" si="3314"/>
        <v>0</v>
      </c>
      <c r="AB791" s="138">
        <f t="shared" si="3314"/>
        <v>0</v>
      </c>
      <c r="AC791" s="138">
        <f t="shared" si="3314"/>
        <v>0</v>
      </c>
      <c r="AD791" s="138">
        <f t="shared" si="3314"/>
        <v>0</v>
      </c>
      <c r="AE791" s="138">
        <f t="shared" si="3314"/>
        <v>0</v>
      </c>
      <c r="AF791" s="138">
        <f t="shared" si="3314"/>
        <v>0</v>
      </c>
      <c r="AG791" s="138">
        <f t="shared" si="3314"/>
        <v>0</v>
      </c>
      <c r="AH791" s="138">
        <f t="shared" si="3314"/>
        <v>0</v>
      </c>
      <c r="AI791" s="138">
        <f t="shared" si="3314"/>
        <v>0</v>
      </c>
      <c r="AJ791" s="138">
        <f t="shared" si="3314"/>
        <v>0</v>
      </c>
      <c r="AK791" s="138">
        <f t="shared" si="3314"/>
        <v>0</v>
      </c>
      <c r="AL791" s="138">
        <f t="shared" si="3314"/>
        <v>0</v>
      </c>
      <c r="AM791" s="138">
        <f t="shared" si="3314"/>
        <v>0</v>
      </c>
      <c r="AN791" s="138">
        <f t="shared" si="3314"/>
        <v>0</v>
      </c>
      <c r="AO791" s="138">
        <f t="shared" si="3314"/>
        <v>0</v>
      </c>
      <c r="AP791" s="138">
        <f t="shared" si="3314"/>
        <v>0</v>
      </c>
      <c r="AQ791" s="138">
        <f t="shared" si="3314"/>
        <v>0</v>
      </c>
      <c r="AR791" s="138">
        <f t="shared" si="3314"/>
        <v>0</v>
      </c>
      <c r="AS791" s="138">
        <f t="shared" si="3314"/>
        <v>0</v>
      </c>
      <c r="AT791" s="138">
        <f t="shared" si="3314"/>
        <v>0</v>
      </c>
      <c r="AU791" s="138">
        <f t="shared" si="3314"/>
        <v>0</v>
      </c>
      <c r="AV791" s="138">
        <f t="shared" si="3314"/>
        <v>0</v>
      </c>
      <c r="AW791" s="148"/>
      <c r="AX791" s="171">
        <f t="shared" si="3290"/>
        <v>248979.66101694916</v>
      </c>
    </row>
    <row r="792" spans="1:50" hidden="1" outlineLevel="1" x14ac:dyDescent="0.2">
      <c r="A792" s="99" t="str">
        <f ca="1">Language!A$955</f>
        <v>импортная пошлина</v>
      </c>
      <c r="C792" s="124" t="str">
        <f t="shared" ca="1" si="3259"/>
        <v>тыс. руб.</v>
      </c>
      <c r="D792" s="66">
        <v>1</v>
      </c>
      <c r="F792" s="57" t="s">
        <v>1068</v>
      </c>
      <c r="G792" s="138">
        <f t="shared" ref="G792:AV792" si="3315">SUM(G$728,G$756)</f>
        <v>0</v>
      </c>
      <c r="H792" s="138">
        <f t="shared" si="3315"/>
        <v>0</v>
      </c>
      <c r="I792" s="138">
        <f t="shared" si="3315"/>
        <v>0</v>
      </c>
      <c r="J792" s="138">
        <f t="shared" si="3315"/>
        <v>0</v>
      </c>
      <c r="K792" s="138">
        <f t="shared" si="3315"/>
        <v>0</v>
      </c>
      <c r="L792" s="138">
        <f t="shared" si="3315"/>
        <v>0</v>
      </c>
      <c r="M792" s="138">
        <f t="shared" si="3315"/>
        <v>0</v>
      </c>
      <c r="N792" s="138">
        <f t="shared" si="3315"/>
        <v>0</v>
      </c>
      <c r="O792" s="138">
        <f t="shared" si="3315"/>
        <v>0</v>
      </c>
      <c r="P792" s="138">
        <f t="shared" si="3315"/>
        <v>0</v>
      </c>
      <c r="Q792" s="138">
        <f t="shared" si="3315"/>
        <v>0</v>
      </c>
      <c r="R792" s="138">
        <f t="shared" si="3315"/>
        <v>0</v>
      </c>
      <c r="S792" s="138">
        <f t="shared" si="3315"/>
        <v>0</v>
      </c>
      <c r="T792" s="138">
        <f t="shared" si="3315"/>
        <v>0</v>
      </c>
      <c r="U792" s="138">
        <f t="shared" si="3315"/>
        <v>0</v>
      </c>
      <c r="V792" s="138">
        <f t="shared" si="3315"/>
        <v>0</v>
      </c>
      <c r="W792" s="138">
        <f t="shared" si="3315"/>
        <v>0</v>
      </c>
      <c r="X792" s="138">
        <f t="shared" si="3315"/>
        <v>0</v>
      </c>
      <c r="Y792" s="138">
        <f t="shared" si="3315"/>
        <v>0</v>
      </c>
      <c r="Z792" s="138">
        <f t="shared" si="3315"/>
        <v>0</v>
      </c>
      <c r="AA792" s="138">
        <f t="shared" si="3315"/>
        <v>0</v>
      </c>
      <c r="AB792" s="138">
        <f t="shared" si="3315"/>
        <v>0</v>
      </c>
      <c r="AC792" s="138">
        <f t="shared" si="3315"/>
        <v>0</v>
      </c>
      <c r="AD792" s="138">
        <f t="shared" si="3315"/>
        <v>0</v>
      </c>
      <c r="AE792" s="138">
        <f t="shared" si="3315"/>
        <v>0</v>
      </c>
      <c r="AF792" s="138">
        <f t="shared" si="3315"/>
        <v>0</v>
      </c>
      <c r="AG792" s="138">
        <f t="shared" si="3315"/>
        <v>0</v>
      </c>
      <c r="AH792" s="138">
        <f t="shared" si="3315"/>
        <v>0</v>
      </c>
      <c r="AI792" s="138">
        <f t="shared" si="3315"/>
        <v>0</v>
      </c>
      <c r="AJ792" s="138">
        <f t="shared" si="3315"/>
        <v>0</v>
      </c>
      <c r="AK792" s="138">
        <f t="shared" si="3315"/>
        <v>0</v>
      </c>
      <c r="AL792" s="138">
        <f t="shared" si="3315"/>
        <v>0</v>
      </c>
      <c r="AM792" s="138">
        <f t="shared" si="3315"/>
        <v>0</v>
      </c>
      <c r="AN792" s="138">
        <f t="shared" si="3315"/>
        <v>0</v>
      </c>
      <c r="AO792" s="138">
        <f t="shared" si="3315"/>
        <v>0</v>
      </c>
      <c r="AP792" s="138">
        <f t="shared" si="3315"/>
        <v>0</v>
      </c>
      <c r="AQ792" s="138">
        <f t="shared" si="3315"/>
        <v>0</v>
      </c>
      <c r="AR792" s="138">
        <f t="shared" si="3315"/>
        <v>0</v>
      </c>
      <c r="AS792" s="138">
        <f t="shared" si="3315"/>
        <v>0</v>
      </c>
      <c r="AT792" s="138">
        <f t="shared" si="3315"/>
        <v>0</v>
      </c>
      <c r="AU792" s="138">
        <f t="shared" si="3315"/>
        <v>0</v>
      </c>
      <c r="AV792" s="138">
        <f t="shared" si="3315"/>
        <v>0</v>
      </c>
      <c r="AW792" s="148"/>
      <c r="AX792" s="171">
        <f t="shared" si="3290"/>
        <v>0</v>
      </c>
    </row>
    <row r="793" spans="1:50" hidden="1" outlineLevel="1" x14ac:dyDescent="0.2">
      <c r="A793" s="99" t="str">
        <f ca="1">Language!A$956</f>
        <v>незавершенные инвестиции</v>
      </c>
      <c r="C793" s="124" t="str">
        <f t="shared" ca="1" si="3259"/>
        <v>тыс. руб.</v>
      </c>
      <c r="D793" s="66">
        <v>1</v>
      </c>
      <c r="F793" s="57" t="s">
        <v>1069</v>
      </c>
      <c r="G793" s="138">
        <f t="shared" ref="G793:AV793" si="3316">SUM(G$729,G$757)</f>
        <v>0</v>
      </c>
      <c r="H793" s="138">
        <f t="shared" si="3316"/>
        <v>0</v>
      </c>
      <c r="I793" s="138">
        <f t="shared" si="3316"/>
        <v>0</v>
      </c>
      <c r="J793" s="138">
        <f t="shared" si="3316"/>
        <v>0</v>
      </c>
      <c r="K793" s="138">
        <f t="shared" si="3316"/>
        <v>0</v>
      </c>
      <c r="L793" s="138">
        <f t="shared" si="3316"/>
        <v>0</v>
      </c>
      <c r="M793" s="138">
        <f t="shared" si="3316"/>
        <v>0</v>
      </c>
      <c r="N793" s="138">
        <f t="shared" si="3316"/>
        <v>0</v>
      </c>
      <c r="O793" s="138">
        <f t="shared" si="3316"/>
        <v>0</v>
      </c>
      <c r="P793" s="138">
        <f t="shared" si="3316"/>
        <v>0</v>
      </c>
      <c r="Q793" s="138">
        <f t="shared" si="3316"/>
        <v>0</v>
      </c>
      <c r="R793" s="138">
        <f t="shared" si="3316"/>
        <v>0</v>
      </c>
      <c r="S793" s="138">
        <f t="shared" si="3316"/>
        <v>0</v>
      </c>
      <c r="T793" s="138">
        <f t="shared" si="3316"/>
        <v>0</v>
      </c>
      <c r="U793" s="138">
        <f t="shared" si="3316"/>
        <v>0</v>
      </c>
      <c r="V793" s="138">
        <f t="shared" si="3316"/>
        <v>0</v>
      </c>
      <c r="W793" s="138">
        <f t="shared" si="3316"/>
        <v>0</v>
      </c>
      <c r="X793" s="138">
        <f t="shared" si="3316"/>
        <v>0</v>
      </c>
      <c r="Y793" s="138">
        <f t="shared" si="3316"/>
        <v>0</v>
      </c>
      <c r="Z793" s="138">
        <f t="shared" si="3316"/>
        <v>0</v>
      </c>
      <c r="AA793" s="138">
        <f t="shared" si="3316"/>
        <v>0</v>
      </c>
      <c r="AB793" s="138">
        <f t="shared" si="3316"/>
        <v>0</v>
      </c>
      <c r="AC793" s="138">
        <f t="shared" si="3316"/>
        <v>0</v>
      </c>
      <c r="AD793" s="138">
        <f t="shared" si="3316"/>
        <v>0</v>
      </c>
      <c r="AE793" s="138">
        <f t="shared" si="3316"/>
        <v>0</v>
      </c>
      <c r="AF793" s="138">
        <f t="shared" si="3316"/>
        <v>0</v>
      </c>
      <c r="AG793" s="138">
        <f t="shared" si="3316"/>
        <v>0</v>
      </c>
      <c r="AH793" s="138">
        <f t="shared" si="3316"/>
        <v>0</v>
      </c>
      <c r="AI793" s="138">
        <f t="shared" si="3316"/>
        <v>0</v>
      </c>
      <c r="AJ793" s="138">
        <f t="shared" si="3316"/>
        <v>0</v>
      </c>
      <c r="AK793" s="138">
        <f t="shared" si="3316"/>
        <v>0</v>
      </c>
      <c r="AL793" s="138">
        <f t="shared" si="3316"/>
        <v>0</v>
      </c>
      <c r="AM793" s="138">
        <f t="shared" si="3316"/>
        <v>0</v>
      </c>
      <c r="AN793" s="138">
        <f t="shared" si="3316"/>
        <v>0</v>
      </c>
      <c r="AO793" s="138">
        <f t="shared" si="3316"/>
        <v>0</v>
      </c>
      <c r="AP793" s="138">
        <f t="shared" si="3316"/>
        <v>0</v>
      </c>
      <c r="AQ793" s="138">
        <f t="shared" si="3316"/>
        <v>0</v>
      </c>
      <c r="AR793" s="138">
        <f t="shared" si="3316"/>
        <v>0</v>
      </c>
      <c r="AS793" s="138">
        <f t="shared" si="3316"/>
        <v>0</v>
      </c>
      <c r="AT793" s="138">
        <f t="shared" si="3316"/>
        <v>0</v>
      </c>
      <c r="AU793" s="138">
        <f t="shared" si="3316"/>
        <v>0</v>
      </c>
      <c r="AV793" s="138">
        <f t="shared" si="3316"/>
        <v>0</v>
      </c>
      <c r="AW793" s="148"/>
      <c r="AX793" s="171"/>
    </row>
    <row r="794" spans="1:50" hidden="1" outlineLevel="1" x14ac:dyDescent="0.2">
      <c r="A794" s="99" t="str">
        <f ca="1">Language!A$957</f>
        <v>кредиторская задолженность</v>
      </c>
      <c r="C794" s="124" t="str">
        <f t="shared" ca="1" si="3259"/>
        <v>тыс. руб.</v>
      </c>
      <c r="D794" s="66">
        <v>1</v>
      </c>
      <c r="F794" s="57" t="s">
        <v>1070</v>
      </c>
      <c r="G794" s="138">
        <f t="shared" ref="G794:AV794" si="3317">SUM(G$730,G$758)</f>
        <v>196267.79661016952</v>
      </c>
      <c r="H794" s="138">
        <f t="shared" si="3317"/>
        <v>113420.33898305085</v>
      </c>
      <c r="I794" s="138">
        <f t="shared" si="3317"/>
        <v>51759.322033898308</v>
      </c>
      <c r="J794" s="138">
        <f t="shared" si="3317"/>
        <v>0</v>
      </c>
      <c r="K794" s="138">
        <f t="shared" si="3317"/>
        <v>0</v>
      </c>
      <c r="L794" s="138">
        <f t="shared" si="3317"/>
        <v>0</v>
      </c>
      <c r="M794" s="138">
        <f t="shared" si="3317"/>
        <v>0</v>
      </c>
      <c r="N794" s="138">
        <f t="shared" si="3317"/>
        <v>0</v>
      </c>
      <c r="O794" s="138">
        <f t="shared" si="3317"/>
        <v>0</v>
      </c>
      <c r="P794" s="138">
        <f t="shared" si="3317"/>
        <v>0</v>
      </c>
      <c r="Q794" s="138">
        <f t="shared" si="3317"/>
        <v>0</v>
      </c>
      <c r="R794" s="138">
        <f t="shared" si="3317"/>
        <v>0</v>
      </c>
      <c r="S794" s="138">
        <f t="shared" si="3317"/>
        <v>0</v>
      </c>
      <c r="T794" s="138">
        <f t="shared" si="3317"/>
        <v>0</v>
      </c>
      <c r="U794" s="138">
        <f t="shared" si="3317"/>
        <v>0</v>
      </c>
      <c r="V794" s="138">
        <f t="shared" si="3317"/>
        <v>0</v>
      </c>
      <c r="W794" s="138">
        <f t="shared" si="3317"/>
        <v>0</v>
      </c>
      <c r="X794" s="138">
        <f t="shared" si="3317"/>
        <v>0</v>
      </c>
      <c r="Y794" s="138">
        <f t="shared" si="3317"/>
        <v>0</v>
      </c>
      <c r="Z794" s="138">
        <f t="shared" si="3317"/>
        <v>0</v>
      </c>
      <c r="AA794" s="138">
        <f t="shared" si="3317"/>
        <v>0</v>
      </c>
      <c r="AB794" s="138">
        <f t="shared" si="3317"/>
        <v>0</v>
      </c>
      <c r="AC794" s="138">
        <f t="shared" si="3317"/>
        <v>0</v>
      </c>
      <c r="AD794" s="138">
        <f t="shared" si="3317"/>
        <v>0</v>
      </c>
      <c r="AE794" s="138">
        <f t="shared" si="3317"/>
        <v>0</v>
      </c>
      <c r="AF794" s="138">
        <f t="shared" si="3317"/>
        <v>0</v>
      </c>
      <c r="AG794" s="138">
        <f t="shared" si="3317"/>
        <v>0</v>
      </c>
      <c r="AH794" s="138">
        <f t="shared" si="3317"/>
        <v>0</v>
      </c>
      <c r="AI794" s="138">
        <f t="shared" si="3317"/>
        <v>0</v>
      </c>
      <c r="AJ794" s="138">
        <f t="shared" si="3317"/>
        <v>0</v>
      </c>
      <c r="AK794" s="138">
        <f t="shared" si="3317"/>
        <v>0</v>
      </c>
      <c r="AL794" s="138">
        <f t="shared" si="3317"/>
        <v>0</v>
      </c>
      <c r="AM794" s="138">
        <f t="shared" si="3317"/>
        <v>0</v>
      </c>
      <c r="AN794" s="138">
        <f t="shared" si="3317"/>
        <v>0</v>
      </c>
      <c r="AO794" s="138">
        <f t="shared" si="3317"/>
        <v>0</v>
      </c>
      <c r="AP794" s="138">
        <f t="shared" si="3317"/>
        <v>0</v>
      </c>
      <c r="AQ794" s="138">
        <f t="shared" si="3317"/>
        <v>0</v>
      </c>
      <c r="AR794" s="138">
        <f t="shared" si="3317"/>
        <v>0</v>
      </c>
      <c r="AS794" s="138">
        <f t="shared" si="3317"/>
        <v>0</v>
      </c>
      <c r="AT794" s="138">
        <f t="shared" si="3317"/>
        <v>0</v>
      </c>
      <c r="AU794" s="138">
        <f t="shared" si="3317"/>
        <v>0</v>
      </c>
      <c r="AV794" s="138">
        <f t="shared" si="3317"/>
        <v>0</v>
      </c>
      <c r="AW794" s="148"/>
      <c r="AX794" s="171"/>
    </row>
    <row r="795" spans="1:50" hidden="1" outlineLevel="1" x14ac:dyDescent="0.2">
      <c r="A795" s="99" t="str">
        <f ca="1">Language!A$958</f>
        <v>амортизация (бухгалтерская)</v>
      </c>
      <c r="C795" s="124" t="str">
        <f t="shared" ca="1" si="3259"/>
        <v>тыс. руб.</v>
      </c>
      <c r="D795" s="66">
        <v>1</v>
      </c>
      <c r="F795" s="57" t="s">
        <v>1071</v>
      </c>
      <c r="G795" s="138">
        <f t="shared" ref="G795:AV795" ca="1" si="3318">SUM(G$731,G$759)</f>
        <v>6224.4915254237294</v>
      </c>
      <c r="H795" s="138">
        <f t="shared" ca="1" si="3318"/>
        <v>6224.4915254237294</v>
      </c>
      <c r="I795" s="138">
        <f t="shared" ca="1" si="3318"/>
        <v>6224.4915254237294</v>
      </c>
      <c r="J795" s="138">
        <f t="shared" ca="1" si="3318"/>
        <v>6224.4915254237294</v>
      </c>
      <c r="K795" s="138">
        <f t="shared" ca="1" si="3318"/>
        <v>6224.4915254237294</v>
      </c>
      <c r="L795" s="138">
        <f t="shared" ca="1" si="3318"/>
        <v>6224.4915254237294</v>
      </c>
      <c r="M795" s="138">
        <f t="shared" ca="1" si="3318"/>
        <v>6224.4915254237294</v>
      </c>
      <c r="N795" s="138">
        <f t="shared" ca="1" si="3318"/>
        <v>6224.4915254237294</v>
      </c>
      <c r="O795" s="138">
        <f t="shared" ca="1" si="3318"/>
        <v>6224.4915254237294</v>
      </c>
      <c r="P795" s="138">
        <f t="shared" ca="1" si="3318"/>
        <v>6224.4915254237294</v>
      </c>
      <c r="Q795" s="138">
        <f t="shared" ca="1" si="3318"/>
        <v>6224.4915254237294</v>
      </c>
      <c r="R795" s="138">
        <f t="shared" ca="1" si="3318"/>
        <v>6224.4915254237294</v>
      </c>
      <c r="S795" s="138">
        <f t="shared" ca="1" si="3318"/>
        <v>6224.4915254237294</v>
      </c>
      <c r="T795" s="138">
        <f t="shared" ca="1" si="3318"/>
        <v>6224.4915254237294</v>
      </c>
      <c r="U795" s="138">
        <f t="shared" ca="1" si="3318"/>
        <v>6224.4915254237294</v>
      </c>
      <c r="V795" s="138">
        <f t="shared" ca="1" si="3318"/>
        <v>6224.4915254237294</v>
      </c>
      <c r="W795" s="138">
        <f t="shared" ca="1" si="3318"/>
        <v>6224.4915254237294</v>
      </c>
      <c r="X795" s="138">
        <f t="shared" ca="1" si="3318"/>
        <v>6224.4915254237294</v>
      </c>
      <c r="Y795" s="138">
        <f t="shared" ca="1" si="3318"/>
        <v>6224.4915254237294</v>
      </c>
      <c r="Z795" s="138">
        <f t="shared" ca="1" si="3318"/>
        <v>6224.4915254237294</v>
      </c>
      <c r="AA795" s="138">
        <f t="shared" ca="1" si="3318"/>
        <v>6224.4915254237294</v>
      </c>
      <c r="AB795" s="138">
        <f t="shared" ca="1" si="3318"/>
        <v>6224.4915254237294</v>
      </c>
      <c r="AC795" s="138">
        <f t="shared" ca="1" si="3318"/>
        <v>6224.4915254237294</v>
      </c>
      <c r="AD795" s="138">
        <f t="shared" ca="1" si="3318"/>
        <v>6224.4915254237294</v>
      </c>
      <c r="AE795" s="138">
        <f t="shared" ca="1" si="3318"/>
        <v>6224.4915254237294</v>
      </c>
      <c r="AF795" s="138">
        <f t="shared" ca="1" si="3318"/>
        <v>6224.4915254237294</v>
      </c>
      <c r="AG795" s="138">
        <f t="shared" ca="1" si="3318"/>
        <v>6224.4915254237294</v>
      </c>
      <c r="AH795" s="138">
        <f t="shared" ca="1" si="3318"/>
        <v>6224.4915254237294</v>
      </c>
      <c r="AI795" s="138">
        <f t="shared" ca="1" si="3318"/>
        <v>6224.4915254237294</v>
      </c>
      <c r="AJ795" s="138">
        <f t="shared" ca="1" si="3318"/>
        <v>6224.4915254237294</v>
      </c>
      <c r="AK795" s="138">
        <f t="shared" ca="1" si="3318"/>
        <v>6224.4915254237294</v>
      </c>
      <c r="AL795" s="138">
        <f t="shared" ca="1" si="3318"/>
        <v>6224.4915254237294</v>
      </c>
      <c r="AM795" s="138">
        <f t="shared" ca="1" si="3318"/>
        <v>6224.4915254237294</v>
      </c>
      <c r="AN795" s="138">
        <f t="shared" ca="1" si="3318"/>
        <v>6224.4915254237294</v>
      </c>
      <c r="AO795" s="138">
        <f t="shared" ca="1" si="3318"/>
        <v>6224.4915254237294</v>
      </c>
      <c r="AP795" s="138">
        <f t="shared" ca="1" si="3318"/>
        <v>6224.4915254237294</v>
      </c>
      <c r="AQ795" s="138">
        <f t="shared" ca="1" si="3318"/>
        <v>6224.4915254237294</v>
      </c>
      <c r="AR795" s="138">
        <f t="shared" ca="1" si="3318"/>
        <v>6224.4915254237294</v>
      </c>
      <c r="AS795" s="138">
        <f t="shared" ca="1" si="3318"/>
        <v>6224.4915254237294</v>
      </c>
      <c r="AT795" s="138">
        <f t="shared" ca="1" si="3318"/>
        <v>6224.4915254237294</v>
      </c>
      <c r="AU795" s="138">
        <f t="shared" ca="1" si="3318"/>
        <v>0</v>
      </c>
      <c r="AV795" s="138">
        <f t="shared" ca="1" si="3318"/>
        <v>0</v>
      </c>
      <c r="AW795" s="148"/>
      <c r="AX795" s="171">
        <f ca="1">SUM(G795:AW795)</f>
        <v>248979.66101694939</v>
      </c>
    </row>
    <row r="796" spans="1:50" hidden="1" outlineLevel="1" x14ac:dyDescent="0.2">
      <c r="A796" s="99" t="str">
        <f ca="1">Language!A$959</f>
        <v>балансовая стоимость (бухгалтерская)</v>
      </c>
      <c r="C796" s="124" t="str">
        <f t="shared" ca="1" si="3259"/>
        <v>тыс. руб.</v>
      </c>
      <c r="D796" s="66">
        <v>1</v>
      </c>
      <c r="F796" s="57" t="s">
        <v>1072</v>
      </c>
      <c r="G796" s="138">
        <f t="shared" ref="G796:AV796" ca="1" si="3319">SUM(G$732,G$760)</f>
        <v>242755.16949152545</v>
      </c>
      <c r="H796" s="138">
        <f t="shared" ca="1" si="3319"/>
        <v>236530.67796610171</v>
      </c>
      <c r="I796" s="138">
        <f t="shared" ca="1" si="3319"/>
        <v>230306.18644067796</v>
      </c>
      <c r="J796" s="138">
        <f t="shared" ca="1" si="3319"/>
        <v>224081.69491525425</v>
      </c>
      <c r="K796" s="138">
        <f t="shared" ca="1" si="3319"/>
        <v>217857.20338983051</v>
      </c>
      <c r="L796" s="138">
        <f t="shared" ca="1" si="3319"/>
        <v>211632.7118644068</v>
      </c>
      <c r="M796" s="138">
        <f t="shared" ca="1" si="3319"/>
        <v>205408.22033898305</v>
      </c>
      <c r="N796" s="138">
        <f t="shared" ca="1" si="3319"/>
        <v>199183.72881355934</v>
      </c>
      <c r="O796" s="138">
        <f t="shared" ca="1" si="3319"/>
        <v>192959.2372881356</v>
      </c>
      <c r="P796" s="138">
        <f t="shared" ca="1" si="3319"/>
        <v>186734.74576271189</v>
      </c>
      <c r="Q796" s="138">
        <f t="shared" ca="1" si="3319"/>
        <v>180510.25423728814</v>
      </c>
      <c r="R796" s="138">
        <f t="shared" ca="1" si="3319"/>
        <v>174285.76271186443</v>
      </c>
      <c r="S796" s="138">
        <f t="shared" ca="1" si="3319"/>
        <v>168061.27118644069</v>
      </c>
      <c r="T796" s="138">
        <f t="shared" ca="1" si="3319"/>
        <v>161836.77966101698</v>
      </c>
      <c r="U796" s="138">
        <f t="shared" ca="1" si="3319"/>
        <v>155612.28813559323</v>
      </c>
      <c r="V796" s="138">
        <f t="shared" ca="1" si="3319"/>
        <v>149387.79661016952</v>
      </c>
      <c r="W796" s="138">
        <f t="shared" ca="1" si="3319"/>
        <v>143163.30508474578</v>
      </c>
      <c r="X796" s="138">
        <f t="shared" ca="1" si="3319"/>
        <v>136938.81355932206</v>
      </c>
      <c r="Y796" s="138">
        <f t="shared" ca="1" si="3319"/>
        <v>130714.32203389832</v>
      </c>
      <c r="Z796" s="138">
        <f t="shared" ca="1" si="3319"/>
        <v>124489.83050847461</v>
      </c>
      <c r="AA796" s="138">
        <f t="shared" ca="1" si="3319"/>
        <v>118265.33898305087</v>
      </c>
      <c r="AB796" s="138">
        <f t="shared" ca="1" si="3319"/>
        <v>112040.84745762715</v>
      </c>
      <c r="AC796" s="138">
        <f t="shared" ca="1" si="3319"/>
        <v>105816.35593220341</v>
      </c>
      <c r="AD796" s="138">
        <f t="shared" ca="1" si="3319"/>
        <v>99591.864406779685</v>
      </c>
      <c r="AE796" s="138">
        <f t="shared" ca="1" si="3319"/>
        <v>93367.372881355957</v>
      </c>
      <c r="AF796" s="138">
        <f t="shared" ca="1" si="3319"/>
        <v>87142.88135593223</v>
      </c>
      <c r="AG796" s="138">
        <f t="shared" ca="1" si="3319"/>
        <v>80918.389830508502</v>
      </c>
      <c r="AH796" s="138">
        <f t="shared" ca="1" si="3319"/>
        <v>74693.898305084775</v>
      </c>
      <c r="AI796" s="138">
        <f t="shared" ca="1" si="3319"/>
        <v>68469.406779661047</v>
      </c>
      <c r="AJ796" s="138">
        <f t="shared" ca="1" si="3319"/>
        <v>62244.915254237319</v>
      </c>
      <c r="AK796" s="138">
        <f t="shared" ca="1" si="3319"/>
        <v>56020.423728813592</v>
      </c>
      <c r="AL796" s="138">
        <f t="shared" ca="1" si="3319"/>
        <v>49795.932203389864</v>
      </c>
      <c r="AM796" s="138">
        <f t="shared" ca="1" si="3319"/>
        <v>43571.440677966137</v>
      </c>
      <c r="AN796" s="138">
        <f t="shared" ca="1" si="3319"/>
        <v>37346.949152542409</v>
      </c>
      <c r="AO796" s="138">
        <f t="shared" ca="1" si="3319"/>
        <v>31122.457627118682</v>
      </c>
      <c r="AP796" s="138">
        <f t="shared" ca="1" si="3319"/>
        <v>24897.966101694954</v>
      </c>
      <c r="AQ796" s="138">
        <f t="shared" ca="1" si="3319"/>
        <v>18673.474576271226</v>
      </c>
      <c r="AR796" s="138">
        <f t="shared" ca="1" si="3319"/>
        <v>12448.983050847499</v>
      </c>
      <c r="AS796" s="138">
        <f t="shared" ca="1" si="3319"/>
        <v>6224.4915254237712</v>
      </c>
      <c r="AT796" s="138">
        <f t="shared" ca="1" si="3319"/>
        <v>4.3655745685100555E-11</v>
      </c>
      <c r="AU796" s="138">
        <f t="shared" ca="1" si="3319"/>
        <v>4.3655745685100555E-11</v>
      </c>
      <c r="AV796" s="138">
        <f t="shared" ca="1" si="3319"/>
        <v>4.3655745685100555E-11</v>
      </c>
      <c r="AW796" s="148"/>
      <c r="AX796" s="171"/>
    </row>
    <row r="797" spans="1:50" hidden="1" outlineLevel="1" x14ac:dyDescent="0.2">
      <c r="A797" s="99" t="str">
        <f ca="1">Language!A$960</f>
        <v>выплаченный НДС</v>
      </c>
      <c r="C797" s="124" t="str">
        <f t="shared" ca="1" si="3259"/>
        <v>тыс. руб.</v>
      </c>
      <c r="D797" s="66">
        <v>1</v>
      </c>
      <c r="F797" s="57" t="s">
        <v>1073</v>
      </c>
      <c r="G797" s="138">
        <f t="shared" ref="G797:AV797" si="3320">SUM(G$733,G$761)</f>
        <v>9488.1355932203387</v>
      </c>
      <c r="H797" s="138">
        <f t="shared" si="3320"/>
        <v>14912.542372881357</v>
      </c>
      <c r="I797" s="138">
        <f t="shared" si="3320"/>
        <v>11098.983050847459</v>
      </c>
      <c r="J797" s="138">
        <f t="shared" si="3320"/>
        <v>9316.6779661016953</v>
      </c>
      <c r="K797" s="138">
        <f t="shared" si="3320"/>
        <v>0</v>
      </c>
      <c r="L797" s="138">
        <f t="shared" si="3320"/>
        <v>0</v>
      </c>
      <c r="M797" s="138">
        <f t="shared" si="3320"/>
        <v>0</v>
      </c>
      <c r="N797" s="138">
        <f t="shared" si="3320"/>
        <v>0</v>
      </c>
      <c r="O797" s="138">
        <f t="shared" si="3320"/>
        <v>0</v>
      </c>
      <c r="P797" s="138">
        <f t="shared" si="3320"/>
        <v>0</v>
      </c>
      <c r="Q797" s="138">
        <f t="shared" si="3320"/>
        <v>0</v>
      </c>
      <c r="R797" s="138">
        <f t="shared" si="3320"/>
        <v>0</v>
      </c>
      <c r="S797" s="138">
        <f t="shared" si="3320"/>
        <v>0</v>
      </c>
      <c r="T797" s="138">
        <f t="shared" si="3320"/>
        <v>0</v>
      </c>
      <c r="U797" s="138">
        <f t="shared" si="3320"/>
        <v>0</v>
      </c>
      <c r="V797" s="138">
        <f t="shared" si="3320"/>
        <v>0</v>
      </c>
      <c r="W797" s="138">
        <f t="shared" si="3320"/>
        <v>0</v>
      </c>
      <c r="X797" s="138">
        <f t="shared" si="3320"/>
        <v>0</v>
      </c>
      <c r="Y797" s="138">
        <f t="shared" si="3320"/>
        <v>0</v>
      </c>
      <c r="Z797" s="138">
        <f t="shared" si="3320"/>
        <v>0</v>
      </c>
      <c r="AA797" s="138">
        <f t="shared" si="3320"/>
        <v>0</v>
      </c>
      <c r="AB797" s="138">
        <f t="shared" si="3320"/>
        <v>0</v>
      </c>
      <c r="AC797" s="138">
        <f t="shared" si="3320"/>
        <v>0</v>
      </c>
      <c r="AD797" s="138">
        <f t="shared" si="3320"/>
        <v>0</v>
      </c>
      <c r="AE797" s="138">
        <f t="shared" si="3320"/>
        <v>0</v>
      </c>
      <c r="AF797" s="138">
        <f t="shared" si="3320"/>
        <v>0</v>
      </c>
      <c r="AG797" s="138">
        <f t="shared" si="3320"/>
        <v>0</v>
      </c>
      <c r="AH797" s="138">
        <f t="shared" si="3320"/>
        <v>0</v>
      </c>
      <c r="AI797" s="138">
        <f t="shared" si="3320"/>
        <v>0</v>
      </c>
      <c r="AJ797" s="138">
        <f t="shared" si="3320"/>
        <v>0</v>
      </c>
      <c r="AK797" s="138">
        <f t="shared" si="3320"/>
        <v>0</v>
      </c>
      <c r="AL797" s="138">
        <f t="shared" si="3320"/>
        <v>0</v>
      </c>
      <c r="AM797" s="138">
        <f t="shared" si="3320"/>
        <v>0</v>
      </c>
      <c r="AN797" s="138">
        <f t="shared" si="3320"/>
        <v>0</v>
      </c>
      <c r="AO797" s="138">
        <f t="shared" si="3320"/>
        <v>0</v>
      </c>
      <c r="AP797" s="138">
        <f t="shared" si="3320"/>
        <v>0</v>
      </c>
      <c r="AQ797" s="138">
        <f t="shared" si="3320"/>
        <v>0</v>
      </c>
      <c r="AR797" s="138">
        <f t="shared" si="3320"/>
        <v>0</v>
      </c>
      <c r="AS797" s="138">
        <f t="shared" si="3320"/>
        <v>0</v>
      </c>
      <c r="AT797" s="138">
        <f t="shared" si="3320"/>
        <v>0</v>
      </c>
      <c r="AU797" s="138">
        <f t="shared" si="3320"/>
        <v>0</v>
      </c>
      <c r="AV797" s="138">
        <f t="shared" si="3320"/>
        <v>0</v>
      </c>
      <c r="AW797" s="148"/>
      <c r="AX797" s="171">
        <f>SUM(G797:AW797)</f>
        <v>44816.338983050853</v>
      </c>
    </row>
    <row r="798" spans="1:50" hidden="1" outlineLevel="1" x14ac:dyDescent="0.2">
      <c r="A798" s="99" t="str">
        <f ca="1">Language!A$961</f>
        <v>зачтенный НДС</v>
      </c>
      <c r="C798" s="124" t="str">
        <f t="shared" ca="1" si="3259"/>
        <v>тыс. руб.</v>
      </c>
      <c r="D798" s="66">
        <v>1</v>
      </c>
      <c r="F798" s="57" t="s">
        <v>1074</v>
      </c>
      <c r="G798" s="138">
        <f t="shared" ref="G798:AV798" si="3321">SUM(G$734,G$762)</f>
        <v>44816.338983050853</v>
      </c>
      <c r="H798" s="138">
        <f t="shared" si="3321"/>
        <v>0</v>
      </c>
      <c r="I798" s="138">
        <f t="shared" si="3321"/>
        <v>0</v>
      </c>
      <c r="J798" s="138">
        <f t="shared" si="3321"/>
        <v>0</v>
      </c>
      <c r="K798" s="138">
        <f t="shared" si="3321"/>
        <v>0</v>
      </c>
      <c r="L798" s="138">
        <f t="shared" si="3321"/>
        <v>0</v>
      </c>
      <c r="M798" s="138">
        <f t="shared" si="3321"/>
        <v>0</v>
      </c>
      <c r="N798" s="138">
        <f t="shared" si="3321"/>
        <v>0</v>
      </c>
      <c r="O798" s="138">
        <f t="shared" si="3321"/>
        <v>0</v>
      </c>
      <c r="P798" s="138">
        <f t="shared" si="3321"/>
        <v>0</v>
      </c>
      <c r="Q798" s="138">
        <f t="shared" si="3321"/>
        <v>0</v>
      </c>
      <c r="R798" s="138">
        <f t="shared" si="3321"/>
        <v>0</v>
      </c>
      <c r="S798" s="138">
        <f t="shared" si="3321"/>
        <v>0</v>
      </c>
      <c r="T798" s="138">
        <f t="shared" si="3321"/>
        <v>0</v>
      </c>
      <c r="U798" s="138">
        <f t="shared" si="3321"/>
        <v>0</v>
      </c>
      <c r="V798" s="138">
        <f t="shared" si="3321"/>
        <v>0</v>
      </c>
      <c r="W798" s="138">
        <f t="shared" si="3321"/>
        <v>0</v>
      </c>
      <c r="X798" s="138">
        <f t="shared" si="3321"/>
        <v>0</v>
      </c>
      <c r="Y798" s="138">
        <f t="shared" si="3321"/>
        <v>0</v>
      </c>
      <c r="Z798" s="138">
        <f t="shared" si="3321"/>
        <v>0</v>
      </c>
      <c r="AA798" s="138">
        <f t="shared" si="3321"/>
        <v>0</v>
      </c>
      <c r="AB798" s="138">
        <f t="shared" si="3321"/>
        <v>0</v>
      </c>
      <c r="AC798" s="138">
        <f t="shared" si="3321"/>
        <v>0</v>
      </c>
      <c r="AD798" s="138">
        <f t="shared" si="3321"/>
        <v>0</v>
      </c>
      <c r="AE798" s="138">
        <f t="shared" si="3321"/>
        <v>0</v>
      </c>
      <c r="AF798" s="138">
        <f t="shared" si="3321"/>
        <v>0</v>
      </c>
      <c r="AG798" s="138">
        <f t="shared" si="3321"/>
        <v>0</v>
      </c>
      <c r="AH798" s="138">
        <f t="shared" si="3321"/>
        <v>0</v>
      </c>
      <c r="AI798" s="138">
        <f t="shared" si="3321"/>
        <v>0</v>
      </c>
      <c r="AJ798" s="138">
        <f t="shared" si="3321"/>
        <v>0</v>
      </c>
      <c r="AK798" s="138">
        <f t="shared" si="3321"/>
        <v>0</v>
      </c>
      <c r="AL798" s="138">
        <f t="shared" si="3321"/>
        <v>0</v>
      </c>
      <c r="AM798" s="138">
        <f t="shared" si="3321"/>
        <v>0</v>
      </c>
      <c r="AN798" s="138">
        <f t="shared" si="3321"/>
        <v>0</v>
      </c>
      <c r="AO798" s="138">
        <f t="shared" si="3321"/>
        <v>0</v>
      </c>
      <c r="AP798" s="138">
        <f t="shared" si="3321"/>
        <v>0</v>
      </c>
      <c r="AQ798" s="138">
        <f t="shared" si="3321"/>
        <v>0</v>
      </c>
      <c r="AR798" s="138">
        <f t="shared" si="3321"/>
        <v>0</v>
      </c>
      <c r="AS798" s="138">
        <f t="shared" si="3321"/>
        <v>0</v>
      </c>
      <c r="AT798" s="138">
        <f t="shared" si="3321"/>
        <v>0</v>
      </c>
      <c r="AU798" s="138">
        <f t="shared" si="3321"/>
        <v>0</v>
      </c>
      <c r="AV798" s="138">
        <f t="shared" si="3321"/>
        <v>0</v>
      </c>
      <c r="AW798" s="148"/>
      <c r="AX798" s="171">
        <f>SUM(G798:AW798)</f>
        <v>44816.338983050853</v>
      </c>
    </row>
    <row r="799" spans="1:50" hidden="1" outlineLevel="1" x14ac:dyDescent="0.2">
      <c r="A799" s="99" t="str">
        <f ca="1">Language!A$962</f>
        <v>амортизация (налоговая)</v>
      </c>
      <c r="C799" s="124" t="str">
        <f t="shared" ca="1" si="3259"/>
        <v>тыс. руб.</v>
      </c>
      <c r="D799" s="66">
        <v>1</v>
      </c>
      <c r="F799" s="57" t="s">
        <v>1075</v>
      </c>
      <c r="G799" s="138">
        <f t="shared" ref="G799:AV799" ca="1" si="3322">SUM(G$735,G$763)</f>
        <v>6224.4915254237294</v>
      </c>
      <c r="H799" s="138">
        <f t="shared" ca="1" si="3322"/>
        <v>6224.4915254237294</v>
      </c>
      <c r="I799" s="138">
        <f t="shared" ca="1" si="3322"/>
        <v>6224.4915254237294</v>
      </c>
      <c r="J799" s="138">
        <f t="shared" ca="1" si="3322"/>
        <v>6224.4915254237294</v>
      </c>
      <c r="K799" s="138">
        <f t="shared" ca="1" si="3322"/>
        <v>6224.4915254237294</v>
      </c>
      <c r="L799" s="138">
        <f t="shared" ca="1" si="3322"/>
        <v>6224.4915254237294</v>
      </c>
      <c r="M799" s="138">
        <f t="shared" ca="1" si="3322"/>
        <v>6224.4915254237294</v>
      </c>
      <c r="N799" s="138">
        <f t="shared" ca="1" si="3322"/>
        <v>6224.4915254237294</v>
      </c>
      <c r="O799" s="138">
        <f t="shared" ca="1" si="3322"/>
        <v>6224.4915254237294</v>
      </c>
      <c r="P799" s="138">
        <f t="shared" ca="1" si="3322"/>
        <v>6224.4915254237294</v>
      </c>
      <c r="Q799" s="138">
        <f t="shared" ca="1" si="3322"/>
        <v>6224.4915254237294</v>
      </c>
      <c r="R799" s="138">
        <f t="shared" ca="1" si="3322"/>
        <v>6224.4915254237294</v>
      </c>
      <c r="S799" s="138">
        <f t="shared" ca="1" si="3322"/>
        <v>6224.4915254237294</v>
      </c>
      <c r="T799" s="138">
        <f t="shared" ca="1" si="3322"/>
        <v>6224.4915254237294</v>
      </c>
      <c r="U799" s="138">
        <f t="shared" ca="1" si="3322"/>
        <v>6224.4915254237294</v>
      </c>
      <c r="V799" s="138">
        <f t="shared" ca="1" si="3322"/>
        <v>6224.4915254237294</v>
      </c>
      <c r="W799" s="138">
        <f t="shared" ca="1" si="3322"/>
        <v>6224.4915254237294</v>
      </c>
      <c r="X799" s="138">
        <f t="shared" ca="1" si="3322"/>
        <v>6224.4915254237294</v>
      </c>
      <c r="Y799" s="138">
        <f t="shared" ca="1" si="3322"/>
        <v>6224.4915254237294</v>
      </c>
      <c r="Z799" s="138">
        <f t="shared" ca="1" si="3322"/>
        <v>6224.4915254237294</v>
      </c>
      <c r="AA799" s="138">
        <f t="shared" ca="1" si="3322"/>
        <v>6224.4915254237294</v>
      </c>
      <c r="AB799" s="138">
        <f t="shared" ca="1" si="3322"/>
        <v>6224.4915254237294</v>
      </c>
      <c r="AC799" s="138">
        <f t="shared" ca="1" si="3322"/>
        <v>6224.4915254237294</v>
      </c>
      <c r="AD799" s="138">
        <f t="shared" ca="1" si="3322"/>
        <v>6224.4915254237294</v>
      </c>
      <c r="AE799" s="138">
        <f t="shared" ca="1" si="3322"/>
        <v>6224.4915254237294</v>
      </c>
      <c r="AF799" s="138">
        <f t="shared" ca="1" si="3322"/>
        <v>6224.4915254237294</v>
      </c>
      <c r="AG799" s="138">
        <f t="shared" ca="1" si="3322"/>
        <v>6224.4915254237294</v>
      </c>
      <c r="AH799" s="138">
        <f t="shared" ca="1" si="3322"/>
        <v>6224.4915254237294</v>
      </c>
      <c r="AI799" s="138">
        <f t="shared" ca="1" si="3322"/>
        <v>6224.4915254237294</v>
      </c>
      <c r="AJ799" s="138">
        <f t="shared" ca="1" si="3322"/>
        <v>6224.4915254237294</v>
      </c>
      <c r="AK799" s="138">
        <f t="shared" ca="1" si="3322"/>
        <v>6224.4915254237294</v>
      </c>
      <c r="AL799" s="138">
        <f t="shared" ca="1" si="3322"/>
        <v>6224.4915254237294</v>
      </c>
      <c r="AM799" s="138">
        <f t="shared" ca="1" si="3322"/>
        <v>6224.4915254237294</v>
      </c>
      <c r="AN799" s="138">
        <f t="shared" ca="1" si="3322"/>
        <v>6224.4915254237294</v>
      </c>
      <c r="AO799" s="138">
        <f t="shared" ca="1" si="3322"/>
        <v>6224.4915254237294</v>
      </c>
      <c r="AP799" s="138">
        <f t="shared" ca="1" si="3322"/>
        <v>6224.4915254237294</v>
      </c>
      <c r="AQ799" s="138">
        <f t="shared" ca="1" si="3322"/>
        <v>6224.4915254237294</v>
      </c>
      <c r="AR799" s="138">
        <f t="shared" ca="1" si="3322"/>
        <v>6224.4915254237294</v>
      </c>
      <c r="AS799" s="138">
        <f t="shared" ca="1" si="3322"/>
        <v>6224.4915254237294</v>
      </c>
      <c r="AT799" s="138">
        <f t="shared" ca="1" si="3322"/>
        <v>6224.4915254237294</v>
      </c>
      <c r="AU799" s="138">
        <f t="shared" ca="1" si="3322"/>
        <v>0</v>
      </c>
      <c r="AV799" s="138">
        <f t="shared" ca="1" si="3322"/>
        <v>0</v>
      </c>
      <c r="AW799" s="148"/>
      <c r="AX799" s="171">
        <f ca="1">SUM(G799:AW799)</f>
        <v>248979.66101694939</v>
      </c>
    </row>
    <row r="800" spans="1:50" hidden="1" outlineLevel="1" x14ac:dyDescent="0.2">
      <c r="A800" s="99" t="str">
        <f ca="1">Language!A$963</f>
        <v>балансовая стоимость (налоговая)</v>
      </c>
      <c r="C800" s="124" t="str">
        <f t="shared" ca="1" si="3259"/>
        <v>тыс. руб.</v>
      </c>
      <c r="D800" s="66">
        <v>1</v>
      </c>
      <c r="F800" s="57" t="s">
        <v>1076</v>
      </c>
      <c r="G800" s="138">
        <f t="shared" ref="G800:AV800" ca="1" si="3323">SUM(G$736,G$764)</f>
        <v>242755.16949152545</v>
      </c>
      <c r="H800" s="138">
        <f t="shared" ca="1" si="3323"/>
        <v>236530.67796610171</v>
      </c>
      <c r="I800" s="138">
        <f t="shared" ca="1" si="3323"/>
        <v>230306.18644067796</v>
      </c>
      <c r="J800" s="138">
        <f t="shared" ca="1" si="3323"/>
        <v>224081.69491525425</v>
      </c>
      <c r="K800" s="138">
        <f t="shared" ca="1" si="3323"/>
        <v>217857.20338983051</v>
      </c>
      <c r="L800" s="138">
        <f t="shared" ca="1" si="3323"/>
        <v>211632.7118644068</v>
      </c>
      <c r="M800" s="138">
        <f t="shared" ca="1" si="3323"/>
        <v>205408.22033898305</v>
      </c>
      <c r="N800" s="138">
        <f t="shared" ca="1" si="3323"/>
        <v>199183.72881355934</v>
      </c>
      <c r="O800" s="138">
        <f t="shared" ca="1" si="3323"/>
        <v>192959.2372881356</v>
      </c>
      <c r="P800" s="138">
        <f t="shared" ca="1" si="3323"/>
        <v>186734.74576271189</v>
      </c>
      <c r="Q800" s="138">
        <f t="shared" ca="1" si="3323"/>
        <v>180510.25423728814</v>
      </c>
      <c r="R800" s="138">
        <f t="shared" ca="1" si="3323"/>
        <v>174285.76271186443</v>
      </c>
      <c r="S800" s="138">
        <f t="shared" ca="1" si="3323"/>
        <v>168061.27118644069</v>
      </c>
      <c r="T800" s="138">
        <f t="shared" ca="1" si="3323"/>
        <v>161836.77966101698</v>
      </c>
      <c r="U800" s="138">
        <f t="shared" ca="1" si="3323"/>
        <v>155612.28813559323</v>
      </c>
      <c r="V800" s="138">
        <f t="shared" ca="1" si="3323"/>
        <v>149387.79661016952</v>
      </c>
      <c r="W800" s="138">
        <f t="shared" ca="1" si="3323"/>
        <v>143163.30508474578</v>
      </c>
      <c r="X800" s="138">
        <f t="shared" ca="1" si="3323"/>
        <v>136938.81355932206</v>
      </c>
      <c r="Y800" s="138">
        <f t="shared" ca="1" si="3323"/>
        <v>130714.32203389832</v>
      </c>
      <c r="Z800" s="138">
        <f t="shared" ca="1" si="3323"/>
        <v>124489.83050847461</v>
      </c>
      <c r="AA800" s="138">
        <f t="shared" ca="1" si="3323"/>
        <v>118265.33898305087</v>
      </c>
      <c r="AB800" s="138">
        <f t="shared" ca="1" si="3323"/>
        <v>112040.84745762715</v>
      </c>
      <c r="AC800" s="138">
        <f t="shared" ca="1" si="3323"/>
        <v>105816.35593220341</v>
      </c>
      <c r="AD800" s="138">
        <f t="shared" ca="1" si="3323"/>
        <v>99591.864406779685</v>
      </c>
      <c r="AE800" s="138">
        <f t="shared" ca="1" si="3323"/>
        <v>93367.372881355957</v>
      </c>
      <c r="AF800" s="138">
        <f t="shared" ca="1" si="3323"/>
        <v>87142.88135593223</v>
      </c>
      <c r="AG800" s="138">
        <f t="shared" ca="1" si="3323"/>
        <v>80918.389830508502</v>
      </c>
      <c r="AH800" s="138">
        <f t="shared" ca="1" si="3323"/>
        <v>74693.898305084775</v>
      </c>
      <c r="AI800" s="138">
        <f t="shared" ca="1" si="3323"/>
        <v>68469.406779661047</v>
      </c>
      <c r="AJ800" s="138">
        <f t="shared" ca="1" si="3323"/>
        <v>62244.915254237319</v>
      </c>
      <c r="AK800" s="138">
        <f t="shared" ca="1" si="3323"/>
        <v>56020.423728813592</v>
      </c>
      <c r="AL800" s="138">
        <f t="shared" ca="1" si="3323"/>
        <v>49795.932203389864</v>
      </c>
      <c r="AM800" s="138">
        <f t="shared" ca="1" si="3323"/>
        <v>43571.440677966137</v>
      </c>
      <c r="AN800" s="138">
        <f t="shared" ca="1" si="3323"/>
        <v>37346.949152542409</v>
      </c>
      <c r="AO800" s="138">
        <f t="shared" ca="1" si="3323"/>
        <v>31122.457627118682</v>
      </c>
      <c r="AP800" s="138">
        <f t="shared" ca="1" si="3323"/>
        <v>24897.966101694954</v>
      </c>
      <c r="AQ800" s="138">
        <f t="shared" ca="1" si="3323"/>
        <v>18673.474576271226</v>
      </c>
      <c r="AR800" s="138">
        <f t="shared" ca="1" si="3323"/>
        <v>12448.983050847499</v>
      </c>
      <c r="AS800" s="138">
        <f t="shared" ca="1" si="3323"/>
        <v>6224.4915254237712</v>
      </c>
      <c r="AT800" s="138">
        <f t="shared" ca="1" si="3323"/>
        <v>4.3655745685100555E-11</v>
      </c>
      <c r="AU800" s="138">
        <f t="shared" ca="1" si="3323"/>
        <v>4.3655745685100555E-11</v>
      </c>
      <c r="AV800" s="138">
        <f t="shared" ca="1" si="3323"/>
        <v>4.3655745685100555E-11</v>
      </c>
      <c r="AW800" s="148"/>
      <c r="AX800" s="171"/>
    </row>
    <row r="801" spans="1:50" hidden="1" outlineLevel="1" x14ac:dyDescent="0.2">
      <c r="A801" s="99" t="str">
        <f ca="1">Language!A$964</f>
        <v>выручка от продажи актива</v>
      </c>
      <c r="C801" s="124" t="str">
        <f t="shared" ca="1" si="3259"/>
        <v>тыс. руб.</v>
      </c>
      <c r="D801" s="66">
        <v>1</v>
      </c>
      <c r="F801" s="57" t="s">
        <v>1077</v>
      </c>
      <c r="G801" s="138">
        <f t="shared" ref="G801:AV801" si="3324">SUM(G$723,G$751)</f>
        <v>0</v>
      </c>
      <c r="H801" s="138">
        <f t="shared" si="3324"/>
        <v>0</v>
      </c>
      <c r="I801" s="138">
        <f t="shared" si="3324"/>
        <v>0</v>
      </c>
      <c r="J801" s="138">
        <f t="shared" si="3324"/>
        <v>0</v>
      </c>
      <c r="K801" s="138">
        <f t="shared" si="3324"/>
        <v>0</v>
      </c>
      <c r="L801" s="138">
        <f t="shared" si="3324"/>
        <v>0</v>
      </c>
      <c r="M801" s="138">
        <f t="shared" si="3324"/>
        <v>0</v>
      </c>
      <c r="N801" s="138">
        <f t="shared" si="3324"/>
        <v>0</v>
      </c>
      <c r="O801" s="138">
        <f t="shared" si="3324"/>
        <v>0</v>
      </c>
      <c r="P801" s="138">
        <f t="shared" si="3324"/>
        <v>0</v>
      </c>
      <c r="Q801" s="138">
        <f t="shared" si="3324"/>
        <v>0</v>
      </c>
      <c r="R801" s="138">
        <f t="shared" si="3324"/>
        <v>0</v>
      </c>
      <c r="S801" s="138">
        <f t="shared" si="3324"/>
        <v>0</v>
      </c>
      <c r="T801" s="138">
        <f t="shared" si="3324"/>
        <v>0</v>
      </c>
      <c r="U801" s="138">
        <f t="shared" si="3324"/>
        <v>0</v>
      </c>
      <c r="V801" s="138">
        <f t="shared" si="3324"/>
        <v>0</v>
      </c>
      <c r="W801" s="138">
        <f t="shared" si="3324"/>
        <v>0</v>
      </c>
      <c r="X801" s="138">
        <f t="shared" si="3324"/>
        <v>0</v>
      </c>
      <c r="Y801" s="138">
        <f t="shared" si="3324"/>
        <v>0</v>
      </c>
      <c r="Z801" s="138">
        <f t="shared" si="3324"/>
        <v>0</v>
      </c>
      <c r="AA801" s="138">
        <f t="shared" si="3324"/>
        <v>0</v>
      </c>
      <c r="AB801" s="138">
        <f t="shared" si="3324"/>
        <v>0</v>
      </c>
      <c r="AC801" s="138">
        <f t="shared" si="3324"/>
        <v>0</v>
      </c>
      <c r="AD801" s="138">
        <f t="shared" si="3324"/>
        <v>0</v>
      </c>
      <c r="AE801" s="138">
        <f t="shared" si="3324"/>
        <v>0</v>
      </c>
      <c r="AF801" s="138">
        <f t="shared" si="3324"/>
        <v>0</v>
      </c>
      <c r="AG801" s="138">
        <f t="shared" si="3324"/>
        <v>0</v>
      </c>
      <c r="AH801" s="138">
        <f t="shared" si="3324"/>
        <v>0</v>
      </c>
      <c r="AI801" s="138">
        <f t="shared" si="3324"/>
        <v>0</v>
      </c>
      <c r="AJ801" s="138">
        <f t="shared" si="3324"/>
        <v>0</v>
      </c>
      <c r="AK801" s="138">
        <f t="shared" si="3324"/>
        <v>0</v>
      </c>
      <c r="AL801" s="138">
        <f t="shared" si="3324"/>
        <v>0</v>
      </c>
      <c r="AM801" s="138">
        <f t="shared" si="3324"/>
        <v>0</v>
      </c>
      <c r="AN801" s="138">
        <f t="shared" si="3324"/>
        <v>0</v>
      </c>
      <c r="AO801" s="138">
        <f t="shared" si="3324"/>
        <v>0</v>
      </c>
      <c r="AP801" s="138">
        <f t="shared" si="3324"/>
        <v>0</v>
      </c>
      <c r="AQ801" s="138">
        <f t="shared" si="3324"/>
        <v>0</v>
      </c>
      <c r="AR801" s="138">
        <f t="shared" si="3324"/>
        <v>0</v>
      </c>
      <c r="AS801" s="138">
        <f t="shared" si="3324"/>
        <v>0</v>
      </c>
      <c r="AT801" s="138">
        <f t="shared" si="3324"/>
        <v>0</v>
      </c>
      <c r="AU801" s="138">
        <f t="shared" si="3324"/>
        <v>0</v>
      </c>
      <c r="AV801" s="138">
        <f t="shared" si="3324"/>
        <v>0</v>
      </c>
      <c r="AW801" s="148"/>
      <c r="AX801" s="171">
        <f t="shared" ref="AX801:AX806" si="3325">SUM(G801:AW801)</f>
        <v>0</v>
      </c>
    </row>
    <row r="802" spans="1:50" hidden="1" outlineLevel="1" x14ac:dyDescent="0.2">
      <c r="A802" s="99" t="str">
        <f ca="1">Language!A$965</f>
        <v>прибыль/убыток от продажи актива (бухгалтерская)</v>
      </c>
      <c r="C802" s="124" t="str">
        <f t="shared" ca="1" si="3259"/>
        <v>тыс. руб.</v>
      </c>
      <c r="D802" s="66">
        <v>1</v>
      </c>
      <c r="F802" s="57" t="s">
        <v>1078</v>
      </c>
      <c r="G802" s="138">
        <f t="shared" ref="G802:AV802" si="3326">SUM(G$737,G$765)</f>
        <v>0</v>
      </c>
      <c r="H802" s="138">
        <f t="shared" si="3326"/>
        <v>0</v>
      </c>
      <c r="I802" s="138">
        <f t="shared" si="3326"/>
        <v>0</v>
      </c>
      <c r="J802" s="138">
        <f t="shared" si="3326"/>
        <v>0</v>
      </c>
      <c r="K802" s="138">
        <f t="shared" si="3326"/>
        <v>0</v>
      </c>
      <c r="L802" s="138">
        <f t="shared" si="3326"/>
        <v>0</v>
      </c>
      <c r="M802" s="138">
        <f t="shared" si="3326"/>
        <v>0</v>
      </c>
      <c r="N802" s="138">
        <f t="shared" si="3326"/>
        <v>0</v>
      </c>
      <c r="O802" s="138">
        <f t="shared" si="3326"/>
        <v>0</v>
      </c>
      <c r="P802" s="138">
        <f t="shared" si="3326"/>
        <v>0</v>
      </c>
      <c r="Q802" s="138">
        <f t="shared" si="3326"/>
        <v>0</v>
      </c>
      <c r="R802" s="138">
        <f t="shared" si="3326"/>
        <v>0</v>
      </c>
      <c r="S802" s="138">
        <f t="shared" si="3326"/>
        <v>0</v>
      </c>
      <c r="T802" s="138">
        <f t="shared" si="3326"/>
        <v>0</v>
      </c>
      <c r="U802" s="138">
        <f t="shared" si="3326"/>
        <v>0</v>
      </c>
      <c r="V802" s="138">
        <f t="shared" si="3326"/>
        <v>0</v>
      </c>
      <c r="W802" s="138">
        <f t="shared" si="3326"/>
        <v>0</v>
      </c>
      <c r="X802" s="138">
        <f t="shared" si="3326"/>
        <v>0</v>
      </c>
      <c r="Y802" s="138">
        <f t="shared" si="3326"/>
        <v>0</v>
      </c>
      <c r="Z802" s="138">
        <f t="shared" si="3326"/>
        <v>0</v>
      </c>
      <c r="AA802" s="138">
        <f t="shared" si="3326"/>
        <v>0</v>
      </c>
      <c r="AB802" s="138">
        <f t="shared" si="3326"/>
        <v>0</v>
      </c>
      <c r="AC802" s="138">
        <f t="shared" si="3326"/>
        <v>0</v>
      </c>
      <c r="AD802" s="138">
        <f t="shared" si="3326"/>
        <v>0</v>
      </c>
      <c r="AE802" s="138">
        <f t="shared" si="3326"/>
        <v>0</v>
      </c>
      <c r="AF802" s="138">
        <f t="shared" si="3326"/>
        <v>0</v>
      </c>
      <c r="AG802" s="138">
        <f t="shared" si="3326"/>
        <v>0</v>
      </c>
      <c r="AH802" s="138">
        <f t="shared" si="3326"/>
        <v>0</v>
      </c>
      <c r="AI802" s="138">
        <f t="shared" si="3326"/>
        <v>0</v>
      </c>
      <c r="AJ802" s="138">
        <f t="shared" si="3326"/>
        <v>0</v>
      </c>
      <c r="AK802" s="138">
        <f t="shared" si="3326"/>
        <v>0</v>
      </c>
      <c r="AL802" s="138">
        <f t="shared" si="3326"/>
        <v>0</v>
      </c>
      <c r="AM802" s="138">
        <f t="shared" si="3326"/>
        <v>0</v>
      </c>
      <c r="AN802" s="138">
        <f t="shared" si="3326"/>
        <v>0</v>
      </c>
      <c r="AO802" s="138">
        <f t="shared" si="3326"/>
        <v>0</v>
      </c>
      <c r="AP802" s="138">
        <f t="shared" si="3326"/>
        <v>0</v>
      </c>
      <c r="AQ802" s="138">
        <f t="shared" si="3326"/>
        <v>0</v>
      </c>
      <c r="AR802" s="138">
        <f t="shared" si="3326"/>
        <v>0</v>
      </c>
      <c r="AS802" s="138">
        <f t="shared" si="3326"/>
        <v>0</v>
      </c>
      <c r="AT802" s="138">
        <f t="shared" si="3326"/>
        <v>0</v>
      </c>
      <c r="AU802" s="138">
        <f t="shared" si="3326"/>
        <v>0</v>
      </c>
      <c r="AV802" s="138">
        <f t="shared" si="3326"/>
        <v>0</v>
      </c>
      <c r="AW802" s="148"/>
      <c r="AX802" s="171">
        <f t="shared" si="3325"/>
        <v>0</v>
      </c>
    </row>
    <row r="803" spans="1:50" hidden="1" outlineLevel="1" x14ac:dyDescent="0.2">
      <c r="A803" s="99" t="str">
        <f ca="1">Language!A$966</f>
        <v>прибыль/убыток от продажи актива (налоговая)</v>
      </c>
      <c r="C803" s="124" t="str">
        <f t="shared" ca="1" si="3259"/>
        <v>тыс. руб.</v>
      </c>
      <c r="D803" s="66">
        <v>1</v>
      </c>
      <c r="F803" s="57" t="s">
        <v>1079</v>
      </c>
      <c r="G803" s="138">
        <f t="shared" ref="G803:AV803" si="3327">SUM(G$738,G$766)</f>
        <v>0</v>
      </c>
      <c r="H803" s="138">
        <f t="shared" si="3327"/>
        <v>0</v>
      </c>
      <c r="I803" s="138">
        <f t="shared" si="3327"/>
        <v>0</v>
      </c>
      <c r="J803" s="138">
        <f t="shared" si="3327"/>
        <v>0</v>
      </c>
      <c r="K803" s="138">
        <f t="shared" si="3327"/>
        <v>0</v>
      </c>
      <c r="L803" s="138">
        <f t="shared" si="3327"/>
        <v>0</v>
      </c>
      <c r="M803" s="138">
        <f t="shared" si="3327"/>
        <v>0</v>
      </c>
      <c r="N803" s="138">
        <f t="shared" si="3327"/>
        <v>0</v>
      </c>
      <c r="O803" s="138">
        <f t="shared" si="3327"/>
        <v>0</v>
      </c>
      <c r="P803" s="138">
        <f t="shared" si="3327"/>
        <v>0</v>
      </c>
      <c r="Q803" s="138">
        <f t="shared" si="3327"/>
        <v>0</v>
      </c>
      <c r="R803" s="138">
        <f t="shared" si="3327"/>
        <v>0</v>
      </c>
      <c r="S803" s="138">
        <f t="shared" si="3327"/>
        <v>0</v>
      </c>
      <c r="T803" s="138">
        <f t="shared" si="3327"/>
        <v>0</v>
      </c>
      <c r="U803" s="138">
        <f t="shared" si="3327"/>
        <v>0</v>
      </c>
      <c r="V803" s="138">
        <f t="shared" si="3327"/>
        <v>0</v>
      </c>
      <c r="W803" s="138">
        <f t="shared" si="3327"/>
        <v>0</v>
      </c>
      <c r="X803" s="138">
        <f t="shared" si="3327"/>
        <v>0</v>
      </c>
      <c r="Y803" s="138">
        <f t="shared" si="3327"/>
        <v>0</v>
      </c>
      <c r="Z803" s="138">
        <f t="shared" si="3327"/>
        <v>0</v>
      </c>
      <c r="AA803" s="138">
        <f t="shared" si="3327"/>
        <v>0</v>
      </c>
      <c r="AB803" s="138">
        <f t="shared" si="3327"/>
        <v>0</v>
      </c>
      <c r="AC803" s="138">
        <f t="shared" si="3327"/>
        <v>0</v>
      </c>
      <c r="AD803" s="138">
        <f t="shared" si="3327"/>
        <v>0</v>
      </c>
      <c r="AE803" s="138">
        <f t="shared" si="3327"/>
        <v>0</v>
      </c>
      <c r="AF803" s="138">
        <f t="shared" si="3327"/>
        <v>0</v>
      </c>
      <c r="AG803" s="138">
        <f t="shared" si="3327"/>
        <v>0</v>
      </c>
      <c r="AH803" s="138">
        <f t="shared" si="3327"/>
        <v>0</v>
      </c>
      <c r="AI803" s="138">
        <f t="shared" si="3327"/>
        <v>0</v>
      </c>
      <c r="AJ803" s="138">
        <f t="shared" si="3327"/>
        <v>0</v>
      </c>
      <c r="AK803" s="138">
        <f t="shared" si="3327"/>
        <v>0</v>
      </c>
      <c r="AL803" s="138">
        <f t="shared" si="3327"/>
        <v>0</v>
      </c>
      <c r="AM803" s="138">
        <f t="shared" si="3327"/>
        <v>0</v>
      </c>
      <c r="AN803" s="138">
        <f t="shared" si="3327"/>
        <v>0</v>
      </c>
      <c r="AO803" s="138">
        <f t="shared" si="3327"/>
        <v>0</v>
      </c>
      <c r="AP803" s="138">
        <f t="shared" si="3327"/>
        <v>0</v>
      </c>
      <c r="AQ803" s="138">
        <f t="shared" si="3327"/>
        <v>0</v>
      </c>
      <c r="AR803" s="138">
        <f t="shared" si="3327"/>
        <v>0</v>
      </c>
      <c r="AS803" s="138">
        <f t="shared" si="3327"/>
        <v>0</v>
      </c>
      <c r="AT803" s="138">
        <f t="shared" si="3327"/>
        <v>0</v>
      </c>
      <c r="AU803" s="138">
        <f t="shared" si="3327"/>
        <v>0</v>
      </c>
      <c r="AV803" s="138">
        <f t="shared" si="3327"/>
        <v>0</v>
      </c>
      <c r="AW803" s="148"/>
      <c r="AX803" s="171">
        <f t="shared" si="3325"/>
        <v>0</v>
      </c>
    </row>
    <row r="804" spans="1:50" hidden="1" outlineLevel="1" x14ac:dyDescent="0.2">
      <c r="A804" s="99" t="str">
        <f ca="1">Language!A$967</f>
        <v>НДС к выручке от продажи актива</v>
      </c>
      <c r="C804" s="124" t="str">
        <f t="shared" ca="1" si="3259"/>
        <v>тыс. руб.</v>
      </c>
      <c r="D804" s="66">
        <v>1</v>
      </c>
      <c r="F804" s="57" t="s">
        <v>1080</v>
      </c>
      <c r="G804" s="138">
        <f t="shared" ref="G804:AV804" si="3328">SUM(G$739,G$767)</f>
        <v>0</v>
      </c>
      <c r="H804" s="138">
        <f t="shared" si="3328"/>
        <v>0</v>
      </c>
      <c r="I804" s="138">
        <f t="shared" si="3328"/>
        <v>0</v>
      </c>
      <c r="J804" s="138">
        <f t="shared" si="3328"/>
        <v>0</v>
      </c>
      <c r="K804" s="138">
        <f t="shared" si="3328"/>
        <v>0</v>
      </c>
      <c r="L804" s="138">
        <f t="shared" si="3328"/>
        <v>0</v>
      </c>
      <c r="M804" s="138">
        <f t="shared" si="3328"/>
        <v>0</v>
      </c>
      <c r="N804" s="138">
        <f t="shared" si="3328"/>
        <v>0</v>
      </c>
      <c r="O804" s="138">
        <f t="shared" si="3328"/>
        <v>0</v>
      </c>
      <c r="P804" s="138">
        <f t="shared" si="3328"/>
        <v>0</v>
      </c>
      <c r="Q804" s="138">
        <f t="shared" si="3328"/>
        <v>0</v>
      </c>
      <c r="R804" s="138">
        <f t="shared" si="3328"/>
        <v>0</v>
      </c>
      <c r="S804" s="138">
        <f t="shared" si="3328"/>
        <v>0</v>
      </c>
      <c r="T804" s="138">
        <f t="shared" si="3328"/>
        <v>0</v>
      </c>
      <c r="U804" s="138">
        <f t="shared" si="3328"/>
        <v>0</v>
      </c>
      <c r="V804" s="138">
        <f t="shared" si="3328"/>
        <v>0</v>
      </c>
      <c r="W804" s="138">
        <f t="shared" si="3328"/>
        <v>0</v>
      </c>
      <c r="X804" s="138">
        <f t="shared" si="3328"/>
        <v>0</v>
      </c>
      <c r="Y804" s="138">
        <f t="shared" si="3328"/>
        <v>0</v>
      </c>
      <c r="Z804" s="138">
        <f t="shared" si="3328"/>
        <v>0</v>
      </c>
      <c r="AA804" s="138">
        <f t="shared" si="3328"/>
        <v>0</v>
      </c>
      <c r="AB804" s="138">
        <f t="shared" si="3328"/>
        <v>0</v>
      </c>
      <c r="AC804" s="138">
        <f t="shared" si="3328"/>
        <v>0</v>
      </c>
      <c r="AD804" s="138">
        <f t="shared" si="3328"/>
        <v>0</v>
      </c>
      <c r="AE804" s="138">
        <f t="shared" si="3328"/>
        <v>0</v>
      </c>
      <c r="AF804" s="138">
        <f t="shared" si="3328"/>
        <v>0</v>
      </c>
      <c r="AG804" s="138">
        <f t="shared" si="3328"/>
        <v>0</v>
      </c>
      <c r="AH804" s="138">
        <f t="shared" si="3328"/>
        <v>0</v>
      </c>
      <c r="AI804" s="138">
        <f t="shared" si="3328"/>
        <v>0</v>
      </c>
      <c r="AJ804" s="138">
        <f t="shared" si="3328"/>
        <v>0</v>
      </c>
      <c r="AK804" s="138">
        <f t="shared" si="3328"/>
        <v>0</v>
      </c>
      <c r="AL804" s="138">
        <f t="shared" si="3328"/>
        <v>0</v>
      </c>
      <c r="AM804" s="138">
        <f t="shared" si="3328"/>
        <v>0</v>
      </c>
      <c r="AN804" s="138">
        <f t="shared" si="3328"/>
        <v>0</v>
      </c>
      <c r="AO804" s="138">
        <f t="shared" si="3328"/>
        <v>0</v>
      </c>
      <c r="AP804" s="138">
        <f t="shared" si="3328"/>
        <v>0</v>
      </c>
      <c r="AQ804" s="138">
        <f t="shared" si="3328"/>
        <v>0</v>
      </c>
      <c r="AR804" s="138">
        <f t="shared" si="3328"/>
        <v>0</v>
      </c>
      <c r="AS804" s="138">
        <f t="shared" si="3328"/>
        <v>0</v>
      </c>
      <c r="AT804" s="138">
        <f t="shared" si="3328"/>
        <v>0</v>
      </c>
      <c r="AU804" s="138">
        <f t="shared" si="3328"/>
        <v>0</v>
      </c>
      <c r="AV804" s="138">
        <f t="shared" si="3328"/>
        <v>0</v>
      </c>
      <c r="AW804" s="148"/>
      <c r="AX804" s="171">
        <f t="shared" si="3325"/>
        <v>0</v>
      </c>
    </row>
    <row r="805" spans="1:50" collapsed="1" x14ac:dyDescent="0.2">
      <c r="A805" s="65" t="str">
        <f ca="1">Language!A$968</f>
        <v>Итого: Нематериальные активы, с НДС</v>
      </c>
      <c r="C805" s="124" t="str">
        <f t="shared" ca="1" si="3259"/>
        <v>тыс. руб.</v>
      </c>
      <c r="D805" s="66">
        <v>1</v>
      </c>
      <c r="F805" s="57" t="s">
        <v>753</v>
      </c>
      <c r="G805" s="138">
        <f t="shared" ref="G805:K805" si="3329">G806+G811</f>
        <v>0</v>
      </c>
      <c r="H805" s="138">
        <f t="shared" si="3329"/>
        <v>0</v>
      </c>
      <c r="I805" s="138">
        <f t="shared" si="3329"/>
        <v>0</v>
      </c>
      <c r="J805" s="138">
        <f t="shared" si="3329"/>
        <v>0</v>
      </c>
      <c r="K805" s="138">
        <f t="shared" si="3329"/>
        <v>0</v>
      </c>
      <c r="L805" s="138">
        <f t="shared" ref="L805:M805" si="3330">L806+L811</f>
        <v>0</v>
      </c>
      <c r="M805" s="138">
        <f t="shared" si="3330"/>
        <v>0</v>
      </c>
      <c r="N805" s="138">
        <f t="shared" ref="N805:O805" si="3331">N806+N811</f>
        <v>0</v>
      </c>
      <c r="O805" s="138">
        <f t="shared" si="3331"/>
        <v>0</v>
      </c>
      <c r="P805" s="138">
        <f t="shared" ref="P805:Q805" si="3332">P806+P811</f>
        <v>0</v>
      </c>
      <c r="Q805" s="138">
        <f t="shared" si="3332"/>
        <v>0</v>
      </c>
      <c r="R805" s="138">
        <f t="shared" ref="R805:S805" si="3333">R806+R811</f>
        <v>0</v>
      </c>
      <c r="S805" s="138">
        <f t="shared" si="3333"/>
        <v>0</v>
      </c>
      <c r="T805" s="138">
        <f t="shared" ref="T805:U805" si="3334">T806+T811</f>
        <v>0</v>
      </c>
      <c r="U805" s="138">
        <f t="shared" si="3334"/>
        <v>0</v>
      </c>
      <c r="V805" s="138">
        <f t="shared" ref="V805:W805" si="3335">V806+V811</f>
        <v>0</v>
      </c>
      <c r="W805" s="138">
        <f t="shared" si="3335"/>
        <v>0</v>
      </c>
      <c r="X805" s="138">
        <f t="shared" ref="X805:Y805" si="3336">X806+X811</f>
        <v>0</v>
      </c>
      <c r="Y805" s="138">
        <f t="shared" si="3336"/>
        <v>0</v>
      </c>
      <c r="Z805" s="138">
        <f t="shared" ref="Z805:AA805" si="3337">Z806+Z811</f>
        <v>0</v>
      </c>
      <c r="AA805" s="138">
        <f t="shared" si="3337"/>
        <v>0</v>
      </c>
      <c r="AB805" s="138">
        <f t="shared" ref="AB805:AC805" si="3338">AB806+AB811</f>
        <v>0</v>
      </c>
      <c r="AC805" s="138">
        <f t="shared" si="3338"/>
        <v>0</v>
      </c>
      <c r="AD805" s="138">
        <f t="shared" ref="AD805:AE805" si="3339">AD806+AD811</f>
        <v>0</v>
      </c>
      <c r="AE805" s="138">
        <f t="shared" si="3339"/>
        <v>0</v>
      </c>
      <c r="AF805" s="138">
        <f t="shared" ref="AF805:AG805" si="3340">AF806+AF811</f>
        <v>0</v>
      </c>
      <c r="AG805" s="138">
        <f t="shared" si="3340"/>
        <v>0</v>
      </c>
      <c r="AH805" s="138">
        <f t="shared" ref="AH805:AI805" si="3341">AH806+AH811</f>
        <v>0</v>
      </c>
      <c r="AI805" s="138">
        <f t="shared" si="3341"/>
        <v>0</v>
      </c>
      <c r="AJ805" s="138">
        <f t="shared" ref="AJ805:AK805" si="3342">AJ806+AJ811</f>
        <v>0</v>
      </c>
      <c r="AK805" s="138">
        <f t="shared" si="3342"/>
        <v>0</v>
      </c>
      <c r="AL805" s="138">
        <f t="shared" ref="AL805:AM805" si="3343">AL806+AL811</f>
        <v>0</v>
      </c>
      <c r="AM805" s="138">
        <f t="shared" si="3343"/>
        <v>0</v>
      </c>
      <c r="AN805" s="138">
        <f t="shared" ref="AN805:AO805" si="3344">AN806+AN811</f>
        <v>0</v>
      </c>
      <c r="AO805" s="138">
        <f t="shared" si="3344"/>
        <v>0</v>
      </c>
      <c r="AP805" s="138">
        <f t="shared" ref="AP805:AQ805" si="3345">AP806+AP811</f>
        <v>0</v>
      </c>
      <c r="AQ805" s="138">
        <f t="shared" si="3345"/>
        <v>0</v>
      </c>
      <c r="AR805" s="138">
        <f t="shared" ref="AR805:AS805" si="3346">AR806+AR811</f>
        <v>0</v>
      </c>
      <c r="AS805" s="138">
        <f t="shared" si="3346"/>
        <v>0</v>
      </c>
      <c r="AT805" s="138">
        <f t="shared" ref="AT805:AU805" si="3347">AT806+AT811</f>
        <v>0</v>
      </c>
      <c r="AU805" s="138">
        <f t="shared" si="3347"/>
        <v>0</v>
      </c>
      <c r="AV805" s="138">
        <f t="shared" ref="AV805" si="3348">AV806+AV811</f>
        <v>0</v>
      </c>
      <c r="AW805" s="148"/>
      <c r="AX805" s="171">
        <f t="shared" si="3325"/>
        <v>0</v>
      </c>
    </row>
    <row r="806" spans="1:50" hidden="1" outlineLevel="1" x14ac:dyDescent="0.2">
      <c r="A806" s="99" t="str">
        <f ca="1">Language!A$969</f>
        <v>график оплаты (без НДС)</v>
      </c>
      <c r="C806" s="124" t="str">
        <f t="shared" ca="1" si="3259"/>
        <v>тыс. руб.</v>
      </c>
      <c r="D806" s="66">
        <v>1</v>
      </c>
      <c r="F806" s="57" t="s">
        <v>1081</v>
      </c>
      <c r="G806" s="138">
        <v>0</v>
      </c>
      <c r="H806" s="138">
        <v>0</v>
      </c>
      <c r="I806" s="138">
        <v>0</v>
      </c>
      <c r="J806" s="138">
        <v>0</v>
      </c>
      <c r="K806" s="138">
        <v>0</v>
      </c>
      <c r="L806" s="138">
        <v>0</v>
      </c>
      <c r="M806" s="138">
        <v>0</v>
      </c>
      <c r="N806" s="138">
        <v>0</v>
      </c>
      <c r="O806" s="138">
        <v>0</v>
      </c>
      <c r="P806" s="138">
        <v>0</v>
      </c>
      <c r="Q806" s="138">
        <v>0</v>
      </c>
      <c r="R806" s="138">
        <v>0</v>
      </c>
      <c r="S806" s="138">
        <v>0</v>
      </c>
      <c r="T806" s="138">
        <v>0</v>
      </c>
      <c r="U806" s="138">
        <v>0</v>
      </c>
      <c r="V806" s="138">
        <v>0</v>
      </c>
      <c r="W806" s="138">
        <v>0</v>
      </c>
      <c r="X806" s="138">
        <v>0</v>
      </c>
      <c r="Y806" s="138">
        <v>0</v>
      </c>
      <c r="Z806" s="138">
        <v>0</v>
      </c>
      <c r="AA806" s="138">
        <v>0</v>
      </c>
      <c r="AB806" s="138">
        <v>0</v>
      </c>
      <c r="AC806" s="138">
        <v>0</v>
      </c>
      <c r="AD806" s="138">
        <v>0</v>
      </c>
      <c r="AE806" s="138">
        <v>0</v>
      </c>
      <c r="AF806" s="138">
        <v>0</v>
      </c>
      <c r="AG806" s="138">
        <v>0</v>
      </c>
      <c r="AH806" s="138">
        <v>0</v>
      </c>
      <c r="AI806" s="138">
        <v>0</v>
      </c>
      <c r="AJ806" s="138">
        <v>0</v>
      </c>
      <c r="AK806" s="138">
        <v>0</v>
      </c>
      <c r="AL806" s="138">
        <v>0</v>
      </c>
      <c r="AM806" s="138">
        <v>0</v>
      </c>
      <c r="AN806" s="138">
        <v>0</v>
      </c>
      <c r="AO806" s="138">
        <v>0</v>
      </c>
      <c r="AP806" s="138">
        <v>0</v>
      </c>
      <c r="AQ806" s="138">
        <v>0</v>
      </c>
      <c r="AR806" s="138">
        <v>0</v>
      </c>
      <c r="AS806" s="138">
        <v>0</v>
      </c>
      <c r="AT806" s="138">
        <v>0</v>
      </c>
      <c r="AU806" s="138">
        <v>0</v>
      </c>
      <c r="AV806" s="138">
        <v>0</v>
      </c>
      <c r="AW806" s="148"/>
      <c r="AX806" s="171">
        <f t="shared" si="3325"/>
        <v>0</v>
      </c>
    </row>
    <row r="807" spans="1:50" hidden="1" outlineLevel="1" x14ac:dyDescent="0.2">
      <c r="A807" s="99" t="str">
        <f ca="1">Language!A$970</f>
        <v>незавершенные инвестиции</v>
      </c>
      <c r="C807" s="124" t="str">
        <f t="shared" ca="1" si="3259"/>
        <v>тыс. руб.</v>
      </c>
      <c r="D807" s="66">
        <v>1</v>
      </c>
      <c r="F807" s="57" t="s">
        <v>1082</v>
      </c>
      <c r="G807" s="138">
        <v>0</v>
      </c>
      <c r="H807" s="138">
        <v>0</v>
      </c>
      <c r="I807" s="138">
        <v>0</v>
      </c>
      <c r="J807" s="138">
        <v>0</v>
      </c>
      <c r="K807" s="138">
        <v>0</v>
      </c>
      <c r="L807" s="138">
        <v>0</v>
      </c>
      <c r="M807" s="138">
        <v>0</v>
      </c>
      <c r="N807" s="138">
        <v>0</v>
      </c>
      <c r="O807" s="138">
        <v>0</v>
      </c>
      <c r="P807" s="138">
        <v>0</v>
      </c>
      <c r="Q807" s="138">
        <v>0</v>
      </c>
      <c r="R807" s="138">
        <v>0</v>
      </c>
      <c r="S807" s="138">
        <v>0</v>
      </c>
      <c r="T807" s="138">
        <v>0</v>
      </c>
      <c r="U807" s="138">
        <v>0</v>
      </c>
      <c r="V807" s="138">
        <v>0</v>
      </c>
      <c r="W807" s="138">
        <v>0</v>
      </c>
      <c r="X807" s="138">
        <v>0</v>
      </c>
      <c r="Y807" s="138">
        <v>0</v>
      </c>
      <c r="Z807" s="138">
        <v>0</v>
      </c>
      <c r="AA807" s="138">
        <v>0</v>
      </c>
      <c r="AB807" s="138">
        <v>0</v>
      </c>
      <c r="AC807" s="138">
        <v>0</v>
      </c>
      <c r="AD807" s="138">
        <v>0</v>
      </c>
      <c r="AE807" s="138">
        <v>0</v>
      </c>
      <c r="AF807" s="138">
        <v>0</v>
      </c>
      <c r="AG807" s="138">
        <v>0</v>
      </c>
      <c r="AH807" s="138">
        <v>0</v>
      </c>
      <c r="AI807" s="138">
        <v>0</v>
      </c>
      <c r="AJ807" s="138">
        <v>0</v>
      </c>
      <c r="AK807" s="138">
        <v>0</v>
      </c>
      <c r="AL807" s="138">
        <v>0</v>
      </c>
      <c r="AM807" s="138">
        <v>0</v>
      </c>
      <c r="AN807" s="138">
        <v>0</v>
      </c>
      <c r="AO807" s="138">
        <v>0</v>
      </c>
      <c r="AP807" s="138">
        <v>0</v>
      </c>
      <c r="AQ807" s="138">
        <v>0</v>
      </c>
      <c r="AR807" s="138">
        <v>0</v>
      </c>
      <c r="AS807" s="138">
        <v>0</v>
      </c>
      <c r="AT807" s="138">
        <v>0</v>
      </c>
      <c r="AU807" s="138">
        <v>0</v>
      </c>
      <c r="AV807" s="138">
        <v>0</v>
      </c>
      <c r="AW807" s="148"/>
      <c r="AX807" s="171"/>
    </row>
    <row r="808" spans="1:50" hidden="1" outlineLevel="1" x14ac:dyDescent="0.2">
      <c r="A808" s="99" t="str">
        <f ca="1">Language!A$971</f>
        <v>кредиторская задолженность</v>
      </c>
      <c r="C808" s="124" t="str">
        <f t="shared" ca="1" si="3259"/>
        <v>тыс. руб.</v>
      </c>
      <c r="D808" s="66">
        <v>1</v>
      </c>
      <c r="F808" s="57" t="s">
        <v>1083</v>
      </c>
      <c r="G808" s="138">
        <v>0</v>
      </c>
      <c r="H808" s="138">
        <v>0</v>
      </c>
      <c r="I808" s="138">
        <v>0</v>
      </c>
      <c r="J808" s="138">
        <v>0</v>
      </c>
      <c r="K808" s="138">
        <v>0</v>
      </c>
      <c r="L808" s="138">
        <v>0</v>
      </c>
      <c r="M808" s="138">
        <v>0</v>
      </c>
      <c r="N808" s="138">
        <v>0</v>
      </c>
      <c r="O808" s="138">
        <v>0</v>
      </c>
      <c r="P808" s="138">
        <v>0</v>
      </c>
      <c r="Q808" s="138">
        <v>0</v>
      </c>
      <c r="R808" s="138">
        <v>0</v>
      </c>
      <c r="S808" s="138">
        <v>0</v>
      </c>
      <c r="T808" s="138">
        <v>0</v>
      </c>
      <c r="U808" s="138">
        <v>0</v>
      </c>
      <c r="V808" s="138">
        <v>0</v>
      </c>
      <c r="W808" s="138">
        <v>0</v>
      </c>
      <c r="X808" s="138">
        <v>0</v>
      </c>
      <c r="Y808" s="138">
        <v>0</v>
      </c>
      <c r="Z808" s="138">
        <v>0</v>
      </c>
      <c r="AA808" s="138">
        <v>0</v>
      </c>
      <c r="AB808" s="138">
        <v>0</v>
      </c>
      <c r="AC808" s="138">
        <v>0</v>
      </c>
      <c r="AD808" s="138">
        <v>0</v>
      </c>
      <c r="AE808" s="138">
        <v>0</v>
      </c>
      <c r="AF808" s="138">
        <v>0</v>
      </c>
      <c r="AG808" s="138">
        <v>0</v>
      </c>
      <c r="AH808" s="138">
        <v>0</v>
      </c>
      <c r="AI808" s="138">
        <v>0</v>
      </c>
      <c r="AJ808" s="138">
        <v>0</v>
      </c>
      <c r="AK808" s="138">
        <v>0</v>
      </c>
      <c r="AL808" s="138">
        <v>0</v>
      </c>
      <c r="AM808" s="138">
        <v>0</v>
      </c>
      <c r="AN808" s="138">
        <v>0</v>
      </c>
      <c r="AO808" s="138">
        <v>0</v>
      </c>
      <c r="AP808" s="138">
        <v>0</v>
      </c>
      <c r="AQ808" s="138">
        <v>0</v>
      </c>
      <c r="AR808" s="138">
        <v>0</v>
      </c>
      <c r="AS808" s="138">
        <v>0</v>
      </c>
      <c r="AT808" s="138">
        <v>0</v>
      </c>
      <c r="AU808" s="138">
        <v>0</v>
      </c>
      <c r="AV808" s="138">
        <v>0</v>
      </c>
      <c r="AW808" s="148"/>
      <c r="AX808" s="171"/>
    </row>
    <row r="809" spans="1:50" hidden="1" outlineLevel="1" x14ac:dyDescent="0.2">
      <c r="A809" s="99" t="str">
        <f ca="1">Language!A$972</f>
        <v>амортизация (бухгалтерская)</v>
      </c>
      <c r="C809" s="124" t="str">
        <f t="shared" ca="1" si="3259"/>
        <v>тыс. руб.</v>
      </c>
      <c r="D809" s="66">
        <v>1</v>
      </c>
      <c r="F809" s="57" t="s">
        <v>1084</v>
      </c>
      <c r="G809" s="138">
        <v>0</v>
      </c>
      <c r="H809" s="138">
        <v>0</v>
      </c>
      <c r="I809" s="138">
        <v>0</v>
      </c>
      <c r="J809" s="138">
        <v>0</v>
      </c>
      <c r="K809" s="138">
        <v>0</v>
      </c>
      <c r="L809" s="138">
        <v>0</v>
      </c>
      <c r="M809" s="138">
        <v>0</v>
      </c>
      <c r="N809" s="138">
        <v>0</v>
      </c>
      <c r="O809" s="138">
        <v>0</v>
      </c>
      <c r="P809" s="138">
        <v>0</v>
      </c>
      <c r="Q809" s="138">
        <v>0</v>
      </c>
      <c r="R809" s="138">
        <v>0</v>
      </c>
      <c r="S809" s="138">
        <v>0</v>
      </c>
      <c r="T809" s="138">
        <v>0</v>
      </c>
      <c r="U809" s="138">
        <v>0</v>
      </c>
      <c r="V809" s="138">
        <v>0</v>
      </c>
      <c r="W809" s="138">
        <v>0</v>
      </c>
      <c r="X809" s="138">
        <v>0</v>
      </c>
      <c r="Y809" s="138">
        <v>0</v>
      </c>
      <c r="Z809" s="138">
        <v>0</v>
      </c>
      <c r="AA809" s="138">
        <v>0</v>
      </c>
      <c r="AB809" s="138">
        <v>0</v>
      </c>
      <c r="AC809" s="138">
        <v>0</v>
      </c>
      <c r="AD809" s="138">
        <v>0</v>
      </c>
      <c r="AE809" s="138">
        <v>0</v>
      </c>
      <c r="AF809" s="138">
        <v>0</v>
      </c>
      <c r="AG809" s="138">
        <v>0</v>
      </c>
      <c r="AH809" s="138">
        <v>0</v>
      </c>
      <c r="AI809" s="138">
        <v>0</v>
      </c>
      <c r="AJ809" s="138">
        <v>0</v>
      </c>
      <c r="AK809" s="138">
        <v>0</v>
      </c>
      <c r="AL809" s="138">
        <v>0</v>
      </c>
      <c r="AM809" s="138">
        <v>0</v>
      </c>
      <c r="AN809" s="138">
        <v>0</v>
      </c>
      <c r="AO809" s="138">
        <v>0</v>
      </c>
      <c r="AP809" s="138">
        <v>0</v>
      </c>
      <c r="AQ809" s="138">
        <v>0</v>
      </c>
      <c r="AR809" s="138">
        <v>0</v>
      </c>
      <c r="AS809" s="138">
        <v>0</v>
      </c>
      <c r="AT809" s="138">
        <v>0</v>
      </c>
      <c r="AU809" s="138">
        <v>0</v>
      </c>
      <c r="AV809" s="138">
        <v>0</v>
      </c>
      <c r="AW809" s="148"/>
      <c r="AX809" s="171">
        <f>SUM(G809:AW809)</f>
        <v>0</v>
      </c>
    </row>
    <row r="810" spans="1:50" hidden="1" outlineLevel="1" x14ac:dyDescent="0.2">
      <c r="A810" s="99" t="str">
        <f ca="1">Language!A$973</f>
        <v>балансовая стоимость (бухгалтерская)</v>
      </c>
      <c r="C810" s="124" t="str">
        <f t="shared" ca="1" si="3259"/>
        <v>тыс. руб.</v>
      </c>
      <c r="D810" s="66">
        <v>1</v>
      </c>
      <c r="F810" s="57" t="s">
        <v>1085</v>
      </c>
      <c r="G810" s="138">
        <v>0</v>
      </c>
      <c r="H810" s="138">
        <v>0</v>
      </c>
      <c r="I810" s="138">
        <v>0</v>
      </c>
      <c r="J810" s="138">
        <v>0</v>
      </c>
      <c r="K810" s="138">
        <v>0</v>
      </c>
      <c r="L810" s="138">
        <v>0</v>
      </c>
      <c r="M810" s="138">
        <v>0</v>
      </c>
      <c r="N810" s="138">
        <v>0</v>
      </c>
      <c r="O810" s="138">
        <v>0</v>
      </c>
      <c r="P810" s="138">
        <v>0</v>
      </c>
      <c r="Q810" s="138">
        <v>0</v>
      </c>
      <c r="R810" s="138">
        <v>0</v>
      </c>
      <c r="S810" s="138">
        <v>0</v>
      </c>
      <c r="T810" s="138">
        <v>0</v>
      </c>
      <c r="U810" s="138">
        <v>0</v>
      </c>
      <c r="V810" s="138">
        <v>0</v>
      </c>
      <c r="W810" s="138">
        <v>0</v>
      </c>
      <c r="X810" s="138">
        <v>0</v>
      </c>
      <c r="Y810" s="138">
        <v>0</v>
      </c>
      <c r="Z810" s="138">
        <v>0</v>
      </c>
      <c r="AA810" s="138">
        <v>0</v>
      </c>
      <c r="AB810" s="138">
        <v>0</v>
      </c>
      <c r="AC810" s="138">
        <v>0</v>
      </c>
      <c r="AD810" s="138">
        <v>0</v>
      </c>
      <c r="AE810" s="138">
        <v>0</v>
      </c>
      <c r="AF810" s="138">
        <v>0</v>
      </c>
      <c r="AG810" s="138">
        <v>0</v>
      </c>
      <c r="AH810" s="138">
        <v>0</v>
      </c>
      <c r="AI810" s="138">
        <v>0</v>
      </c>
      <c r="AJ810" s="138">
        <v>0</v>
      </c>
      <c r="AK810" s="138">
        <v>0</v>
      </c>
      <c r="AL810" s="138">
        <v>0</v>
      </c>
      <c r="AM810" s="138">
        <v>0</v>
      </c>
      <c r="AN810" s="138">
        <v>0</v>
      </c>
      <c r="AO810" s="138">
        <v>0</v>
      </c>
      <c r="AP810" s="138">
        <v>0</v>
      </c>
      <c r="AQ810" s="138">
        <v>0</v>
      </c>
      <c r="AR810" s="138">
        <v>0</v>
      </c>
      <c r="AS810" s="138">
        <v>0</v>
      </c>
      <c r="AT810" s="138">
        <v>0</v>
      </c>
      <c r="AU810" s="138">
        <v>0</v>
      </c>
      <c r="AV810" s="138">
        <v>0</v>
      </c>
      <c r="AW810" s="148"/>
      <c r="AX810" s="171"/>
    </row>
    <row r="811" spans="1:50" hidden="1" outlineLevel="1" x14ac:dyDescent="0.2">
      <c r="A811" s="99" t="str">
        <f ca="1">Language!A$974</f>
        <v>выплаченный НДС</v>
      </c>
      <c r="C811" s="124" t="str">
        <f t="shared" ca="1" si="3259"/>
        <v>тыс. руб.</v>
      </c>
      <c r="D811" s="66">
        <v>1</v>
      </c>
      <c r="F811" s="57" t="s">
        <v>1086</v>
      </c>
      <c r="G811" s="138">
        <v>0</v>
      </c>
      <c r="H811" s="138">
        <v>0</v>
      </c>
      <c r="I811" s="138">
        <v>0</v>
      </c>
      <c r="J811" s="138">
        <v>0</v>
      </c>
      <c r="K811" s="138">
        <v>0</v>
      </c>
      <c r="L811" s="138">
        <v>0</v>
      </c>
      <c r="M811" s="138">
        <v>0</v>
      </c>
      <c r="N811" s="138">
        <v>0</v>
      </c>
      <c r="O811" s="138">
        <v>0</v>
      </c>
      <c r="P811" s="138">
        <v>0</v>
      </c>
      <c r="Q811" s="138">
        <v>0</v>
      </c>
      <c r="R811" s="138">
        <v>0</v>
      </c>
      <c r="S811" s="138">
        <v>0</v>
      </c>
      <c r="T811" s="138">
        <v>0</v>
      </c>
      <c r="U811" s="138">
        <v>0</v>
      </c>
      <c r="V811" s="138">
        <v>0</v>
      </c>
      <c r="W811" s="138">
        <v>0</v>
      </c>
      <c r="X811" s="138">
        <v>0</v>
      </c>
      <c r="Y811" s="138">
        <v>0</v>
      </c>
      <c r="Z811" s="138">
        <v>0</v>
      </c>
      <c r="AA811" s="138">
        <v>0</v>
      </c>
      <c r="AB811" s="138">
        <v>0</v>
      </c>
      <c r="AC811" s="138">
        <v>0</v>
      </c>
      <c r="AD811" s="138">
        <v>0</v>
      </c>
      <c r="AE811" s="138">
        <v>0</v>
      </c>
      <c r="AF811" s="138">
        <v>0</v>
      </c>
      <c r="AG811" s="138">
        <v>0</v>
      </c>
      <c r="AH811" s="138">
        <v>0</v>
      </c>
      <c r="AI811" s="138">
        <v>0</v>
      </c>
      <c r="AJ811" s="138">
        <v>0</v>
      </c>
      <c r="AK811" s="138">
        <v>0</v>
      </c>
      <c r="AL811" s="138">
        <v>0</v>
      </c>
      <c r="AM811" s="138">
        <v>0</v>
      </c>
      <c r="AN811" s="138">
        <v>0</v>
      </c>
      <c r="AO811" s="138">
        <v>0</v>
      </c>
      <c r="AP811" s="138">
        <v>0</v>
      </c>
      <c r="AQ811" s="138">
        <v>0</v>
      </c>
      <c r="AR811" s="138">
        <v>0</v>
      </c>
      <c r="AS811" s="138">
        <v>0</v>
      </c>
      <c r="AT811" s="138">
        <v>0</v>
      </c>
      <c r="AU811" s="138">
        <v>0</v>
      </c>
      <c r="AV811" s="138">
        <v>0</v>
      </c>
      <c r="AW811" s="148"/>
      <c r="AX811" s="171">
        <f>SUM(G811:AW811)</f>
        <v>0</v>
      </c>
    </row>
    <row r="812" spans="1:50" hidden="1" outlineLevel="1" x14ac:dyDescent="0.2">
      <c r="A812" s="99" t="str">
        <f ca="1">Language!A$975</f>
        <v>зачтенный НДС</v>
      </c>
      <c r="C812" s="124" t="str">
        <f t="shared" ca="1" si="3259"/>
        <v>тыс. руб.</v>
      </c>
      <c r="D812" s="66">
        <v>1</v>
      </c>
      <c r="F812" s="57" t="s">
        <v>1087</v>
      </c>
      <c r="G812" s="138">
        <v>0</v>
      </c>
      <c r="H812" s="138">
        <v>0</v>
      </c>
      <c r="I812" s="138">
        <v>0</v>
      </c>
      <c r="J812" s="138">
        <v>0</v>
      </c>
      <c r="K812" s="138">
        <v>0</v>
      </c>
      <c r="L812" s="138">
        <v>0</v>
      </c>
      <c r="M812" s="138">
        <v>0</v>
      </c>
      <c r="N812" s="138">
        <v>0</v>
      </c>
      <c r="O812" s="138">
        <v>0</v>
      </c>
      <c r="P812" s="138">
        <v>0</v>
      </c>
      <c r="Q812" s="138">
        <v>0</v>
      </c>
      <c r="R812" s="138">
        <v>0</v>
      </c>
      <c r="S812" s="138">
        <v>0</v>
      </c>
      <c r="T812" s="138">
        <v>0</v>
      </c>
      <c r="U812" s="138">
        <v>0</v>
      </c>
      <c r="V812" s="138">
        <v>0</v>
      </c>
      <c r="W812" s="138">
        <v>0</v>
      </c>
      <c r="X812" s="138">
        <v>0</v>
      </c>
      <c r="Y812" s="138">
        <v>0</v>
      </c>
      <c r="Z812" s="138">
        <v>0</v>
      </c>
      <c r="AA812" s="138">
        <v>0</v>
      </c>
      <c r="AB812" s="138">
        <v>0</v>
      </c>
      <c r="AC812" s="138">
        <v>0</v>
      </c>
      <c r="AD812" s="138">
        <v>0</v>
      </c>
      <c r="AE812" s="138">
        <v>0</v>
      </c>
      <c r="AF812" s="138">
        <v>0</v>
      </c>
      <c r="AG812" s="138">
        <v>0</v>
      </c>
      <c r="AH812" s="138">
        <v>0</v>
      </c>
      <c r="AI812" s="138">
        <v>0</v>
      </c>
      <c r="AJ812" s="138">
        <v>0</v>
      </c>
      <c r="AK812" s="138">
        <v>0</v>
      </c>
      <c r="AL812" s="138">
        <v>0</v>
      </c>
      <c r="AM812" s="138">
        <v>0</v>
      </c>
      <c r="AN812" s="138">
        <v>0</v>
      </c>
      <c r="AO812" s="138">
        <v>0</v>
      </c>
      <c r="AP812" s="138">
        <v>0</v>
      </c>
      <c r="AQ812" s="138">
        <v>0</v>
      </c>
      <c r="AR812" s="138">
        <v>0</v>
      </c>
      <c r="AS812" s="138">
        <v>0</v>
      </c>
      <c r="AT812" s="138">
        <v>0</v>
      </c>
      <c r="AU812" s="138">
        <v>0</v>
      </c>
      <c r="AV812" s="138">
        <v>0</v>
      </c>
      <c r="AW812" s="148"/>
      <c r="AX812" s="171">
        <f>SUM(G812:AW812)</f>
        <v>0</v>
      </c>
    </row>
    <row r="813" spans="1:50" hidden="1" outlineLevel="1" x14ac:dyDescent="0.2">
      <c r="A813" s="99" t="str">
        <f ca="1">Language!A$976</f>
        <v>выручка от продажи актива</v>
      </c>
      <c r="C813" s="124" t="str">
        <f t="shared" ca="1" si="3259"/>
        <v>тыс. руб.</v>
      </c>
      <c r="D813" s="66">
        <v>1</v>
      </c>
      <c r="F813" s="57" t="s">
        <v>1088</v>
      </c>
      <c r="G813" s="138">
        <v>0</v>
      </c>
      <c r="H813" s="138">
        <v>0</v>
      </c>
      <c r="I813" s="138">
        <v>0</v>
      </c>
      <c r="J813" s="138">
        <v>0</v>
      </c>
      <c r="K813" s="138">
        <v>0</v>
      </c>
      <c r="L813" s="138">
        <v>0</v>
      </c>
      <c r="M813" s="138">
        <v>0</v>
      </c>
      <c r="N813" s="138">
        <v>0</v>
      </c>
      <c r="O813" s="138">
        <v>0</v>
      </c>
      <c r="P813" s="138">
        <v>0</v>
      </c>
      <c r="Q813" s="138">
        <v>0</v>
      </c>
      <c r="R813" s="138">
        <v>0</v>
      </c>
      <c r="S813" s="138">
        <v>0</v>
      </c>
      <c r="T813" s="138">
        <v>0</v>
      </c>
      <c r="U813" s="138">
        <v>0</v>
      </c>
      <c r="V813" s="138">
        <v>0</v>
      </c>
      <c r="W813" s="138">
        <v>0</v>
      </c>
      <c r="X813" s="138">
        <v>0</v>
      </c>
      <c r="Y813" s="138">
        <v>0</v>
      </c>
      <c r="Z813" s="138">
        <v>0</v>
      </c>
      <c r="AA813" s="138">
        <v>0</v>
      </c>
      <c r="AB813" s="138">
        <v>0</v>
      </c>
      <c r="AC813" s="138">
        <v>0</v>
      </c>
      <c r="AD813" s="138">
        <v>0</v>
      </c>
      <c r="AE813" s="138">
        <v>0</v>
      </c>
      <c r="AF813" s="138">
        <v>0</v>
      </c>
      <c r="AG813" s="138">
        <v>0</v>
      </c>
      <c r="AH813" s="138">
        <v>0</v>
      </c>
      <c r="AI813" s="138">
        <v>0</v>
      </c>
      <c r="AJ813" s="138">
        <v>0</v>
      </c>
      <c r="AK813" s="138">
        <v>0</v>
      </c>
      <c r="AL813" s="138">
        <v>0</v>
      </c>
      <c r="AM813" s="138">
        <v>0</v>
      </c>
      <c r="AN813" s="138">
        <v>0</v>
      </c>
      <c r="AO813" s="138">
        <v>0</v>
      </c>
      <c r="AP813" s="138">
        <v>0</v>
      </c>
      <c r="AQ813" s="138">
        <v>0</v>
      </c>
      <c r="AR813" s="138">
        <v>0</v>
      </c>
      <c r="AS813" s="138">
        <v>0</v>
      </c>
      <c r="AT813" s="138">
        <v>0</v>
      </c>
      <c r="AU813" s="138">
        <v>0</v>
      </c>
      <c r="AV813" s="138">
        <v>0</v>
      </c>
      <c r="AW813" s="148"/>
      <c r="AX813" s="171">
        <f>SUM(G813:AW813)</f>
        <v>0</v>
      </c>
    </row>
    <row r="814" spans="1:50" hidden="1" outlineLevel="1" x14ac:dyDescent="0.2">
      <c r="A814" s="99" t="str">
        <f ca="1">Language!A$977</f>
        <v>прибыль/убыток от продажи актива (бухгалтерская)</v>
      </c>
      <c r="C814" s="124" t="str">
        <f t="shared" ca="1" si="3259"/>
        <v>тыс. руб.</v>
      </c>
      <c r="D814" s="66">
        <v>1</v>
      </c>
      <c r="F814" s="57" t="s">
        <v>1089</v>
      </c>
      <c r="G814" s="138">
        <v>0</v>
      </c>
      <c r="H814" s="138">
        <v>0</v>
      </c>
      <c r="I814" s="138">
        <v>0</v>
      </c>
      <c r="J814" s="138">
        <v>0</v>
      </c>
      <c r="K814" s="138">
        <v>0</v>
      </c>
      <c r="L814" s="138">
        <v>0</v>
      </c>
      <c r="M814" s="138">
        <v>0</v>
      </c>
      <c r="N814" s="138">
        <v>0</v>
      </c>
      <c r="O814" s="138">
        <v>0</v>
      </c>
      <c r="P814" s="138">
        <v>0</v>
      </c>
      <c r="Q814" s="138">
        <v>0</v>
      </c>
      <c r="R814" s="138">
        <v>0</v>
      </c>
      <c r="S814" s="138">
        <v>0</v>
      </c>
      <c r="T814" s="138">
        <v>0</v>
      </c>
      <c r="U814" s="138">
        <v>0</v>
      </c>
      <c r="V814" s="138">
        <v>0</v>
      </c>
      <c r="W814" s="138">
        <v>0</v>
      </c>
      <c r="X814" s="138">
        <v>0</v>
      </c>
      <c r="Y814" s="138">
        <v>0</v>
      </c>
      <c r="Z814" s="138">
        <v>0</v>
      </c>
      <c r="AA814" s="138">
        <v>0</v>
      </c>
      <c r="AB814" s="138">
        <v>0</v>
      </c>
      <c r="AC814" s="138">
        <v>0</v>
      </c>
      <c r="AD814" s="138">
        <v>0</v>
      </c>
      <c r="AE814" s="138">
        <v>0</v>
      </c>
      <c r="AF814" s="138">
        <v>0</v>
      </c>
      <c r="AG814" s="138">
        <v>0</v>
      </c>
      <c r="AH814" s="138">
        <v>0</v>
      </c>
      <c r="AI814" s="138">
        <v>0</v>
      </c>
      <c r="AJ814" s="138">
        <v>0</v>
      </c>
      <c r="AK814" s="138">
        <v>0</v>
      </c>
      <c r="AL814" s="138">
        <v>0</v>
      </c>
      <c r="AM814" s="138">
        <v>0</v>
      </c>
      <c r="AN814" s="138">
        <v>0</v>
      </c>
      <c r="AO814" s="138">
        <v>0</v>
      </c>
      <c r="AP814" s="138">
        <v>0</v>
      </c>
      <c r="AQ814" s="138">
        <v>0</v>
      </c>
      <c r="AR814" s="138">
        <v>0</v>
      </c>
      <c r="AS814" s="138">
        <v>0</v>
      </c>
      <c r="AT814" s="138">
        <v>0</v>
      </c>
      <c r="AU814" s="138">
        <v>0</v>
      </c>
      <c r="AV814" s="138">
        <v>0</v>
      </c>
      <c r="AW814" s="148"/>
      <c r="AX814" s="171">
        <f>SUM(G814:AW814)</f>
        <v>0</v>
      </c>
    </row>
    <row r="815" spans="1:50" hidden="1" outlineLevel="1" x14ac:dyDescent="0.2">
      <c r="A815" s="99" t="str">
        <f ca="1">Language!A$978</f>
        <v>НДС к выручке от продажи актива</v>
      </c>
      <c r="C815" s="124" t="str">
        <f t="shared" ca="1" si="3259"/>
        <v>тыс. руб.</v>
      </c>
      <c r="D815" s="66">
        <v>1</v>
      </c>
      <c r="F815" s="57" t="s">
        <v>1090</v>
      </c>
      <c r="G815" s="138">
        <v>0</v>
      </c>
      <c r="H815" s="138">
        <v>0</v>
      </c>
      <c r="I815" s="138">
        <v>0</v>
      </c>
      <c r="J815" s="138">
        <v>0</v>
      </c>
      <c r="K815" s="138">
        <v>0</v>
      </c>
      <c r="L815" s="138">
        <v>0</v>
      </c>
      <c r="M815" s="138">
        <v>0</v>
      </c>
      <c r="N815" s="138">
        <v>0</v>
      </c>
      <c r="O815" s="138">
        <v>0</v>
      </c>
      <c r="P815" s="138">
        <v>0</v>
      </c>
      <c r="Q815" s="138">
        <v>0</v>
      </c>
      <c r="R815" s="138">
        <v>0</v>
      </c>
      <c r="S815" s="138">
        <v>0</v>
      </c>
      <c r="T815" s="138">
        <v>0</v>
      </c>
      <c r="U815" s="138">
        <v>0</v>
      </c>
      <c r="V815" s="138">
        <v>0</v>
      </c>
      <c r="W815" s="138">
        <v>0</v>
      </c>
      <c r="X815" s="138">
        <v>0</v>
      </c>
      <c r="Y815" s="138">
        <v>0</v>
      </c>
      <c r="Z815" s="138">
        <v>0</v>
      </c>
      <c r="AA815" s="138">
        <v>0</v>
      </c>
      <c r="AB815" s="138">
        <v>0</v>
      </c>
      <c r="AC815" s="138">
        <v>0</v>
      </c>
      <c r="AD815" s="138">
        <v>0</v>
      </c>
      <c r="AE815" s="138">
        <v>0</v>
      </c>
      <c r="AF815" s="138">
        <v>0</v>
      </c>
      <c r="AG815" s="138">
        <v>0</v>
      </c>
      <c r="AH815" s="138">
        <v>0</v>
      </c>
      <c r="AI815" s="138">
        <v>0</v>
      </c>
      <c r="AJ815" s="138">
        <v>0</v>
      </c>
      <c r="AK815" s="138">
        <v>0</v>
      </c>
      <c r="AL815" s="138">
        <v>0</v>
      </c>
      <c r="AM815" s="138">
        <v>0</v>
      </c>
      <c r="AN815" s="138">
        <v>0</v>
      </c>
      <c r="AO815" s="138">
        <v>0</v>
      </c>
      <c r="AP815" s="138">
        <v>0</v>
      </c>
      <c r="AQ815" s="138">
        <v>0</v>
      </c>
      <c r="AR815" s="138">
        <v>0</v>
      </c>
      <c r="AS815" s="138">
        <v>0</v>
      </c>
      <c r="AT815" s="138">
        <v>0</v>
      </c>
      <c r="AU815" s="138">
        <v>0</v>
      </c>
      <c r="AV815" s="138">
        <v>0</v>
      </c>
      <c r="AW815" s="148"/>
      <c r="AX815" s="171">
        <f>SUM(G815:AW815)</f>
        <v>0</v>
      </c>
    </row>
    <row r="816" spans="1:50" x14ac:dyDescent="0.2">
      <c r="A816" s="65"/>
      <c r="C816" s="124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48"/>
      <c r="AX816" s="171"/>
    </row>
    <row r="817" spans="1:50" x14ac:dyDescent="0.2">
      <c r="A817" s="92" t="str">
        <f ca="1">Language!A$979</f>
        <v>Суммарные инвестиции, с НДС и пошлинами</v>
      </c>
      <c r="C817" s="124" t="str">
        <f t="shared" ref="C817:C822" ca="1" si="3349">CurName1</f>
        <v>тыс. руб.</v>
      </c>
      <c r="D817" s="66">
        <v>1</v>
      </c>
      <c r="F817" s="57" t="s">
        <v>753</v>
      </c>
      <c r="G817" s="143">
        <f t="shared" ref="G817:K817" si="3350">G770+G776+G790+G805</f>
        <v>99108</v>
      </c>
      <c r="H817" s="143">
        <f t="shared" si="3350"/>
        <v>127760.00000000001</v>
      </c>
      <c r="I817" s="143">
        <f t="shared" si="3350"/>
        <v>92760</v>
      </c>
      <c r="J817" s="143">
        <f t="shared" si="3350"/>
        <v>82018</v>
      </c>
      <c r="K817" s="143">
        <f t="shared" si="3350"/>
        <v>0</v>
      </c>
      <c r="L817" s="143">
        <f t="shared" ref="L817:M817" si="3351">L770+L776+L790+L805</f>
        <v>0</v>
      </c>
      <c r="M817" s="143">
        <f t="shared" si="3351"/>
        <v>0</v>
      </c>
      <c r="N817" s="143">
        <f t="shared" ref="N817:O817" si="3352">N770+N776+N790+N805</f>
        <v>0</v>
      </c>
      <c r="O817" s="143">
        <f t="shared" si="3352"/>
        <v>0</v>
      </c>
      <c r="P817" s="143">
        <f t="shared" ref="P817:Q817" si="3353">P770+P776+P790+P805</f>
        <v>0</v>
      </c>
      <c r="Q817" s="143">
        <f t="shared" si="3353"/>
        <v>0</v>
      </c>
      <c r="R817" s="143">
        <f t="shared" ref="R817:S817" si="3354">R770+R776+R790+R805</f>
        <v>0</v>
      </c>
      <c r="S817" s="143">
        <f t="shared" si="3354"/>
        <v>0</v>
      </c>
      <c r="T817" s="143">
        <f t="shared" ref="T817:U817" si="3355">T770+T776+T790+T805</f>
        <v>0</v>
      </c>
      <c r="U817" s="143">
        <f t="shared" si="3355"/>
        <v>0</v>
      </c>
      <c r="V817" s="143">
        <f t="shared" ref="V817:W817" si="3356">V770+V776+V790+V805</f>
        <v>0</v>
      </c>
      <c r="W817" s="143">
        <f t="shared" si="3356"/>
        <v>0</v>
      </c>
      <c r="X817" s="143">
        <f t="shared" ref="X817:Y817" si="3357">X770+X776+X790+X805</f>
        <v>0</v>
      </c>
      <c r="Y817" s="143">
        <f t="shared" si="3357"/>
        <v>0</v>
      </c>
      <c r="Z817" s="143">
        <f t="shared" ref="Z817:AA817" si="3358">Z770+Z776+Z790+Z805</f>
        <v>0</v>
      </c>
      <c r="AA817" s="143">
        <f t="shared" si="3358"/>
        <v>0</v>
      </c>
      <c r="AB817" s="143">
        <f t="shared" ref="AB817:AC817" si="3359">AB770+AB776+AB790+AB805</f>
        <v>0</v>
      </c>
      <c r="AC817" s="143">
        <f t="shared" si="3359"/>
        <v>0</v>
      </c>
      <c r="AD817" s="143">
        <f t="shared" ref="AD817:AE817" si="3360">AD770+AD776+AD790+AD805</f>
        <v>0</v>
      </c>
      <c r="AE817" s="143">
        <f t="shared" si="3360"/>
        <v>0</v>
      </c>
      <c r="AF817" s="143">
        <f t="shared" ref="AF817:AG817" si="3361">AF770+AF776+AF790+AF805</f>
        <v>0</v>
      </c>
      <c r="AG817" s="143">
        <f t="shared" si="3361"/>
        <v>0</v>
      </c>
      <c r="AH817" s="143">
        <f t="shared" ref="AH817:AI817" si="3362">AH770+AH776+AH790+AH805</f>
        <v>0</v>
      </c>
      <c r="AI817" s="143">
        <f t="shared" si="3362"/>
        <v>0</v>
      </c>
      <c r="AJ817" s="143">
        <f t="shared" ref="AJ817:AK817" si="3363">AJ770+AJ776+AJ790+AJ805</f>
        <v>0</v>
      </c>
      <c r="AK817" s="143">
        <f t="shared" si="3363"/>
        <v>0</v>
      </c>
      <c r="AL817" s="143">
        <f t="shared" ref="AL817:AM817" si="3364">AL770+AL776+AL790+AL805</f>
        <v>0</v>
      </c>
      <c r="AM817" s="143">
        <f t="shared" si="3364"/>
        <v>0</v>
      </c>
      <c r="AN817" s="143">
        <f t="shared" ref="AN817:AO817" si="3365">AN770+AN776+AN790+AN805</f>
        <v>0</v>
      </c>
      <c r="AO817" s="143">
        <f t="shared" si="3365"/>
        <v>0</v>
      </c>
      <c r="AP817" s="143">
        <f t="shared" ref="AP817:AQ817" si="3366">AP770+AP776+AP790+AP805</f>
        <v>0</v>
      </c>
      <c r="AQ817" s="143">
        <f t="shared" si="3366"/>
        <v>0</v>
      </c>
      <c r="AR817" s="143">
        <f t="shared" ref="AR817:AS817" si="3367">AR770+AR776+AR790+AR805</f>
        <v>0</v>
      </c>
      <c r="AS817" s="143">
        <f t="shared" si="3367"/>
        <v>0</v>
      </c>
      <c r="AT817" s="143">
        <f t="shared" ref="AT817:AU817" si="3368">AT770+AT776+AT790+AT805</f>
        <v>0</v>
      </c>
      <c r="AU817" s="143">
        <f t="shared" si="3368"/>
        <v>0</v>
      </c>
      <c r="AV817" s="143">
        <f t="shared" ref="AV817" si="3369">AV770+AV776+AV790+AV805</f>
        <v>0</v>
      </c>
      <c r="AW817" s="212"/>
      <c r="AX817" s="213">
        <f t="shared" ref="AX817:AX822" si="3370">SUM(G817:AW817)</f>
        <v>401646</v>
      </c>
    </row>
    <row r="818" spans="1:50" x14ac:dyDescent="0.2">
      <c r="A818" s="99" t="str">
        <f ca="1">Language!A$980</f>
        <v>в том числе НДС</v>
      </c>
      <c r="C818" s="124" t="str">
        <f t="shared" ca="1" si="3349"/>
        <v>тыс. руб.</v>
      </c>
      <c r="D818" s="66">
        <v>1</v>
      </c>
      <c r="F818" s="57" t="s">
        <v>753</v>
      </c>
      <c r="G818" s="138">
        <f t="shared" ref="G818:K818" si="3371">G782+G797+G811</f>
        <v>15118.169491525423</v>
      </c>
      <c r="H818" s="138">
        <f t="shared" si="3371"/>
        <v>19488.813559322036</v>
      </c>
      <c r="I818" s="138">
        <f t="shared" si="3371"/>
        <v>14149.830508474577</v>
      </c>
      <c r="J818" s="138">
        <f t="shared" si="3371"/>
        <v>12511.220338983052</v>
      </c>
      <c r="K818" s="138">
        <f t="shared" si="3371"/>
        <v>0</v>
      </c>
      <c r="L818" s="138">
        <f t="shared" ref="L818:M818" si="3372">L782+L797+L811</f>
        <v>0</v>
      </c>
      <c r="M818" s="138">
        <f t="shared" si="3372"/>
        <v>0</v>
      </c>
      <c r="N818" s="138">
        <f t="shared" ref="N818:O818" si="3373">N782+N797+N811</f>
        <v>0</v>
      </c>
      <c r="O818" s="138">
        <f t="shared" si="3373"/>
        <v>0</v>
      </c>
      <c r="P818" s="138">
        <f t="shared" ref="P818:Q818" si="3374">P782+P797+P811</f>
        <v>0</v>
      </c>
      <c r="Q818" s="138">
        <f t="shared" si="3374"/>
        <v>0</v>
      </c>
      <c r="R818" s="138">
        <f t="shared" ref="R818:S818" si="3375">R782+R797+R811</f>
        <v>0</v>
      </c>
      <c r="S818" s="138">
        <f t="shared" si="3375"/>
        <v>0</v>
      </c>
      <c r="T818" s="138">
        <f t="shared" ref="T818:U818" si="3376">T782+T797+T811</f>
        <v>0</v>
      </c>
      <c r="U818" s="138">
        <f t="shared" si="3376"/>
        <v>0</v>
      </c>
      <c r="V818" s="138">
        <f t="shared" ref="V818:W818" si="3377">V782+V797+V811</f>
        <v>0</v>
      </c>
      <c r="W818" s="138">
        <f t="shared" si="3377"/>
        <v>0</v>
      </c>
      <c r="X818" s="138">
        <f t="shared" ref="X818:Y818" si="3378">X782+X797+X811</f>
        <v>0</v>
      </c>
      <c r="Y818" s="138">
        <f t="shared" si="3378"/>
        <v>0</v>
      </c>
      <c r="Z818" s="138">
        <f t="shared" ref="Z818:AA818" si="3379">Z782+Z797+Z811</f>
        <v>0</v>
      </c>
      <c r="AA818" s="138">
        <f t="shared" si="3379"/>
        <v>0</v>
      </c>
      <c r="AB818" s="138">
        <f t="shared" ref="AB818:AC818" si="3380">AB782+AB797+AB811</f>
        <v>0</v>
      </c>
      <c r="AC818" s="138">
        <f t="shared" si="3380"/>
        <v>0</v>
      </c>
      <c r="AD818" s="138">
        <f t="shared" ref="AD818:AE818" si="3381">AD782+AD797+AD811</f>
        <v>0</v>
      </c>
      <c r="AE818" s="138">
        <f t="shared" si="3381"/>
        <v>0</v>
      </c>
      <c r="AF818" s="138">
        <f t="shared" ref="AF818:AG818" si="3382">AF782+AF797+AF811</f>
        <v>0</v>
      </c>
      <c r="AG818" s="138">
        <f t="shared" si="3382"/>
        <v>0</v>
      </c>
      <c r="AH818" s="138">
        <f t="shared" ref="AH818:AI818" si="3383">AH782+AH797+AH811</f>
        <v>0</v>
      </c>
      <c r="AI818" s="138">
        <f t="shared" si="3383"/>
        <v>0</v>
      </c>
      <c r="AJ818" s="138">
        <f t="shared" ref="AJ818:AK818" si="3384">AJ782+AJ797+AJ811</f>
        <v>0</v>
      </c>
      <c r="AK818" s="138">
        <f t="shared" si="3384"/>
        <v>0</v>
      </c>
      <c r="AL818" s="138">
        <f t="shared" ref="AL818:AM818" si="3385">AL782+AL797+AL811</f>
        <v>0</v>
      </c>
      <c r="AM818" s="138">
        <f t="shared" si="3385"/>
        <v>0</v>
      </c>
      <c r="AN818" s="138">
        <f t="shared" ref="AN818:AO818" si="3386">AN782+AN797+AN811</f>
        <v>0</v>
      </c>
      <c r="AO818" s="138">
        <f t="shared" si="3386"/>
        <v>0</v>
      </c>
      <c r="AP818" s="138">
        <f t="shared" ref="AP818:AQ818" si="3387">AP782+AP797+AP811</f>
        <v>0</v>
      </c>
      <c r="AQ818" s="138">
        <f t="shared" si="3387"/>
        <v>0</v>
      </c>
      <c r="AR818" s="138">
        <f t="shared" ref="AR818:AS818" si="3388">AR782+AR797+AR811</f>
        <v>0</v>
      </c>
      <c r="AS818" s="138">
        <f t="shared" si="3388"/>
        <v>0</v>
      </c>
      <c r="AT818" s="138">
        <f t="shared" ref="AT818:AU818" si="3389">AT782+AT797+AT811</f>
        <v>0</v>
      </c>
      <c r="AU818" s="138">
        <f t="shared" si="3389"/>
        <v>0</v>
      </c>
      <c r="AV818" s="138">
        <f t="shared" ref="AV818" si="3390">AV782+AV797+AV811</f>
        <v>0</v>
      </c>
      <c r="AW818" s="148"/>
      <c r="AX818" s="171">
        <f t="shared" si="3370"/>
        <v>61268.03389830509</v>
      </c>
    </row>
    <row r="819" spans="1:50" x14ac:dyDescent="0.2">
      <c r="A819" s="92" t="str">
        <f ca="1">Language!A$981</f>
        <v>Ранее осуществленные инвестиции, с НДС</v>
      </c>
      <c r="C819" s="124" t="str">
        <f t="shared" ca="1" si="3349"/>
        <v>тыс. руб.</v>
      </c>
      <c r="D819" s="66">
        <v>1</v>
      </c>
      <c r="F819" s="57" t="s">
        <v>753</v>
      </c>
      <c r="G819" s="138">
        <f>G820+G821</f>
        <v>0</v>
      </c>
      <c r="H819" s="138">
        <f t="shared" ref="H819:K819" si="3391">H820+H821</f>
        <v>0</v>
      </c>
      <c r="I819" s="138">
        <f t="shared" si="3391"/>
        <v>0</v>
      </c>
      <c r="J819" s="138">
        <f t="shared" si="3391"/>
        <v>0</v>
      </c>
      <c r="K819" s="138">
        <f t="shared" si="3391"/>
        <v>0</v>
      </c>
      <c r="L819" s="138">
        <f t="shared" ref="L819:M819" si="3392">L820+L821</f>
        <v>0</v>
      </c>
      <c r="M819" s="138">
        <f t="shared" si="3392"/>
        <v>0</v>
      </c>
      <c r="N819" s="138">
        <f t="shared" ref="N819:O819" si="3393">N820+N821</f>
        <v>0</v>
      </c>
      <c r="O819" s="138">
        <f t="shared" si="3393"/>
        <v>0</v>
      </c>
      <c r="P819" s="138">
        <f t="shared" ref="P819:Q819" si="3394">P820+P821</f>
        <v>0</v>
      </c>
      <c r="Q819" s="138">
        <f t="shared" si="3394"/>
        <v>0</v>
      </c>
      <c r="R819" s="138">
        <f t="shared" ref="R819:S819" si="3395">R820+R821</f>
        <v>0</v>
      </c>
      <c r="S819" s="138">
        <f t="shared" si="3395"/>
        <v>0</v>
      </c>
      <c r="T819" s="138">
        <f t="shared" ref="T819:U819" si="3396">T820+T821</f>
        <v>0</v>
      </c>
      <c r="U819" s="138">
        <f t="shared" si="3396"/>
        <v>0</v>
      </c>
      <c r="V819" s="138">
        <f t="shared" ref="V819:W819" si="3397">V820+V821</f>
        <v>0</v>
      </c>
      <c r="W819" s="138">
        <f t="shared" si="3397"/>
        <v>0</v>
      </c>
      <c r="X819" s="138">
        <f t="shared" ref="X819:Y819" si="3398">X820+X821</f>
        <v>0</v>
      </c>
      <c r="Y819" s="138">
        <f t="shared" si="3398"/>
        <v>0</v>
      </c>
      <c r="Z819" s="138">
        <f t="shared" ref="Z819:AA819" si="3399">Z820+Z821</f>
        <v>0</v>
      </c>
      <c r="AA819" s="138">
        <f t="shared" si="3399"/>
        <v>0</v>
      </c>
      <c r="AB819" s="138">
        <f t="shared" ref="AB819:AC819" si="3400">AB820+AB821</f>
        <v>0</v>
      </c>
      <c r="AC819" s="138">
        <f t="shared" si="3400"/>
        <v>0</v>
      </c>
      <c r="AD819" s="138">
        <f t="shared" ref="AD819:AE819" si="3401">AD820+AD821</f>
        <v>0</v>
      </c>
      <c r="AE819" s="138">
        <f t="shared" si="3401"/>
        <v>0</v>
      </c>
      <c r="AF819" s="138">
        <f t="shared" ref="AF819:AG819" si="3402">AF820+AF821</f>
        <v>0</v>
      </c>
      <c r="AG819" s="138">
        <f t="shared" si="3402"/>
        <v>0</v>
      </c>
      <c r="AH819" s="138">
        <f t="shared" ref="AH819:AI819" si="3403">AH820+AH821</f>
        <v>0</v>
      </c>
      <c r="AI819" s="138">
        <f t="shared" si="3403"/>
        <v>0</v>
      </c>
      <c r="AJ819" s="138">
        <f t="shared" ref="AJ819:AK819" si="3404">AJ820+AJ821</f>
        <v>0</v>
      </c>
      <c r="AK819" s="138">
        <f t="shared" si="3404"/>
        <v>0</v>
      </c>
      <c r="AL819" s="138">
        <f t="shared" ref="AL819:AM819" si="3405">AL820+AL821</f>
        <v>0</v>
      </c>
      <c r="AM819" s="138">
        <f t="shared" si="3405"/>
        <v>0</v>
      </c>
      <c r="AN819" s="138">
        <f t="shared" ref="AN819:AO819" si="3406">AN820+AN821</f>
        <v>0</v>
      </c>
      <c r="AO819" s="138">
        <f t="shared" si="3406"/>
        <v>0</v>
      </c>
      <c r="AP819" s="138">
        <f t="shared" ref="AP819:AQ819" si="3407">AP820+AP821</f>
        <v>0</v>
      </c>
      <c r="AQ819" s="138">
        <f t="shared" si="3407"/>
        <v>0</v>
      </c>
      <c r="AR819" s="138">
        <f t="shared" ref="AR819:AS819" si="3408">AR820+AR821</f>
        <v>0</v>
      </c>
      <c r="AS819" s="138">
        <f t="shared" si="3408"/>
        <v>0</v>
      </c>
      <c r="AT819" s="138">
        <f t="shared" ref="AT819:AU819" si="3409">AT820+AT821</f>
        <v>0</v>
      </c>
      <c r="AU819" s="138">
        <f t="shared" si="3409"/>
        <v>0</v>
      </c>
      <c r="AV819" s="138">
        <f t="shared" ref="AV819" si="3410">AV820+AV821</f>
        <v>0</v>
      </c>
      <c r="AX819" s="171">
        <f t="shared" si="3370"/>
        <v>0</v>
      </c>
    </row>
    <row r="820" spans="1:50" x14ac:dyDescent="0.2">
      <c r="A820" s="99" t="str">
        <f ca="1">Language!A$982</f>
        <v>в том числе НДС</v>
      </c>
      <c r="C820" s="124" t="str">
        <f t="shared" ca="1" si="3349"/>
        <v>тыс. руб.</v>
      </c>
      <c r="D820" s="66">
        <v>1</v>
      </c>
      <c r="F820" s="57" t="s">
        <v>1265</v>
      </c>
      <c r="G820" s="138">
        <f t="shared" ref="G820:AV820" si="3411">SUM(G$696,G$726,G$754)</f>
        <v>0</v>
      </c>
      <c r="H820" s="138">
        <f t="shared" si="3411"/>
        <v>0</v>
      </c>
      <c r="I820" s="138">
        <f t="shared" si="3411"/>
        <v>0</v>
      </c>
      <c r="J820" s="138">
        <f t="shared" si="3411"/>
        <v>0</v>
      </c>
      <c r="K820" s="138">
        <f t="shared" si="3411"/>
        <v>0</v>
      </c>
      <c r="L820" s="138">
        <f t="shared" si="3411"/>
        <v>0</v>
      </c>
      <c r="M820" s="138">
        <f t="shared" si="3411"/>
        <v>0</v>
      </c>
      <c r="N820" s="138">
        <f t="shared" si="3411"/>
        <v>0</v>
      </c>
      <c r="O820" s="138">
        <f t="shared" si="3411"/>
        <v>0</v>
      </c>
      <c r="P820" s="138">
        <f t="shared" si="3411"/>
        <v>0</v>
      </c>
      <c r="Q820" s="138">
        <f t="shared" si="3411"/>
        <v>0</v>
      </c>
      <c r="R820" s="138">
        <f t="shared" si="3411"/>
        <v>0</v>
      </c>
      <c r="S820" s="138">
        <f t="shared" si="3411"/>
        <v>0</v>
      </c>
      <c r="T820" s="138">
        <f t="shared" si="3411"/>
        <v>0</v>
      </c>
      <c r="U820" s="138">
        <f t="shared" si="3411"/>
        <v>0</v>
      </c>
      <c r="V820" s="138">
        <f t="shared" si="3411"/>
        <v>0</v>
      </c>
      <c r="W820" s="138">
        <f t="shared" si="3411"/>
        <v>0</v>
      </c>
      <c r="X820" s="138">
        <f t="shared" si="3411"/>
        <v>0</v>
      </c>
      <c r="Y820" s="138">
        <f t="shared" si="3411"/>
        <v>0</v>
      </c>
      <c r="Z820" s="138">
        <f t="shared" si="3411"/>
        <v>0</v>
      </c>
      <c r="AA820" s="138">
        <f t="shared" si="3411"/>
        <v>0</v>
      </c>
      <c r="AB820" s="138">
        <f t="shared" si="3411"/>
        <v>0</v>
      </c>
      <c r="AC820" s="138">
        <f t="shared" si="3411"/>
        <v>0</v>
      </c>
      <c r="AD820" s="138">
        <f t="shared" si="3411"/>
        <v>0</v>
      </c>
      <c r="AE820" s="138">
        <f t="shared" si="3411"/>
        <v>0</v>
      </c>
      <c r="AF820" s="138">
        <f t="shared" si="3411"/>
        <v>0</v>
      </c>
      <c r="AG820" s="138">
        <f t="shared" si="3411"/>
        <v>0</v>
      </c>
      <c r="AH820" s="138">
        <f t="shared" si="3411"/>
        <v>0</v>
      </c>
      <c r="AI820" s="138">
        <f t="shared" si="3411"/>
        <v>0</v>
      </c>
      <c r="AJ820" s="138">
        <f t="shared" si="3411"/>
        <v>0</v>
      </c>
      <c r="AK820" s="138">
        <f t="shared" si="3411"/>
        <v>0</v>
      </c>
      <c r="AL820" s="138">
        <f t="shared" si="3411"/>
        <v>0</v>
      </c>
      <c r="AM820" s="138">
        <f t="shared" si="3411"/>
        <v>0</v>
      </c>
      <c r="AN820" s="138">
        <f t="shared" si="3411"/>
        <v>0</v>
      </c>
      <c r="AO820" s="138">
        <f t="shared" si="3411"/>
        <v>0</v>
      </c>
      <c r="AP820" s="138">
        <f t="shared" si="3411"/>
        <v>0</v>
      </c>
      <c r="AQ820" s="138">
        <f t="shared" si="3411"/>
        <v>0</v>
      </c>
      <c r="AR820" s="138">
        <f t="shared" si="3411"/>
        <v>0</v>
      </c>
      <c r="AS820" s="138">
        <f t="shared" si="3411"/>
        <v>0</v>
      </c>
      <c r="AT820" s="138">
        <f t="shared" si="3411"/>
        <v>0</v>
      </c>
      <c r="AU820" s="138">
        <f t="shared" si="3411"/>
        <v>0</v>
      </c>
      <c r="AV820" s="138">
        <f t="shared" si="3411"/>
        <v>0</v>
      </c>
      <c r="AW820" s="148"/>
      <c r="AX820" s="171">
        <f t="shared" si="3370"/>
        <v>0</v>
      </c>
    </row>
    <row r="821" spans="1:50" x14ac:dyDescent="0.2">
      <c r="A821" s="99" t="str">
        <f ca="1">Language!A$983</f>
        <v>ранее осуществленные инвестиции, без НДС</v>
      </c>
      <c r="C821" s="124" t="str">
        <f t="shared" ca="1" si="3349"/>
        <v>тыс. руб.</v>
      </c>
      <c r="D821" s="66">
        <v>1</v>
      </c>
      <c r="F821" s="57" t="s">
        <v>1263</v>
      </c>
      <c r="G821" s="138">
        <f t="shared" ref="G821:AV821" si="3412">SUM(G$695,G$725,G$753)</f>
        <v>0</v>
      </c>
      <c r="H821" s="138">
        <f t="shared" si="3412"/>
        <v>0</v>
      </c>
      <c r="I821" s="138">
        <f t="shared" si="3412"/>
        <v>0</v>
      </c>
      <c r="J821" s="138">
        <f t="shared" si="3412"/>
        <v>0</v>
      </c>
      <c r="K821" s="138">
        <f t="shared" si="3412"/>
        <v>0</v>
      </c>
      <c r="L821" s="138">
        <f t="shared" si="3412"/>
        <v>0</v>
      </c>
      <c r="M821" s="138">
        <f t="shared" si="3412"/>
        <v>0</v>
      </c>
      <c r="N821" s="138">
        <f t="shared" si="3412"/>
        <v>0</v>
      </c>
      <c r="O821" s="138">
        <f t="shared" si="3412"/>
        <v>0</v>
      </c>
      <c r="P821" s="138">
        <f t="shared" si="3412"/>
        <v>0</v>
      </c>
      <c r="Q821" s="138">
        <f t="shared" si="3412"/>
        <v>0</v>
      </c>
      <c r="R821" s="138">
        <f t="shared" si="3412"/>
        <v>0</v>
      </c>
      <c r="S821" s="138">
        <f t="shared" si="3412"/>
        <v>0</v>
      </c>
      <c r="T821" s="138">
        <f t="shared" si="3412"/>
        <v>0</v>
      </c>
      <c r="U821" s="138">
        <f t="shared" si="3412"/>
        <v>0</v>
      </c>
      <c r="V821" s="138">
        <f t="shared" si="3412"/>
        <v>0</v>
      </c>
      <c r="W821" s="138">
        <f t="shared" si="3412"/>
        <v>0</v>
      </c>
      <c r="X821" s="138">
        <f t="shared" si="3412"/>
        <v>0</v>
      </c>
      <c r="Y821" s="138">
        <f t="shared" si="3412"/>
        <v>0</v>
      </c>
      <c r="Z821" s="138">
        <f t="shared" si="3412"/>
        <v>0</v>
      </c>
      <c r="AA821" s="138">
        <f t="shared" si="3412"/>
        <v>0</v>
      </c>
      <c r="AB821" s="138">
        <f t="shared" si="3412"/>
        <v>0</v>
      </c>
      <c r="AC821" s="138">
        <f t="shared" si="3412"/>
        <v>0</v>
      </c>
      <c r="AD821" s="138">
        <f t="shared" si="3412"/>
        <v>0</v>
      </c>
      <c r="AE821" s="138">
        <f t="shared" si="3412"/>
        <v>0</v>
      </c>
      <c r="AF821" s="138">
        <f t="shared" si="3412"/>
        <v>0</v>
      </c>
      <c r="AG821" s="138">
        <f t="shared" si="3412"/>
        <v>0</v>
      </c>
      <c r="AH821" s="138">
        <f t="shared" si="3412"/>
        <v>0</v>
      </c>
      <c r="AI821" s="138">
        <f t="shared" si="3412"/>
        <v>0</v>
      </c>
      <c r="AJ821" s="138">
        <f t="shared" si="3412"/>
        <v>0</v>
      </c>
      <c r="AK821" s="138">
        <f t="shared" si="3412"/>
        <v>0</v>
      </c>
      <c r="AL821" s="138">
        <f t="shared" si="3412"/>
        <v>0</v>
      </c>
      <c r="AM821" s="138">
        <f t="shared" si="3412"/>
        <v>0</v>
      </c>
      <c r="AN821" s="138">
        <f t="shared" si="3412"/>
        <v>0</v>
      </c>
      <c r="AO821" s="138">
        <f t="shared" si="3412"/>
        <v>0</v>
      </c>
      <c r="AP821" s="138">
        <f t="shared" si="3412"/>
        <v>0</v>
      </c>
      <c r="AQ821" s="138">
        <f t="shared" si="3412"/>
        <v>0</v>
      </c>
      <c r="AR821" s="138">
        <f t="shared" si="3412"/>
        <v>0</v>
      </c>
      <c r="AS821" s="138">
        <f t="shared" si="3412"/>
        <v>0</v>
      </c>
      <c r="AT821" s="138">
        <f t="shared" si="3412"/>
        <v>0</v>
      </c>
      <c r="AU821" s="138">
        <f t="shared" si="3412"/>
        <v>0</v>
      </c>
      <c r="AV821" s="138">
        <f t="shared" si="3412"/>
        <v>0</v>
      </c>
      <c r="AW821" s="148"/>
      <c r="AX821" s="171">
        <f t="shared" si="3370"/>
        <v>0</v>
      </c>
    </row>
    <row r="822" spans="1:50" x14ac:dyDescent="0.2">
      <c r="A822" s="65" t="str">
        <f ca="1">Language!A$984</f>
        <v>Курсовые разницы</v>
      </c>
      <c r="C822" s="124" t="str">
        <f t="shared" ca="1" si="3349"/>
        <v>тыс. руб.</v>
      </c>
      <c r="D822" s="66">
        <v>1</v>
      </c>
      <c r="F822" s="57" t="s">
        <v>1269</v>
      </c>
      <c r="G822" s="138">
        <f t="shared" ref="G822:AV822" si="3413">SUM(G$709,G$740,G$768)</f>
        <v>0</v>
      </c>
      <c r="H822" s="138">
        <f t="shared" si="3413"/>
        <v>0</v>
      </c>
      <c r="I822" s="138">
        <f t="shared" si="3413"/>
        <v>0</v>
      </c>
      <c r="J822" s="138">
        <f t="shared" si="3413"/>
        <v>0</v>
      </c>
      <c r="K822" s="138">
        <f t="shared" si="3413"/>
        <v>0</v>
      </c>
      <c r="L822" s="138">
        <f t="shared" si="3413"/>
        <v>0</v>
      </c>
      <c r="M822" s="138">
        <f t="shared" si="3413"/>
        <v>0</v>
      </c>
      <c r="N822" s="138">
        <f t="shared" si="3413"/>
        <v>0</v>
      </c>
      <c r="O822" s="138">
        <f t="shared" si="3413"/>
        <v>0</v>
      </c>
      <c r="P822" s="138">
        <f t="shared" si="3413"/>
        <v>0</v>
      </c>
      <c r="Q822" s="138">
        <f t="shared" si="3413"/>
        <v>0</v>
      </c>
      <c r="R822" s="138">
        <f t="shared" si="3413"/>
        <v>0</v>
      </c>
      <c r="S822" s="138">
        <f t="shared" si="3413"/>
        <v>0</v>
      </c>
      <c r="T822" s="138">
        <f t="shared" si="3413"/>
        <v>0</v>
      </c>
      <c r="U822" s="138">
        <f t="shared" si="3413"/>
        <v>0</v>
      </c>
      <c r="V822" s="138">
        <f t="shared" si="3413"/>
        <v>0</v>
      </c>
      <c r="W822" s="138">
        <f t="shared" si="3413"/>
        <v>0</v>
      </c>
      <c r="X822" s="138">
        <f t="shared" si="3413"/>
        <v>0</v>
      </c>
      <c r="Y822" s="138">
        <f t="shared" si="3413"/>
        <v>0</v>
      </c>
      <c r="Z822" s="138">
        <f t="shared" si="3413"/>
        <v>0</v>
      </c>
      <c r="AA822" s="138">
        <f t="shared" si="3413"/>
        <v>0</v>
      </c>
      <c r="AB822" s="138">
        <f t="shared" si="3413"/>
        <v>0</v>
      </c>
      <c r="AC822" s="138">
        <f t="shared" si="3413"/>
        <v>0</v>
      </c>
      <c r="AD822" s="138">
        <f t="shared" si="3413"/>
        <v>0</v>
      </c>
      <c r="AE822" s="138">
        <f t="shared" si="3413"/>
        <v>0</v>
      </c>
      <c r="AF822" s="138">
        <f t="shared" si="3413"/>
        <v>0</v>
      </c>
      <c r="AG822" s="138">
        <f t="shared" si="3413"/>
        <v>0</v>
      </c>
      <c r="AH822" s="138">
        <f t="shared" si="3413"/>
        <v>0</v>
      </c>
      <c r="AI822" s="138">
        <f t="shared" si="3413"/>
        <v>0</v>
      </c>
      <c r="AJ822" s="138">
        <f t="shared" si="3413"/>
        <v>0</v>
      </c>
      <c r="AK822" s="138">
        <f t="shared" si="3413"/>
        <v>0</v>
      </c>
      <c r="AL822" s="138">
        <f t="shared" si="3413"/>
        <v>0</v>
      </c>
      <c r="AM822" s="138">
        <f t="shared" si="3413"/>
        <v>0</v>
      </c>
      <c r="AN822" s="138">
        <f t="shared" si="3413"/>
        <v>0</v>
      </c>
      <c r="AO822" s="138">
        <f t="shared" si="3413"/>
        <v>0</v>
      </c>
      <c r="AP822" s="138">
        <f t="shared" si="3413"/>
        <v>0</v>
      </c>
      <c r="AQ822" s="138">
        <f t="shared" si="3413"/>
        <v>0</v>
      </c>
      <c r="AR822" s="138">
        <f t="shared" si="3413"/>
        <v>0</v>
      </c>
      <c r="AS822" s="138">
        <f t="shared" si="3413"/>
        <v>0</v>
      </c>
      <c r="AT822" s="138">
        <f t="shared" si="3413"/>
        <v>0</v>
      </c>
      <c r="AU822" s="138">
        <f t="shared" si="3413"/>
        <v>0</v>
      </c>
      <c r="AV822" s="138">
        <f t="shared" si="3413"/>
        <v>0</v>
      </c>
      <c r="AW822" s="148"/>
      <c r="AX822" s="171">
        <f t="shared" si="3370"/>
        <v>0</v>
      </c>
    </row>
    <row r="823" spans="1:50" x14ac:dyDescent="0.2">
      <c r="A823" s="51"/>
      <c r="B823" s="51"/>
      <c r="C823" s="51"/>
      <c r="D823" s="68"/>
      <c r="E823" s="68" t="s">
        <v>742</v>
      </c>
      <c r="F823" s="68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112"/>
      <c r="AX823" s="149"/>
    </row>
    <row r="826" spans="1:50" s="64" customFormat="1" ht="25.5" customHeight="1" thickBot="1" x14ac:dyDescent="0.25">
      <c r="A826" s="118" t="str">
        <f ca="1">Language!A$985</f>
        <v>ФИНАНСОВАЯ АРЕНДА (ЛИЗИНГ)</v>
      </c>
      <c r="B826" s="119"/>
      <c r="C826" s="120"/>
      <c r="D826" s="121"/>
      <c r="E826" s="121" t="s">
        <v>890</v>
      </c>
      <c r="F826" s="121"/>
      <c r="G826" s="69" t="str">
        <f ca="1">Параметры!G$34</f>
        <v>4 кв. 2022</v>
      </c>
      <c r="H826" s="140" t="str">
        <f ca="1">Параметры!H$34</f>
        <v>1 кв. 2023</v>
      </c>
      <c r="I826" s="140" t="str">
        <f ca="1">Параметры!I$34</f>
        <v>2 кв. 2023</v>
      </c>
      <c r="J826" s="140" t="str">
        <f ca="1">Параметры!J$34</f>
        <v>3 кв. 2023</v>
      </c>
      <c r="K826" s="140" t="str">
        <f ca="1">Параметры!K$34</f>
        <v>4 кв. 2023</v>
      </c>
      <c r="L826" s="140" t="str">
        <f ca="1">Параметры!L$34</f>
        <v>1 кв. 2024</v>
      </c>
      <c r="M826" s="140" t="str">
        <f ca="1">Параметры!M$34</f>
        <v>2 кв. 2024</v>
      </c>
      <c r="N826" s="140" t="str">
        <f ca="1">Параметры!N$34</f>
        <v>3 кв. 2024</v>
      </c>
      <c r="O826" s="140" t="str">
        <f ca="1">Параметры!O$34</f>
        <v>4 кв. 2024</v>
      </c>
      <c r="P826" s="140" t="str">
        <f ca="1">Параметры!P$34</f>
        <v>1 кв. 2025</v>
      </c>
      <c r="Q826" s="140" t="str">
        <f ca="1">Параметры!Q$34</f>
        <v>2 кв. 2025</v>
      </c>
      <c r="R826" s="140" t="str">
        <f ca="1">Параметры!R$34</f>
        <v>3 кв. 2025</v>
      </c>
      <c r="S826" s="140" t="str">
        <f ca="1">Параметры!S$34</f>
        <v>4 кв. 2025</v>
      </c>
      <c r="T826" s="140" t="str">
        <f ca="1">Параметры!T$34</f>
        <v>1 кв. 2026</v>
      </c>
      <c r="U826" s="140" t="str">
        <f ca="1">Параметры!U$34</f>
        <v>2 кв. 2026</v>
      </c>
      <c r="V826" s="140" t="str">
        <f ca="1">Параметры!V$34</f>
        <v>3 кв. 2026</v>
      </c>
      <c r="W826" s="140" t="str">
        <f ca="1">Параметры!W$34</f>
        <v>4 кв. 2026</v>
      </c>
      <c r="X826" s="140" t="str">
        <f ca="1">Параметры!X$34</f>
        <v>1 кв. 2027</v>
      </c>
      <c r="Y826" s="140" t="str">
        <f ca="1">Параметры!Y$34</f>
        <v>2 кв. 2027</v>
      </c>
      <c r="Z826" s="140" t="str">
        <f ca="1">Параметры!Z$34</f>
        <v>3 кв. 2027</v>
      </c>
      <c r="AA826" s="140" t="str">
        <f ca="1">Параметры!AA$34</f>
        <v>4 кв. 2027</v>
      </c>
      <c r="AB826" s="140" t="str">
        <f ca="1">Параметры!AB$34</f>
        <v>1 кв. 2028</v>
      </c>
      <c r="AC826" s="140" t="str">
        <f ca="1">Параметры!AC$34</f>
        <v>2 кв. 2028</v>
      </c>
      <c r="AD826" s="140" t="str">
        <f ca="1">Параметры!AD$34</f>
        <v>3 кв. 2028</v>
      </c>
      <c r="AE826" s="140" t="str">
        <f ca="1">Параметры!AE$34</f>
        <v>4 кв. 2028</v>
      </c>
      <c r="AF826" s="140" t="str">
        <f ca="1">Параметры!AF$34</f>
        <v>1 кв. 2029</v>
      </c>
      <c r="AG826" s="140" t="str">
        <f ca="1">Параметры!AG$34</f>
        <v>2 кв. 2029</v>
      </c>
      <c r="AH826" s="140" t="str">
        <f ca="1">Параметры!AH$34</f>
        <v>3 кв. 2029</v>
      </c>
      <c r="AI826" s="140" t="str">
        <f ca="1">Параметры!AI$34</f>
        <v>4 кв. 2029</v>
      </c>
      <c r="AJ826" s="140" t="str">
        <f ca="1">Параметры!AJ$34</f>
        <v>1 кв. 2030</v>
      </c>
      <c r="AK826" s="140" t="str">
        <f ca="1">Параметры!AK$34</f>
        <v>2 кв. 2030</v>
      </c>
      <c r="AL826" s="140" t="str">
        <f ca="1">Параметры!AL$34</f>
        <v>3 кв. 2030</v>
      </c>
      <c r="AM826" s="140" t="str">
        <f ca="1">Параметры!AM$34</f>
        <v>4 кв. 2030</v>
      </c>
      <c r="AN826" s="140" t="str">
        <f ca="1">Параметры!AN$34</f>
        <v>1 кв. 2031</v>
      </c>
      <c r="AO826" s="140" t="str">
        <f ca="1">Параметры!AO$34</f>
        <v>2 кв. 2031</v>
      </c>
      <c r="AP826" s="140" t="str">
        <f ca="1">Параметры!AP$34</f>
        <v>3 кв. 2031</v>
      </c>
      <c r="AQ826" s="140" t="str">
        <f ca="1">Параметры!AQ$34</f>
        <v>4 кв. 2031</v>
      </c>
      <c r="AR826" s="140" t="str">
        <f ca="1">Параметры!AR$34</f>
        <v>1 кв. 2032</v>
      </c>
      <c r="AS826" s="140" t="str">
        <f ca="1">Параметры!AS$34</f>
        <v>2 кв. 2032</v>
      </c>
      <c r="AT826" s="140" t="str">
        <f ca="1">Параметры!AT$34</f>
        <v>3 кв. 2032</v>
      </c>
      <c r="AU826" s="140" t="str">
        <f ca="1">Параметры!AU$34</f>
        <v>4 кв. 2032</v>
      </c>
      <c r="AV826" s="140" t="str">
        <f ca="1">Параметры!AV$34</f>
        <v>1 кв. 2033</v>
      </c>
      <c r="AW826" s="140"/>
      <c r="AX826" s="141" t="str">
        <f ca="1">Language!$A$1445</f>
        <v>ИТОГО</v>
      </c>
    </row>
    <row r="827" spans="1:50" ht="13.5" thickTop="1" x14ac:dyDescent="0.2">
      <c r="B827" s="223"/>
      <c r="C827" s="224"/>
      <c r="D827" s="66"/>
      <c r="G827" s="225"/>
      <c r="H827" s="225"/>
      <c r="I827" s="225"/>
      <c r="J827" s="225"/>
      <c r="K827" s="225"/>
      <c r="L827" s="225"/>
      <c r="M827" s="225"/>
      <c r="N827" s="225"/>
      <c r="O827" s="225"/>
      <c r="P827" s="225"/>
      <c r="Q827" s="225"/>
      <c r="R827" s="225"/>
      <c r="S827" s="225"/>
      <c r="T827" s="225"/>
      <c r="U827" s="225"/>
      <c r="V827" s="225"/>
      <c r="W827" s="225"/>
      <c r="X827" s="225"/>
      <c r="Y827" s="225"/>
      <c r="Z827" s="225"/>
      <c r="AA827" s="225"/>
      <c r="AB827" s="225"/>
      <c r="AC827" s="225"/>
      <c r="AD827" s="225"/>
      <c r="AE827" s="225"/>
      <c r="AF827" s="225"/>
      <c r="AG827" s="225"/>
      <c r="AH827" s="225"/>
      <c r="AI827" s="225"/>
      <c r="AJ827" s="225"/>
      <c r="AK827" s="225"/>
      <c r="AL827" s="225"/>
      <c r="AM827" s="225"/>
      <c r="AN827" s="225"/>
      <c r="AO827" s="225"/>
      <c r="AP827" s="225"/>
      <c r="AQ827" s="225"/>
      <c r="AR827" s="225"/>
      <c r="AS827" s="225"/>
      <c r="AT827" s="225"/>
      <c r="AU827" s="225"/>
      <c r="AV827" s="225"/>
      <c r="AW827" s="225"/>
      <c r="AX827" s="226"/>
    </row>
    <row r="828" spans="1:50" collapsed="1" x14ac:dyDescent="0.2">
      <c r="A828" s="38" t="str">
        <f ca="1">Language!A$1024</f>
        <v>Итого: Лизинговые платежи, с НДС</v>
      </c>
      <c r="C828" s="124" t="str">
        <f t="shared" ref="C828:C837" ca="1" si="3414">CurName1</f>
        <v>тыс. руб.</v>
      </c>
      <c r="F828" s="57" t="s">
        <v>753</v>
      </c>
      <c r="G828" s="143">
        <f>G829+G830</f>
        <v>0</v>
      </c>
      <c r="H828" s="143">
        <f t="shared" ref="H828:K828" si="3415">H829+H830</f>
        <v>0</v>
      </c>
      <c r="I828" s="143">
        <f t="shared" si="3415"/>
        <v>0</v>
      </c>
      <c r="J828" s="143">
        <f t="shared" si="3415"/>
        <v>0</v>
      </c>
      <c r="K828" s="143">
        <f t="shared" si="3415"/>
        <v>0</v>
      </c>
      <c r="L828" s="143">
        <f t="shared" ref="L828:M828" si="3416">L829+L830</f>
        <v>0</v>
      </c>
      <c r="M828" s="143">
        <f t="shared" si="3416"/>
        <v>0</v>
      </c>
      <c r="N828" s="143">
        <f t="shared" ref="N828:O828" si="3417">N829+N830</f>
        <v>0</v>
      </c>
      <c r="O828" s="143">
        <f t="shared" si="3417"/>
        <v>0</v>
      </c>
      <c r="P828" s="143">
        <f t="shared" ref="P828:Q828" si="3418">P829+P830</f>
        <v>0</v>
      </c>
      <c r="Q828" s="143">
        <f t="shared" si="3418"/>
        <v>0</v>
      </c>
      <c r="R828" s="143">
        <f t="shared" ref="R828:S828" si="3419">R829+R830</f>
        <v>0</v>
      </c>
      <c r="S828" s="143">
        <f t="shared" si="3419"/>
        <v>0</v>
      </c>
      <c r="T828" s="143">
        <f t="shared" ref="T828:U828" si="3420">T829+T830</f>
        <v>0</v>
      </c>
      <c r="U828" s="143">
        <f t="shared" si="3420"/>
        <v>0</v>
      </c>
      <c r="V828" s="143">
        <f t="shared" ref="V828:W828" si="3421">V829+V830</f>
        <v>0</v>
      </c>
      <c r="W828" s="143">
        <f t="shared" si="3421"/>
        <v>0</v>
      </c>
      <c r="X828" s="143">
        <f t="shared" ref="X828:Y828" si="3422">X829+X830</f>
        <v>0</v>
      </c>
      <c r="Y828" s="143">
        <f t="shared" si="3422"/>
        <v>0</v>
      </c>
      <c r="Z828" s="143">
        <f t="shared" ref="Z828:AA828" si="3423">Z829+Z830</f>
        <v>0</v>
      </c>
      <c r="AA828" s="143">
        <f t="shared" si="3423"/>
        <v>0</v>
      </c>
      <c r="AB828" s="143">
        <f t="shared" ref="AB828:AC828" si="3424">AB829+AB830</f>
        <v>0</v>
      </c>
      <c r="AC828" s="143">
        <f t="shared" si="3424"/>
        <v>0</v>
      </c>
      <c r="AD828" s="143">
        <f t="shared" ref="AD828:AE828" si="3425">AD829+AD830</f>
        <v>0</v>
      </c>
      <c r="AE828" s="143">
        <f t="shared" si="3425"/>
        <v>0</v>
      </c>
      <c r="AF828" s="143">
        <f t="shared" ref="AF828:AG828" si="3426">AF829+AF830</f>
        <v>0</v>
      </c>
      <c r="AG828" s="143">
        <f t="shared" si="3426"/>
        <v>0</v>
      </c>
      <c r="AH828" s="143">
        <f t="shared" ref="AH828:AI828" si="3427">AH829+AH830</f>
        <v>0</v>
      </c>
      <c r="AI828" s="143">
        <f t="shared" si="3427"/>
        <v>0</v>
      </c>
      <c r="AJ828" s="143">
        <f t="shared" ref="AJ828:AK828" si="3428">AJ829+AJ830</f>
        <v>0</v>
      </c>
      <c r="AK828" s="143">
        <f t="shared" si="3428"/>
        <v>0</v>
      </c>
      <c r="AL828" s="143">
        <f t="shared" ref="AL828:AM828" si="3429">AL829+AL830</f>
        <v>0</v>
      </c>
      <c r="AM828" s="143">
        <f t="shared" si="3429"/>
        <v>0</v>
      </c>
      <c r="AN828" s="143">
        <f t="shared" ref="AN828:AO828" si="3430">AN829+AN830</f>
        <v>0</v>
      </c>
      <c r="AO828" s="143">
        <f t="shared" si="3430"/>
        <v>0</v>
      </c>
      <c r="AP828" s="143">
        <f t="shared" ref="AP828:AQ828" si="3431">AP829+AP830</f>
        <v>0</v>
      </c>
      <c r="AQ828" s="143">
        <f t="shared" si="3431"/>
        <v>0</v>
      </c>
      <c r="AR828" s="143">
        <f t="shared" ref="AR828:AS828" si="3432">AR829+AR830</f>
        <v>0</v>
      </c>
      <c r="AS828" s="143">
        <f t="shared" si="3432"/>
        <v>0</v>
      </c>
      <c r="AT828" s="143">
        <f t="shared" ref="AT828:AU828" si="3433">AT829+AT830</f>
        <v>0</v>
      </c>
      <c r="AU828" s="143">
        <f t="shared" si="3433"/>
        <v>0</v>
      </c>
      <c r="AV828" s="143">
        <f t="shared" ref="AV828" si="3434">AV829+AV830</f>
        <v>0</v>
      </c>
      <c r="AW828" s="138"/>
      <c r="AX828" s="171">
        <f t="shared" ref="AX828:AX837" si="3435">SUM(G828:AW828)</f>
        <v>0</v>
      </c>
    </row>
    <row r="829" spans="1:50" s="98" customFormat="1" hidden="1" outlineLevel="1" x14ac:dyDescent="0.2">
      <c r="A829" s="172" t="str">
        <f ca="1">Language!A$1025</f>
        <v>платеж по аренде в оттоках денежных средств, без НДС</v>
      </c>
      <c r="B829" s="38"/>
      <c r="C829" s="124" t="str">
        <f t="shared" ca="1" si="3414"/>
        <v>тыс. руб.</v>
      </c>
      <c r="D829" s="57"/>
      <c r="E829" s="57"/>
      <c r="F829" s="57" t="s">
        <v>1189</v>
      </c>
      <c r="G829" s="138">
        <v>0</v>
      </c>
      <c r="H829" s="138">
        <v>0</v>
      </c>
      <c r="I829" s="138">
        <v>0</v>
      </c>
      <c r="J829" s="138">
        <v>0</v>
      </c>
      <c r="K829" s="138">
        <v>0</v>
      </c>
      <c r="L829" s="138">
        <v>0</v>
      </c>
      <c r="M829" s="138">
        <v>0</v>
      </c>
      <c r="N829" s="138">
        <v>0</v>
      </c>
      <c r="O829" s="138">
        <v>0</v>
      </c>
      <c r="P829" s="138">
        <v>0</v>
      </c>
      <c r="Q829" s="138">
        <v>0</v>
      </c>
      <c r="R829" s="138">
        <v>0</v>
      </c>
      <c r="S829" s="138">
        <v>0</v>
      </c>
      <c r="T829" s="138">
        <v>0</v>
      </c>
      <c r="U829" s="138">
        <v>0</v>
      </c>
      <c r="V829" s="138">
        <v>0</v>
      </c>
      <c r="W829" s="138">
        <v>0</v>
      </c>
      <c r="X829" s="138">
        <v>0</v>
      </c>
      <c r="Y829" s="138">
        <v>0</v>
      </c>
      <c r="Z829" s="138">
        <v>0</v>
      </c>
      <c r="AA829" s="138">
        <v>0</v>
      </c>
      <c r="AB829" s="138">
        <v>0</v>
      </c>
      <c r="AC829" s="138">
        <v>0</v>
      </c>
      <c r="AD829" s="138">
        <v>0</v>
      </c>
      <c r="AE829" s="138">
        <v>0</v>
      </c>
      <c r="AF829" s="138">
        <v>0</v>
      </c>
      <c r="AG829" s="138">
        <v>0</v>
      </c>
      <c r="AH829" s="138">
        <v>0</v>
      </c>
      <c r="AI829" s="138">
        <v>0</v>
      </c>
      <c r="AJ829" s="138">
        <v>0</v>
      </c>
      <c r="AK829" s="138">
        <v>0</v>
      </c>
      <c r="AL829" s="138">
        <v>0</v>
      </c>
      <c r="AM829" s="138">
        <v>0</v>
      </c>
      <c r="AN829" s="138">
        <v>0</v>
      </c>
      <c r="AO829" s="138">
        <v>0</v>
      </c>
      <c r="AP829" s="138">
        <v>0</v>
      </c>
      <c r="AQ829" s="138">
        <v>0</v>
      </c>
      <c r="AR829" s="138">
        <v>0</v>
      </c>
      <c r="AS829" s="138">
        <v>0</v>
      </c>
      <c r="AT829" s="138">
        <v>0</v>
      </c>
      <c r="AU829" s="138">
        <v>0</v>
      </c>
      <c r="AV829" s="138">
        <v>0</v>
      </c>
      <c r="AW829" s="148"/>
      <c r="AX829" s="171">
        <f t="shared" si="3435"/>
        <v>0</v>
      </c>
    </row>
    <row r="830" spans="1:50" s="98" customFormat="1" hidden="1" outlineLevel="1" x14ac:dyDescent="0.2">
      <c r="A830" s="172" t="str">
        <f ca="1">Language!A$1026</f>
        <v>НДС к платежам в оттоках денежных средств</v>
      </c>
      <c r="B830" s="38"/>
      <c r="C830" s="124" t="str">
        <f t="shared" ca="1" si="3414"/>
        <v>тыс. руб.</v>
      </c>
      <c r="D830" s="57"/>
      <c r="E830" s="57"/>
      <c r="F830" s="57" t="s">
        <v>1190</v>
      </c>
      <c r="G830" s="138">
        <v>0</v>
      </c>
      <c r="H830" s="138">
        <v>0</v>
      </c>
      <c r="I830" s="138">
        <v>0</v>
      </c>
      <c r="J830" s="138">
        <v>0</v>
      </c>
      <c r="K830" s="138">
        <v>0</v>
      </c>
      <c r="L830" s="138">
        <v>0</v>
      </c>
      <c r="M830" s="138">
        <v>0</v>
      </c>
      <c r="N830" s="138">
        <v>0</v>
      </c>
      <c r="O830" s="138">
        <v>0</v>
      </c>
      <c r="P830" s="138">
        <v>0</v>
      </c>
      <c r="Q830" s="138">
        <v>0</v>
      </c>
      <c r="R830" s="138">
        <v>0</v>
      </c>
      <c r="S830" s="138">
        <v>0</v>
      </c>
      <c r="T830" s="138">
        <v>0</v>
      </c>
      <c r="U830" s="138">
        <v>0</v>
      </c>
      <c r="V830" s="138">
        <v>0</v>
      </c>
      <c r="W830" s="138">
        <v>0</v>
      </c>
      <c r="X830" s="138">
        <v>0</v>
      </c>
      <c r="Y830" s="138">
        <v>0</v>
      </c>
      <c r="Z830" s="138">
        <v>0</v>
      </c>
      <c r="AA830" s="138">
        <v>0</v>
      </c>
      <c r="AB830" s="138">
        <v>0</v>
      </c>
      <c r="AC830" s="138">
        <v>0</v>
      </c>
      <c r="AD830" s="138">
        <v>0</v>
      </c>
      <c r="AE830" s="138">
        <v>0</v>
      </c>
      <c r="AF830" s="138">
        <v>0</v>
      </c>
      <c r="AG830" s="138">
        <v>0</v>
      </c>
      <c r="AH830" s="138">
        <v>0</v>
      </c>
      <c r="AI830" s="138">
        <v>0</v>
      </c>
      <c r="AJ830" s="138">
        <v>0</v>
      </c>
      <c r="AK830" s="138">
        <v>0</v>
      </c>
      <c r="AL830" s="138">
        <v>0</v>
      </c>
      <c r="AM830" s="138">
        <v>0</v>
      </c>
      <c r="AN830" s="138">
        <v>0</v>
      </c>
      <c r="AO830" s="138">
        <v>0</v>
      </c>
      <c r="AP830" s="138">
        <v>0</v>
      </c>
      <c r="AQ830" s="138">
        <v>0</v>
      </c>
      <c r="AR830" s="138">
        <v>0</v>
      </c>
      <c r="AS830" s="138">
        <v>0</v>
      </c>
      <c r="AT830" s="138">
        <v>0</v>
      </c>
      <c r="AU830" s="138">
        <v>0</v>
      </c>
      <c r="AV830" s="138">
        <v>0</v>
      </c>
      <c r="AW830" s="148"/>
      <c r="AX830" s="171">
        <f t="shared" si="3435"/>
        <v>0</v>
      </c>
    </row>
    <row r="831" spans="1:50" s="98" customFormat="1" hidden="1" outlineLevel="1" x14ac:dyDescent="0.2">
      <c r="A831" s="172" t="str">
        <f ca="1">Language!A$1027</f>
        <v>платеж по аренде начисленный, без НДС</v>
      </c>
      <c r="B831" s="38"/>
      <c r="C831" s="124" t="str">
        <f t="shared" ca="1" si="3414"/>
        <v>тыс. руб.</v>
      </c>
      <c r="D831" s="57"/>
      <c r="E831" s="57"/>
      <c r="F831" s="57" t="s">
        <v>1191</v>
      </c>
      <c r="G831" s="138">
        <v>0</v>
      </c>
      <c r="H831" s="138">
        <v>0</v>
      </c>
      <c r="I831" s="138">
        <v>0</v>
      </c>
      <c r="J831" s="138">
        <v>0</v>
      </c>
      <c r="K831" s="138">
        <v>0</v>
      </c>
      <c r="L831" s="138">
        <v>0</v>
      </c>
      <c r="M831" s="138">
        <v>0</v>
      </c>
      <c r="N831" s="138">
        <v>0</v>
      </c>
      <c r="O831" s="138">
        <v>0</v>
      </c>
      <c r="P831" s="138">
        <v>0</v>
      </c>
      <c r="Q831" s="138">
        <v>0</v>
      </c>
      <c r="R831" s="138">
        <v>0</v>
      </c>
      <c r="S831" s="138">
        <v>0</v>
      </c>
      <c r="T831" s="138">
        <v>0</v>
      </c>
      <c r="U831" s="138">
        <v>0</v>
      </c>
      <c r="V831" s="138">
        <v>0</v>
      </c>
      <c r="W831" s="138">
        <v>0</v>
      </c>
      <c r="X831" s="138">
        <v>0</v>
      </c>
      <c r="Y831" s="138">
        <v>0</v>
      </c>
      <c r="Z831" s="138">
        <v>0</v>
      </c>
      <c r="AA831" s="138">
        <v>0</v>
      </c>
      <c r="AB831" s="138">
        <v>0</v>
      </c>
      <c r="AC831" s="138">
        <v>0</v>
      </c>
      <c r="AD831" s="138">
        <v>0</v>
      </c>
      <c r="AE831" s="138">
        <v>0</v>
      </c>
      <c r="AF831" s="138">
        <v>0</v>
      </c>
      <c r="AG831" s="138">
        <v>0</v>
      </c>
      <c r="AH831" s="138">
        <v>0</v>
      </c>
      <c r="AI831" s="138">
        <v>0</v>
      </c>
      <c r="AJ831" s="138">
        <v>0</v>
      </c>
      <c r="AK831" s="138">
        <v>0</v>
      </c>
      <c r="AL831" s="138">
        <v>0</v>
      </c>
      <c r="AM831" s="138">
        <v>0</v>
      </c>
      <c r="AN831" s="138">
        <v>0</v>
      </c>
      <c r="AO831" s="138">
        <v>0</v>
      </c>
      <c r="AP831" s="138">
        <v>0</v>
      </c>
      <c r="AQ831" s="138">
        <v>0</v>
      </c>
      <c r="AR831" s="138">
        <v>0</v>
      </c>
      <c r="AS831" s="138">
        <v>0</v>
      </c>
      <c r="AT831" s="138">
        <v>0</v>
      </c>
      <c r="AU831" s="138">
        <v>0</v>
      </c>
      <c r="AV831" s="138">
        <v>0</v>
      </c>
      <c r="AW831" s="148"/>
      <c r="AX831" s="171">
        <f t="shared" si="3435"/>
        <v>0</v>
      </c>
    </row>
    <row r="832" spans="1:50" s="98" customFormat="1" hidden="1" outlineLevel="1" x14ac:dyDescent="0.2">
      <c r="A832" s="172" t="str">
        <f ca="1">Language!A$1028</f>
        <v>НДС к начисленным платежам</v>
      </c>
      <c r="B832" s="38"/>
      <c r="C832" s="124" t="str">
        <f t="shared" ca="1" si="3414"/>
        <v>тыс. руб.</v>
      </c>
      <c r="D832" s="57"/>
      <c r="E832" s="57"/>
      <c r="F832" s="57" t="s">
        <v>1192</v>
      </c>
      <c r="G832" s="138">
        <v>0</v>
      </c>
      <c r="H832" s="138">
        <v>0</v>
      </c>
      <c r="I832" s="138">
        <v>0</v>
      </c>
      <c r="J832" s="138">
        <v>0</v>
      </c>
      <c r="K832" s="138">
        <v>0</v>
      </c>
      <c r="L832" s="138">
        <v>0</v>
      </c>
      <c r="M832" s="138">
        <v>0</v>
      </c>
      <c r="N832" s="138">
        <v>0</v>
      </c>
      <c r="O832" s="138">
        <v>0</v>
      </c>
      <c r="P832" s="138">
        <v>0</v>
      </c>
      <c r="Q832" s="138">
        <v>0</v>
      </c>
      <c r="R832" s="138">
        <v>0</v>
      </c>
      <c r="S832" s="138">
        <v>0</v>
      </c>
      <c r="T832" s="138">
        <v>0</v>
      </c>
      <c r="U832" s="138">
        <v>0</v>
      </c>
      <c r="V832" s="138">
        <v>0</v>
      </c>
      <c r="W832" s="138">
        <v>0</v>
      </c>
      <c r="X832" s="138">
        <v>0</v>
      </c>
      <c r="Y832" s="138">
        <v>0</v>
      </c>
      <c r="Z832" s="138">
        <v>0</v>
      </c>
      <c r="AA832" s="138">
        <v>0</v>
      </c>
      <c r="AB832" s="138">
        <v>0</v>
      </c>
      <c r="AC832" s="138">
        <v>0</v>
      </c>
      <c r="AD832" s="138">
        <v>0</v>
      </c>
      <c r="AE832" s="138">
        <v>0</v>
      </c>
      <c r="AF832" s="138">
        <v>0</v>
      </c>
      <c r="AG832" s="138">
        <v>0</v>
      </c>
      <c r="AH832" s="138">
        <v>0</v>
      </c>
      <c r="AI832" s="138">
        <v>0</v>
      </c>
      <c r="AJ832" s="138">
        <v>0</v>
      </c>
      <c r="AK832" s="138">
        <v>0</v>
      </c>
      <c r="AL832" s="138">
        <v>0</v>
      </c>
      <c r="AM832" s="138">
        <v>0</v>
      </c>
      <c r="AN832" s="138">
        <v>0</v>
      </c>
      <c r="AO832" s="138">
        <v>0</v>
      </c>
      <c r="AP832" s="138">
        <v>0</v>
      </c>
      <c r="AQ832" s="138">
        <v>0</v>
      </c>
      <c r="AR832" s="138">
        <v>0</v>
      </c>
      <c r="AS832" s="138">
        <v>0</v>
      </c>
      <c r="AT832" s="138">
        <v>0</v>
      </c>
      <c r="AU832" s="138">
        <v>0</v>
      </c>
      <c r="AV832" s="138">
        <v>0</v>
      </c>
      <c r="AW832" s="148"/>
      <c r="AX832" s="171">
        <f t="shared" si="3435"/>
        <v>0</v>
      </c>
    </row>
    <row r="833" spans="1:50" s="98" customFormat="1" hidden="1" outlineLevel="1" x14ac:dyDescent="0.2">
      <c r="A833" s="83" t="str">
        <f ca="1">Language!A$1029</f>
        <v>балансовая стоимость объекта аренды</v>
      </c>
      <c r="B833" s="38"/>
      <c r="C833" s="124" t="str">
        <f t="shared" ca="1" si="3414"/>
        <v>тыс. руб.</v>
      </c>
      <c r="D833" s="57"/>
      <c r="E833" s="57"/>
      <c r="F833" s="57" t="s">
        <v>1193</v>
      </c>
      <c r="G833" s="138">
        <v>0</v>
      </c>
      <c r="H833" s="138">
        <v>0</v>
      </c>
      <c r="I833" s="138">
        <v>0</v>
      </c>
      <c r="J833" s="138">
        <v>0</v>
      </c>
      <c r="K833" s="138">
        <v>0</v>
      </c>
      <c r="L833" s="138">
        <v>0</v>
      </c>
      <c r="M833" s="138">
        <v>0</v>
      </c>
      <c r="N833" s="138">
        <v>0</v>
      </c>
      <c r="O833" s="138">
        <v>0</v>
      </c>
      <c r="P833" s="138">
        <v>0</v>
      </c>
      <c r="Q833" s="138">
        <v>0</v>
      </c>
      <c r="R833" s="138">
        <v>0</v>
      </c>
      <c r="S833" s="138">
        <v>0</v>
      </c>
      <c r="T833" s="138">
        <v>0</v>
      </c>
      <c r="U833" s="138">
        <v>0</v>
      </c>
      <c r="V833" s="138">
        <v>0</v>
      </c>
      <c r="W833" s="138">
        <v>0</v>
      </c>
      <c r="X833" s="138">
        <v>0</v>
      </c>
      <c r="Y833" s="138">
        <v>0</v>
      </c>
      <c r="Z833" s="138">
        <v>0</v>
      </c>
      <c r="AA833" s="138">
        <v>0</v>
      </c>
      <c r="AB833" s="138">
        <v>0</v>
      </c>
      <c r="AC833" s="138">
        <v>0</v>
      </c>
      <c r="AD833" s="138">
        <v>0</v>
      </c>
      <c r="AE833" s="138">
        <v>0</v>
      </c>
      <c r="AF833" s="138">
        <v>0</v>
      </c>
      <c r="AG833" s="138">
        <v>0</v>
      </c>
      <c r="AH833" s="138">
        <v>0</v>
      </c>
      <c r="AI833" s="138">
        <v>0</v>
      </c>
      <c r="AJ833" s="138">
        <v>0</v>
      </c>
      <c r="AK833" s="138">
        <v>0</v>
      </c>
      <c r="AL833" s="138">
        <v>0</v>
      </c>
      <c r="AM833" s="138">
        <v>0</v>
      </c>
      <c r="AN833" s="138">
        <v>0</v>
      </c>
      <c r="AO833" s="138">
        <v>0</v>
      </c>
      <c r="AP833" s="138">
        <v>0</v>
      </c>
      <c r="AQ833" s="138">
        <v>0</v>
      </c>
      <c r="AR833" s="138">
        <v>0</v>
      </c>
      <c r="AS833" s="138">
        <v>0</v>
      </c>
      <c r="AT833" s="138">
        <v>0</v>
      </c>
      <c r="AU833" s="138">
        <v>0</v>
      </c>
      <c r="AV833" s="138">
        <v>0</v>
      </c>
      <c r="AW833" s="148"/>
      <c r="AX833" s="171">
        <f t="shared" si="3435"/>
        <v>0</v>
      </c>
    </row>
    <row r="834" spans="1:50" s="98" customFormat="1" hidden="1" outlineLevel="1" x14ac:dyDescent="0.2">
      <c r="A834" s="83" t="str">
        <f ca="1">Language!A$1030</f>
        <v>амортизация объекта аренды</v>
      </c>
      <c r="B834" s="38"/>
      <c r="C834" s="124" t="str">
        <f t="shared" ca="1" si="3414"/>
        <v>тыс. руб.</v>
      </c>
      <c r="D834" s="57"/>
      <c r="E834" s="57"/>
      <c r="F834" s="57" t="s">
        <v>1194</v>
      </c>
      <c r="G834" s="138">
        <v>0</v>
      </c>
      <c r="H834" s="138">
        <v>0</v>
      </c>
      <c r="I834" s="138">
        <v>0</v>
      </c>
      <c r="J834" s="138">
        <v>0</v>
      </c>
      <c r="K834" s="138">
        <v>0</v>
      </c>
      <c r="L834" s="138">
        <v>0</v>
      </c>
      <c r="M834" s="138">
        <v>0</v>
      </c>
      <c r="N834" s="138">
        <v>0</v>
      </c>
      <c r="O834" s="138">
        <v>0</v>
      </c>
      <c r="P834" s="138">
        <v>0</v>
      </c>
      <c r="Q834" s="138">
        <v>0</v>
      </c>
      <c r="R834" s="138">
        <v>0</v>
      </c>
      <c r="S834" s="138">
        <v>0</v>
      </c>
      <c r="T834" s="138">
        <v>0</v>
      </c>
      <c r="U834" s="138">
        <v>0</v>
      </c>
      <c r="V834" s="138">
        <v>0</v>
      </c>
      <c r="W834" s="138">
        <v>0</v>
      </c>
      <c r="X834" s="138">
        <v>0</v>
      </c>
      <c r="Y834" s="138">
        <v>0</v>
      </c>
      <c r="Z834" s="138">
        <v>0</v>
      </c>
      <c r="AA834" s="138">
        <v>0</v>
      </c>
      <c r="AB834" s="138">
        <v>0</v>
      </c>
      <c r="AC834" s="138">
        <v>0</v>
      </c>
      <c r="AD834" s="138">
        <v>0</v>
      </c>
      <c r="AE834" s="138">
        <v>0</v>
      </c>
      <c r="AF834" s="138">
        <v>0</v>
      </c>
      <c r="AG834" s="138">
        <v>0</v>
      </c>
      <c r="AH834" s="138">
        <v>0</v>
      </c>
      <c r="AI834" s="138">
        <v>0</v>
      </c>
      <c r="AJ834" s="138">
        <v>0</v>
      </c>
      <c r="AK834" s="138">
        <v>0</v>
      </c>
      <c r="AL834" s="138">
        <v>0</v>
      </c>
      <c r="AM834" s="138">
        <v>0</v>
      </c>
      <c r="AN834" s="138">
        <v>0</v>
      </c>
      <c r="AO834" s="138">
        <v>0</v>
      </c>
      <c r="AP834" s="138">
        <v>0</v>
      </c>
      <c r="AQ834" s="138">
        <v>0</v>
      </c>
      <c r="AR834" s="138">
        <v>0</v>
      </c>
      <c r="AS834" s="138">
        <v>0</v>
      </c>
      <c r="AT834" s="138">
        <v>0</v>
      </c>
      <c r="AU834" s="138">
        <v>0</v>
      </c>
      <c r="AV834" s="138">
        <v>0</v>
      </c>
      <c r="AW834" s="148"/>
      <c r="AX834" s="171">
        <f t="shared" si="3435"/>
        <v>0</v>
      </c>
    </row>
    <row r="835" spans="1:50" s="98" customFormat="1" hidden="1" outlineLevel="1" x14ac:dyDescent="0.2">
      <c r="A835" s="83" t="str">
        <f ca="1">Language!A$1031</f>
        <v>финансовый расход</v>
      </c>
      <c r="B835" s="38"/>
      <c r="C835" s="124" t="str">
        <f t="shared" ca="1" si="3414"/>
        <v>тыс. руб.</v>
      </c>
      <c r="D835" s="57"/>
      <c r="E835" s="57"/>
      <c r="F835" s="57" t="s">
        <v>1196</v>
      </c>
      <c r="G835" s="138">
        <v>0</v>
      </c>
      <c r="H835" s="138">
        <v>0</v>
      </c>
      <c r="I835" s="138">
        <v>0</v>
      </c>
      <c r="J835" s="138">
        <v>0</v>
      </c>
      <c r="K835" s="138">
        <v>0</v>
      </c>
      <c r="L835" s="138">
        <v>0</v>
      </c>
      <c r="M835" s="138">
        <v>0</v>
      </c>
      <c r="N835" s="138">
        <v>0</v>
      </c>
      <c r="O835" s="138">
        <v>0</v>
      </c>
      <c r="P835" s="138">
        <v>0</v>
      </c>
      <c r="Q835" s="138">
        <v>0</v>
      </c>
      <c r="R835" s="138">
        <v>0</v>
      </c>
      <c r="S835" s="138">
        <v>0</v>
      </c>
      <c r="T835" s="138">
        <v>0</v>
      </c>
      <c r="U835" s="138">
        <v>0</v>
      </c>
      <c r="V835" s="138">
        <v>0</v>
      </c>
      <c r="W835" s="138">
        <v>0</v>
      </c>
      <c r="X835" s="138">
        <v>0</v>
      </c>
      <c r="Y835" s="138">
        <v>0</v>
      </c>
      <c r="Z835" s="138">
        <v>0</v>
      </c>
      <c r="AA835" s="138">
        <v>0</v>
      </c>
      <c r="AB835" s="138">
        <v>0</v>
      </c>
      <c r="AC835" s="138">
        <v>0</v>
      </c>
      <c r="AD835" s="138">
        <v>0</v>
      </c>
      <c r="AE835" s="138">
        <v>0</v>
      </c>
      <c r="AF835" s="138">
        <v>0</v>
      </c>
      <c r="AG835" s="138">
        <v>0</v>
      </c>
      <c r="AH835" s="138">
        <v>0</v>
      </c>
      <c r="AI835" s="138">
        <v>0</v>
      </c>
      <c r="AJ835" s="138">
        <v>0</v>
      </c>
      <c r="AK835" s="138">
        <v>0</v>
      </c>
      <c r="AL835" s="138">
        <v>0</v>
      </c>
      <c r="AM835" s="138">
        <v>0</v>
      </c>
      <c r="AN835" s="138">
        <v>0</v>
      </c>
      <c r="AO835" s="138">
        <v>0</v>
      </c>
      <c r="AP835" s="138">
        <v>0</v>
      </c>
      <c r="AQ835" s="138">
        <v>0</v>
      </c>
      <c r="AR835" s="138">
        <v>0</v>
      </c>
      <c r="AS835" s="138">
        <v>0</v>
      </c>
      <c r="AT835" s="138">
        <v>0</v>
      </c>
      <c r="AU835" s="138">
        <v>0</v>
      </c>
      <c r="AV835" s="138">
        <v>0</v>
      </c>
      <c r="AW835" s="148"/>
      <c r="AX835" s="171">
        <f t="shared" si="3435"/>
        <v>0</v>
      </c>
    </row>
    <row r="836" spans="1:50" s="98" customFormat="1" hidden="1" outlineLevel="1" x14ac:dyDescent="0.2">
      <c r="A836" s="83" t="str">
        <f ca="1">Language!A$1032</f>
        <v>задолженность по аренде</v>
      </c>
      <c r="B836" s="38"/>
      <c r="C836" s="124" t="str">
        <f t="shared" ca="1" si="3414"/>
        <v>тыс. руб.</v>
      </c>
      <c r="D836" s="57"/>
      <c r="E836" s="57"/>
      <c r="F836" s="57" t="s">
        <v>1197</v>
      </c>
      <c r="G836" s="138">
        <v>0</v>
      </c>
      <c r="H836" s="138">
        <v>0</v>
      </c>
      <c r="I836" s="138">
        <v>0</v>
      </c>
      <c r="J836" s="138">
        <v>0</v>
      </c>
      <c r="K836" s="138">
        <v>0</v>
      </c>
      <c r="L836" s="138">
        <v>0</v>
      </c>
      <c r="M836" s="138">
        <v>0</v>
      </c>
      <c r="N836" s="138">
        <v>0</v>
      </c>
      <c r="O836" s="138">
        <v>0</v>
      </c>
      <c r="P836" s="138">
        <v>0</v>
      </c>
      <c r="Q836" s="138">
        <v>0</v>
      </c>
      <c r="R836" s="138">
        <v>0</v>
      </c>
      <c r="S836" s="138">
        <v>0</v>
      </c>
      <c r="T836" s="138">
        <v>0</v>
      </c>
      <c r="U836" s="138">
        <v>0</v>
      </c>
      <c r="V836" s="138">
        <v>0</v>
      </c>
      <c r="W836" s="138">
        <v>0</v>
      </c>
      <c r="X836" s="138">
        <v>0</v>
      </c>
      <c r="Y836" s="138">
        <v>0</v>
      </c>
      <c r="Z836" s="138">
        <v>0</v>
      </c>
      <c r="AA836" s="138">
        <v>0</v>
      </c>
      <c r="AB836" s="138">
        <v>0</v>
      </c>
      <c r="AC836" s="138">
        <v>0</v>
      </c>
      <c r="AD836" s="138">
        <v>0</v>
      </c>
      <c r="AE836" s="138">
        <v>0</v>
      </c>
      <c r="AF836" s="138">
        <v>0</v>
      </c>
      <c r="AG836" s="138">
        <v>0</v>
      </c>
      <c r="AH836" s="138">
        <v>0</v>
      </c>
      <c r="AI836" s="138">
        <v>0</v>
      </c>
      <c r="AJ836" s="138">
        <v>0</v>
      </c>
      <c r="AK836" s="138">
        <v>0</v>
      </c>
      <c r="AL836" s="138">
        <v>0</v>
      </c>
      <c r="AM836" s="138">
        <v>0</v>
      </c>
      <c r="AN836" s="138">
        <v>0</v>
      </c>
      <c r="AO836" s="138">
        <v>0</v>
      </c>
      <c r="AP836" s="138">
        <v>0</v>
      </c>
      <c r="AQ836" s="138">
        <v>0</v>
      </c>
      <c r="AR836" s="138">
        <v>0</v>
      </c>
      <c r="AS836" s="138">
        <v>0</v>
      </c>
      <c r="AT836" s="138">
        <v>0</v>
      </c>
      <c r="AU836" s="138">
        <v>0</v>
      </c>
      <c r="AV836" s="138">
        <v>0</v>
      </c>
      <c r="AW836" s="148"/>
      <c r="AX836" s="171">
        <f t="shared" si="3435"/>
        <v>0</v>
      </c>
    </row>
    <row r="837" spans="1:50" s="98" customFormat="1" hidden="1" outlineLevel="1" x14ac:dyDescent="0.2">
      <c r="A837" s="83" t="str">
        <f ca="1">Language!A$1033</f>
        <v>авансы выплаченные</v>
      </c>
      <c r="B837" s="38"/>
      <c r="C837" s="124" t="str">
        <f t="shared" ca="1" si="3414"/>
        <v>тыс. руб.</v>
      </c>
      <c r="D837" s="57"/>
      <c r="E837" s="57"/>
      <c r="F837" s="57" t="s">
        <v>1198</v>
      </c>
      <c r="G837" s="138">
        <v>0</v>
      </c>
      <c r="H837" s="138">
        <v>0</v>
      </c>
      <c r="I837" s="138">
        <v>0</v>
      </c>
      <c r="J837" s="138">
        <v>0</v>
      </c>
      <c r="K837" s="138">
        <v>0</v>
      </c>
      <c r="L837" s="138">
        <v>0</v>
      </c>
      <c r="M837" s="138">
        <v>0</v>
      </c>
      <c r="N837" s="138">
        <v>0</v>
      </c>
      <c r="O837" s="138">
        <v>0</v>
      </c>
      <c r="P837" s="138">
        <v>0</v>
      </c>
      <c r="Q837" s="138">
        <v>0</v>
      </c>
      <c r="R837" s="138">
        <v>0</v>
      </c>
      <c r="S837" s="138">
        <v>0</v>
      </c>
      <c r="T837" s="138">
        <v>0</v>
      </c>
      <c r="U837" s="138">
        <v>0</v>
      </c>
      <c r="V837" s="138">
        <v>0</v>
      </c>
      <c r="W837" s="138">
        <v>0</v>
      </c>
      <c r="X837" s="138">
        <v>0</v>
      </c>
      <c r="Y837" s="138">
        <v>0</v>
      </c>
      <c r="Z837" s="138">
        <v>0</v>
      </c>
      <c r="AA837" s="138">
        <v>0</v>
      </c>
      <c r="AB837" s="138">
        <v>0</v>
      </c>
      <c r="AC837" s="138">
        <v>0</v>
      </c>
      <c r="AD837" s="138">
        <v>0</v>
      </c>
      <c r="AE837" s="138">
        <v>0</v>
      </c>
      <c r="AF837" s="138">
        <v>0</v>
      </c>
      <c r="AG837" s="138">
        <v>0</v>
      </c>
      <c r="AH837" s="138">
        <v>0</v>
      </c>
      <c r="AI837" s="138">
        <v>0</v>
      </c>
      <c r="AJ837" s="138">
        <v>0</v>
      </c>
      <c r="AK837" s="138">
        <v>0</v>
      </c>
      <c r="AL837" s="138">
        <v>0</v>
      </c>
      <c r="AM837" s="138">
        <v>0</v>
      </c>
      <c r="AN837" s="138">
        <v>0</v>
      </c>
      <c r="AO837" s="138">
        <v>0</v>
      </c>
      <c r="AP837" s="138">
        <v>0</v>
      </c>
      <c r="AQ837" s="138">
        <v>0</v>
      </c>
      <c r="AR837" s="138">
        <v>0</v>
      </c>
      <c r="AS837" s="138">
        <v>0</v>
      </c>
      <c r="AT837" s="138">
        <v>0</v>
      </c>
      <c r="AU837" s="138">
        <v>0</v>
      </c>
      <c r="AV837" s="138">
        <v>0</v>
      </c>
      <c r="AW837" s="148"/>
      <c r="AX837" s="171">
        <f t="shared" si="3435"/>
        <v>0</v>
      </c>
    </row>
    <row r="838" spans="1:50" x14ac:dyDescent="0.2">
      <c r="A838" s="51"/>
      <c r="B838" s="51"/>
      <c r="C838" s="51"/>
      <c r="D838" s="68"/>
      <c r="E838" s="68" t="s">
        <v>780</v>
      </c>
      <c r="F838" s="68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51"/>
      <c r="AX838" s="149"/>
    </row>
    <row r="841" spans="1:50" s="64" customFormat="1" ht="25.5" customHeight="1" thickBot="1" x14ac:dyDescent="0.25">
      <c r="A841" s="118" t="str">
        <f ca="1">Language!A$1034</f>
        <v>ФИНАНСОВЫЕ ВЛОЖЕНИЯ</v>
      </c>
      <c r="B841" s="119"/>
      <c r="C841" s="120"/>
      <c r="D841" s="121"/>
      <c r="E841" s="121" t="s">
        <v>891</v>
      </c>
      <c r="F841" s="121" t="s">
        <v>657</v>
      </c>
      <c r="G841" s="69" t="str">
        <f ca="1">Параметры!G$34</f>
        <v>4 кв. 2022</v>
      </c>
      <c r="H841" s="140" t="str">
        <f ca="1">Параметры!H$34</f>
        <v>1 кв. 2023</v>
      </c>
      <c r="I841" s="140" t="str">
        <f ca="1">Параметры!I$34</f>
        <v>2 кв. 2023</v>
      </c>
      <c r="J841" s="140" t="str">
        <f ca="1">Параметры!J$34</f>
        <v>3 кв. 2023</v>
      </c>
      <c r="K841" s="140" t="str">
        <f ca="1">Параметры!K$34</f>
        <v>4 кв. 2023</v>
      </c>
      <c r="L841" s="140" t="str">
        <f ca="1">Параметры!L$34</f>
        <v>1 кв. 2024</v>
      </c>
      <c r="M841" s="140" t="str">
        <f ca="1">Параметры!M$34</f>
        <v>2 кв. 2024</v>
      </c>
      <c r="N841" s="140" t="str">
        <f ca="1">Параметры!N$34</f>
        <v>3 кв. 2024</v>
      </c>
      <c r="O841" s="140" t="str">
        <f ca="1">Параметры!O$34</f>
        <v>4 кв. 2024</v>
      </c>
      <c r="P841" s="140" t="str">
        <f ca="1">Параметры!P$34</f>
        <v>1 кв. 2025</v>
      </c>
      <c r="Q841" s="140" t="str">
        <f ca="1">Параметры!Q$34</f>
        <v>2 кв. 2025</v>
      </c>
      <c r="R841" s="140" t="str">
        <f ca="1">Параметры!R$34</f>
        <v>3 кв. 2025</v>
      </c>
      <c r="S841" s="140" t="str">
        <f ca="1">Параметры!S$34</f>
        <v>4 кв. 2025</v>
      </c>
      <c r="T841" s="140" t="str">
        <f ca="1">Параметры!T$34</f>
        <v>1 кв. 2026</v>
      </c>
      <c r="U841" s="140" t="str">
        <f ca="1">Параметры!U$34</f>
        <v>2 кв. 2026</v>
      </c>
      <c r="V841" s="140" t="str">
        <f ca="1">Параметры!V$34</f>
        <v>3 кв. 2026</v>
      </c>
      <c r="W841" s="140" t="str">
        <f ca="1">Параметры!W$34</f>
        <v>4 кв. 2026</v>
      </c>
      <c r="X841" s="140" t="str">
        <f ca="1">Параметры!X$34</f>
        <v>1 кв. 2027</v>
      </c>
      <c r="Y841" s="140" t="str">
        <f ca="1">Параметры!Y$34</f>
        <v>2 кв. 2027</v>
      </c>
      <c r="Z841" s="140" t="str">
        <f ca="1">Параметры!Z$34</f>
        <v>3 кв. 2027</v>
      </c>
      <c r="AA841" s="140" t="str">
        <f ca="1">Параметры!AA$34</f>
        <v>4 кв. 2027</v>
      </c>
      <c r="AB841" s="140" t="str">
        <f ca="1">Параметры!AB$34</f>
        <v>1 кв. 2028</v>
      </c>
      <c r="AC841" s="140" t="str">
        <f ca="1">Параметры!AC$34</f>
        <v>2 кв. 2028</v>
      </c>
      <c r="AD841" s="140" t="str">
        <f ca="1">Параметры!AD$34</f>
        <v>3 кв. 2028</v>
      </c>
      <c r="AE841" s="140" t="str">
        <f ca="1">Параметры!AE$34</f>
        <v>4 кв. 2028</v>
      </c>
      <c r="AF841" s="140" t="str">
        <f ca="1">Параметры!AF$34</f>
        <v>1 кв. 2029</v>
      </c>
      <c r="AG841" s="140" t="str">
        <f ca="1">Параметры!AG$34</f>
        <v>2 кв. 2029</v>
      </c>
      <c r="AH841" s="140" t="str">
        <f ca="1">Параметры!AH$34</f>
        <v>3 кв. 2029</v>
      </c>
      <c r="AI841" s="140" t="str">
        <f ca="1">Параметры!AI$34</f>
        <v>4 кв. 2029</v>
      </c>
      <c r="AJ841" s="140" t="str">
        <f ca="1">Параметры!AJ$34</f>
        <v>1 кв. 2030</v>
      </c>
      <c r="AK841" s="140" t="str">
        <f ca="1">Параметры!AK$34</f>
        <v>2 кв. 2030</v>
      </c>
      <c r="AL841" s="140" t="str">
        <f ca="1">Параметры!AL$34</f>
        <v>3 кв. 2030</v>
      </c>
      <c r="AM841" s="140" t="str">
        <f ca="1">Параметры!AM$34</f>
        <v>4 кв. 2030</v>
      </c>
      <c r="AN841" s="140" t="str">
        <f ca="1">Параметры!AN$34</f>
        <v>1 кв. 2031</v>
      </c>
      <c r="AO841" s="140" t="str">
        <f ca="1">Параметры!AO$34</f>
        <v>2 кв. 2031</v>
      </c>
      <c r="AP841" s="140" t="str">
        <f ca="1">Параметры!AP$34</f>
        <v>3 кв. 2031</v>
      </c>
      <c r="AQ841" s="140" t="str">
        <f ca="1">Параметры!AQ$34</f>
        <v>4 кв. 2031</v>
      </c>
      <c r="AR841" s="140" t="str">
        <f ca="1">Параметры!AR$34</f>
        <v>1 кв. 2032</v>
      </c>
      <c r="AS841" s="140" t="str">
        <f ca="1">Параметры!AS$34</f>
        <v>2 кв. 2032</v>
      </c>
      <c r="AT841" s="140" t="str">
        <f ca="1">Параметры!AT$34</f>
        <v>3 кв. 2032</v>
      </c>
      <c r="AU841" s="140" t="str">
        <f ca="1">Параметры!AU$34</f>
        <v>4 кв. 2032</v>
      </c>
      <c r="AV841" s="140" t="str">
        <f ca="1">Параметры!AV$34</f>
        <v>1 кв. 2033</v>
      </c>
      <c r="AW841" s="140"/>
      <c r="AX841" s="141" t="str">
        <f ca="1">Language!$A$1445</f>
        <v>ИТОГО</v>
      </c>
    </row>
    <row r="842" spans="1:50" ht="13.5" thickTop="1" x14ac:dyDescent="0.2"/>
    <row r="843" spans="1:50" s="98" customFormat="1" collapsed="1" x14ac:dyDescent="0.2">
      <c r="A843" s="38" t="str">
        <f ca="1">Language!A$1049</f>
        <v>Итого: Долгосрочные вложения на конец периода</v>
      </c>
      <c r="B843" s="38"/>
      <c r="C843" s="124" t="str">
        <f t="shared" ref="C843:C858" ca="1" si="3436">CurName1</f>
        <v>тыс. руб.</v>
      </c>
      <c r="D843" s="66">
        <v>1</v>
      </c>
      <c r="E843" s="57"/>
      <c r="F843" s="57" t="s">
        <v>754</v>
      </c>
      <c r="G843" s="138">
        <f>G847</f>
        <v>0</v>
      </c>
      <c r="H843" s="138">
        <f t="shared" ref="H843:K843" si="3437">H847</f>
        <v>0</v>
      </c>
      <c r="I843" s="138">
        <f t="shared" si="3437"/>
        <v>0</v>
      </c>
      <c r="J843" s="138">
        <f t="shared" si="3437"/>
        <v>0</v>
      </c>
      <c r="K843" s="138">
        <f t="shared" si="3437"/>
        <v>0</v>
      </c>
      <c r="L843" s="138">
        <f t="shared" ref="L843:M843" si="3438">L847</f>
        <v>0</v>
      </c>
      <c r="M843" s="138">
        <f t="shared" si="3438"/>
        <v>0</v>
      </c>
      <c r="N843" s="138">
        <f t="shared" ref="N843:O843" si="3439">N847</f>
        <v>0</v>
      </c>
      <c r="O843" s="138">
        <f t="shared" si="3439"/>
        <v>0</v>
      </c>
      <c r="P843" s="138">
        <f t="shared" ref="P843:Q843" si="3440">P847</f>
        <v>0</v>
      </c>
      <c r="Q843" s="138">
        <f t="shared" si="3440"/>
        <v>0</v>
      </c>
      <c r="R843" s="138">
        <f t="shared" ref="R843:S843" si="3441">R847</f>
        <v>0</v>
      </c>
      <c r="S843" s="138">
        <f t="shared" si="3441"/>
        <v>0</v>
      </c>
      <c r="T843" s="138">
        <f t="shared" ref="T843:U843" si="3442">T847</f>
        <v>0</v>
      </c>
      <c r="U843" s="138">
        <f t="shared" si="3442"/>
        <v>0</v>
      </c>
      <c r="V843" s="138">
        <f t="shared" ref="V843:W843" si="3443">V847</f>
        <v>0</v>
      </c>
      <c r="W843" s="138">
        <f t="shared" si="3443"/>
        <v>0</v>
      </c>
      <c r="X843" s="138">
        <f t="shared" ref="X843:Y843" si="3444">X847</f>
        <v>0</v>
      </c>
      <c r="Y843" s="138">
        <f t="shared" si="3444"/>
        <v>0</v>
      </c>
      <c r="Z843" s="138">
        <f t="shared" ref="Z843:AA843" si="3445">Z847</f>
        <v>0</v>
      </c>
      <c r="AA843" s="138">
        <f t="shared" si="3445"/>
        <v>0</v>
      </c>
      <c r="AB843" s="138">
        <f t="shared" ref="AB843:AC843" si="3446">AB847</f>
        <v>0</v>
      </c>
      <c r="AC843" s="138">
        <f t="shared" si="3446"/>
        <v>0</v>
      </c>
      <c r="AD843" s="138">
        <f t="shared" ref="AD843:AE843" si="3447">AD847</f>
        <v>0</v>
      </c>
      <c r="AE843" s="138">
        <f t="shared" si="3447"/>
        <v>0</v>
      </c>
      <c r="AF843" s="138">
        <f t="shared" ref="AF843:AG843" si="3448">AF847</f>
        <v>0</v>
      </c>
      <c r="AG843" s="138">
        <f t="shared" si="3448"/>
        <v>0</v>
      </c>
      <c r="AH843" s="138">
        <f t="shared" ref="AH843:AI843" si="3449">AH847</f>
        <v>0</v>
      </c>
      <c r="AI843" s="138">
        <f t="shared" si="3449"/>
        <v>0</v>
      </c>
      <c r="AJ843" s="138">
        <f t="shared" ref="AJ843:AK843" si="3450">AJ847</f>
        <v>0</v>
      </c>
      <c r="AK843" s="138">
        <f t="shared" si="3450"/>
        <v>0</v>
      </c>
      <c r="AL843" s="138">
        <f t="shared" ref="AL843:AM843" si="3451">AL847</f>
        <v>0</v>
      </c>
      <c r="AM843" s="138">
        <f t="shared" si="3451"/>
        <v>0</v>
      </c>
      <c r="AN843" s="138">
        <f t="shared" ref="AN843:AO843" si="3452">AN847</f>
        <v>0</v>
      </c>
      <c r="AO843" s="138">
        <f t="shared" si="3452"/>
        <v>0</v>
      </c>
      <c r="AP843" s="138">
        <f t="shared" ref="AP843:AQ843" si="3453">AP847</f>
        <v>0</v>
      </c>
      <c r="AQ843" s="138">
        <f t="shared" si="3453"/>
        <v>0</v>
      </c>
      <c r="AR843" s="138">
        <f t="shared" ref="AR843:AS843" si="3454">AR847</f>
        <v>0</v>
      </c>
      <c r="AS843" s="138">
        <f t="shared" si="3454"/>
        <v>0</v>
      </c>
      <c r="AT843" s="138">
        <f t="shared" ref="AT843:AU843" si="3455">AT847</f>
        <v>0</v>
      </c>
      <c r="AU843" s="138">
        <f t="shared" si="3455"/>
        <v>0</v>
      </c>
      <c r="AV843" s="138">
        <f t="shared" ref="AV843" si="3456">AV847</f>
        <v>0</v>
      </c>
      <c r="AW843" s="38"/>
      <c r="AX843" s="171"/>
    </row>
    <row r="844" spans="1:50" hidden="1" outlineLevel="1" x14ac:dyDescent="0.2">
      <c r="A844" s="99" t="str">
        <f ca="1">Language!A$1050</f>
        <v>увеличение финансовых вложений</v>
      </c>
      <c r="C844" s="124" t="str">
        <f t="shared" ca="1" si="3436"/>
        <v>тыс. руб.</v>
      </c>
      <c r="D844" s="66">
        <v>1</v>
      </c>
      <c r="F844" s="57" t="s">
        <v>1091</v>
      </c>
      <c r="G844" s="138">
        <v>0</v>
      </c>
      <c r="H844" s="138">
        <v>0</v>
      </c>
      <c r="I844" s="138">
        <v>0</v>
      </c>
      <c r="J844" s="138">
        <v>0</v>
      </c>
      <c r="K844" s="138">
        <v>0</v>
      </c>
      <c r="L844" s="138">
        <v>0</v>
      </c>
      <c r="M844" s="138">
        <v>0</v>
      </c>
      <c r="N844" s="138">
        <v>0</v>
      </c>
      <c r="O844" s="138">
        <v>0</v>
      </c>
      <c r="P844" s="138">
        <v>0</v>
      </c>
      <c r="Q844" s="138">
        <v>0</v>
      </c>
      <c r="R844" s="138">
        <v>0</v>
      </c>
      <c r="S844" s="138">
        <v>0</v>
      </c>
      <c r="T844" s="138">
        <v>0</v>
      </c>
      <c r="U844" s="138">
        <v>0</v>
      </c>
      <c r="V844" s="138">
        <v>0</v>
      </c>
      <c r="W844" s="138">
        <v>0</v>
      </c>
      <c r="X844" s="138">
        <v>0</v>
      </c>
      <c r="Y844" s="138">
        <v>0</v>
      </c>
      <c r="Z844" s="138">
        <v>0</v>
      </c>
      <c r="AA844" s="138">
        <v>0</v>
      </c>
      <c r="AB844" s="138">
        <v>0</v>
      </c>
      <c r="AC844" s="138">
        <v>0</v>
      </c>
      <c r="AD844" s="138">
        <v>0</v>
      </c>
      <c r="AE844" s="138">
        <v>0</v>
      </c>
      <c r="AF844" s="138">
        <v>0</v>
      </c>
      <c r="AG844" s="138">
        <v>0</v>
      </c>
      <c r="AH844" s="138">
        <v>0</v>
      </c>
      <c r="AI844" s="138">
        <v>0</v>
      </c>
      <c r="AJ844" s="138">
        <v>0</v>
      </c>
      <c r="AK844" s="138">
        <v>0</v>
      </c>
      <c r="AL844" s="138">
        <v>0</v>
      </c>
      <c r="AM844" s="138">
        <v>0</v>
      </c>
      <c r="AN844" s="138">
        <v>0</v>
      </c>
      <c r="AO844" s="138">
        <v>0</v>
      </c>
      <c r="AP844" s="138">
        <v>0</v>
      </c>
      <c r="AQ844" s="138">
        <v>0</v>
      </c>
      <c r="AR844" s="138">
        <v>0</v>
      </c>
      <c r="AS844" s="138">
        <v>0</v>
      </c>
      <c r="AT844" s="138">
        <v>0</v>
      </c>
      <c r="AU844" s="138">
        <v>0</v>
      </c>
      <c r="AV844" s="138">
        <v>0</v>
      </c>
      <c r="AX844" s="171">
        <f>SUM(G844:AW844)</f>
        <v>0</v>
      </c>
    </row>
    <row r="845" spans="1:50" hidden="1" outlineLevel="1" x14ac:dyDescent="0.2">
      <c r="A845" s="99" t="str">
        <f ca="1">Language!A$1051</f>
        <v>снижение финансовых вложений (возврат)</v>
      </c>
      <c r="C845" s="124" t="str">
        <f t="shared" ca="1" si="3436"/>
        <v>тыс. руб.</v>
      </c>
      <c r="D845" s="66">
        <v>1</v>
      </c>
      <c r="F845" s="57" t="s">
        <v>1092</v>
      </c>
      <c r="G845" s="138">
        <v>0</v>
      </c>
      <c r="H845" s="138">
        <v>0</v>
      </c>
      <c r="I845" s="138">
        <v>0</v>
      </c>
      <c r="J845" s="138">
        <v>0</v>
      </c>
      <c r="K845" s="138">
        <v>0</v>
      </c>
      <c r="L845" s="138">
        <v>0</v>
      </c>
      <c r="M845" s="138">
        <v>0</v>
      </c>
      <c r="N845" s="138">
        <v>0</v>
      </c>
      <c r="O845" s="138">
        <v>0</v>
      </c>
      <c r="P845" s="138">
        <v>0</v>
      </c>
      <c r="Q845" s="138">
        <v>0</v>
      </c>
      <c r="R845" s="138">
        <v>0</v>
      </c>
      <c r="S845" s="138">
        <v>0</v>
      </c>
      <c r="T845" s="138">
        <v>0</v>
      </c>
      <c r="U845" s="138">
        <v>0</v>
      </c>
      <c r="V845" s="138">
        <v>0</v>
      </c>
      <c r="W845" s="138">
        <v>0</v>
      </c>
      <c r="X845" s="138">
        <v>0</v>
      </c>
      <c r="Y845" s="138">
        <v>0</v>
      </c>
      <c r="Z845" s="138">
        <v>0</v>
      </c>
      <c r="AA845" s="138">
        <v>0</v>
      </c>
      <c r="AB845" s="138">
        <v>0</v>
      </c>
      <c r="AC845" s="138">
        <v>0</v>
      </c>
      <c r="AD845" s="138">
        <v>0</v>
      </c>
      <c r="AE845" s="138">
        <v>0</v>
      </c>
      <c r="AF845" s="138">
        <v>0</v>
      </c>
      <c r="AG845" s="138">
        <v>0</v>
      </c>
      <c r="AH845" s="138">
        <v>0</v>
      </c>
      <c r="AI845" s="138">
        <v>0</v>
      </c>
      <c r="AJ845" s="138">
        <v>0</v>
      </c>
      <c r="AK845" s="138">
        <v>0</v>
      </c>
      <c r="AL845" s="138">
        <v>0</v>
      </c>
      <c r="AM845" s="138">
        <v>0</v>
      </c>
      <c r="AN845" s="138">
        <v>0</v>
      </c>
      <c r="AO845" s="138">
        <v>0</v>
      </c>
      <c r="AP845" s="138">
        <v>0</v>
      </c>
      <c r="AQ845" s="138">
        <v>0</v>
      </c>
      <c r="AR845" s="138">
        <v>0</v>
      </c>
      <c r="AS845" s="138">
        <v>0</v>
      </c>
      <c r="AT845" s="138">
        <v>0</v>
      </c>
      <c r="AU845" s="138">
        <v>0</v>
      </c>
      <c r="AV845" s="138">
        <v>0</v>
      </c>
      <c r="AX845" s="171">
        <f>SUM(G845:AW845)</f>
        <v>0</v>
      </c>
    </row>
    <row r="846" spans="1:50" hidden="1" outlineLevel="1" x14ac:dyDescent="0.2">
      <c r="A846" s="99" t="str">
        <f ca="1">Language!A$1052</f>
        <v xml:space="preserve">доход </v>
      </c>
      <c r="C846" s="124" t="str">
        <f t="shared" ca="1" si="3436"/>
        <v>тыс. руб.</v>
      </c>
      <c r="D846" s="66">
        <v>1</v>
      </c>
      <c r="F846" s="57" t="s">
        <v>1093</v>
      </c>
      <c r="G846" s="138">
        <v>0</v>
      </c>
      <c r="H846" s="138">
        <v>0</v>
      </c>
      <c r="I846" s="138">
        <v>0</v>
      </c>
      <c r="J846" s="138">
        <v>0</v>
      </c>
      <c r="K846" s="138">
        <v>0</v>
      </c>
      <c r="L846" s="138">
        <v>0</v>
      </c>
      <c r="M846" s="138">
        <v>0</v>
      </c>
      <c r="N846" s="138">
        <v>0</v>
      </c>
      <c r="O846" s="138">
        <v>0</v>
      </c>
      <c r="P846" s="138">
        <v>0</v>
      </c>
      <c r="Q846" s="138">
        <v>0</v>
      </c>
      <c r="R846" s="138">
        <v>0</v>
      </c>
      <c r="S846" s="138">
        <v>0</v>
      </c>
      <c r="T846" s="138">
        <v>0</v>
      </c>
      <c r="U846" s="138">
        <v>0</v>
      </c>
      <c r="V846" s="138">
        <v>0</v>
      </c>
      <c r="W846" s="138">
        <v>0</v>
      </c>
      <c r="X846" s="138">
        <v>0</v>
      </c>
      <c r="Y846" s="138">
        <v>0</v>
      </c>
      <c r="Z846" s="138">
        <v>0</v>
      </c>
      <c r="AA846" s="138">
        <v>0</v>
      </c>
      <c r="AB846" s="138">
        <v>0</v>
      </c>
      <c r="AC846" s="138">
        <v>0</v>
      </c>
      <c r="AD846" s="138">
        <v>0</v>
      </c>
      <c r="AE846" s="138">
        <v>0</v>
      </c>
      <c r="AF846" s="138">
        <v>0</v>
      </c>
      <c r="AG846" s="138">
        <v>0</v>
      </c>
      <c r="AH846" s="138">
        <v>0</v>
      </c>
      <c r="AI846" s="138">
        <v>0</v>
      </c>
      <c r="AJ846" s="138">
        <v>0</v>
      </c>
      <c r="AK846" s="138">
        <v>0</v>
      </c>
      <c r="AL846" s="138">
        <v>0</v>
      </c>
      <c r="AM846" s="138">
        <v>0</v>
      </c>
      <c r="AN846" s="138">
        <v>0</v>
      </c>
      <c r="AO846" s="138">
        <v>0</v>
      </c>
      <c r="AP846" s="138">
        <v>0</v>
      </c>
      <c r="AQ846" s="138">
        <v>0</v>
      </c>
      <c r="AR846" s="138">
        <v>0</v>
      </c>
      <c r="AS846" s="138">
        <v>0</v>
      </c>
      <c r="AT846" s="138">
        <v>0</v>
      </c>
      <c r="AU846" s="138">
        <v>0</v>
      </c>
      <c r="AV846" s="138">
        <v>0</v>
      </c>
      <c r="AX846" s="171">
        <f>SUM(G846:AW846)</f>
        <v>0</v>
      </c>
    </row>
    <row r="847" spans="1:50" hidden="1" outlineLevel="1" x14ac:dyDescent="0.2">
      <c r="A847" s="99" t="str">
        <f ca="1">Language!A$1053</f>
        <v>финансовые вложения на конец периода</v>
      </c>
      <c r="C847" s="124" t="str">
        <f t="shared" ca="1" si="3436"/>
        <v>тыс. руб.</v>
      </c>
      <c r="D847" s="66">
        <v>1</v>
      </c>
      <c r="F847" s="57" t="s">
        <v>1094</v>
      </c>
      <c r="G847" s="138">
        <v>0</v>
      </c>
      <c r="H847" s="138">
        <v>0</v>
      </c>
      <c r="I847" s="138">
        <v>0</v>
      </c>
      <c r="J847" s="138">
        <v>0</v>
      </c>
      <c r="K847" s="138">
        <v>0</v>
      </c>
      <c r="L847" s="138">
        <v>0</v>
      </c>
      <c r="M847" s="138">
        <v>0</v>
      </c>
      <c r="N847" s="138">
        <v>0</v>
      </c>
      <c r="O847" s="138">
        <v>0</v>
      </c>
      <c r="P847" s="138">
        <v>0</v>
      </c>
      <c r="Q847" s="138">
        <v>0</v>
      </c>
      <c r="R847" s="138">
        <v>0</v>
      </c>
      <c r="S847" s="138">
        <v>0</v>
      </c>
      <c r="T847" s="138">
        <v>0</v>
      </c>
      <c r="U847" s="138">
        <v>0</v>
      </c>
      <c r="V847" s="138">
        <v>0</v>
      </c>
      <c r="W847" s="138">
        <v>0</v>
      </c>
      <c r="X847" s="138">
        <v>0</v>
      </c>
      <c r="Y847" s="138">
        <v>0</v>
      </c>
      <c r="Z847" s="138">
        <v>0</v>
      </c>
      <c r="AA847" s="138">
        <v>0</v>
      </c>
      <c r="AB847" s="138">
        <v>0</v>
      </c>
      <c r="AC847" s="138">
        <v>0</v>
      </c>
      <c r="AD847" s="138">
        <v>0</v>
      </c>
      <c r="AE847" s="138">
        <v>0</v>
      </c>
      <c r="AF847" s="138">
        <v>0</v>
      </c>
      <c r="AG847" s="138">
        <v>0</v>
      </c>
      <c r="AH847" s="138">
        <v>0</v>
      </c>
      <c r="AI847" s="138">
        <v>0</v>
      </c>
      <c r="AJ847" s="138">
        <v>0</v>
      </c>
      <c r="AK847" s="138">
        <v>0</v>
      </c>
      <c r="AL847" s="138">
        <v>0</v>
      </c>
      <c r="AM847" s="138">
        <v>0</v>
      </c>
      <c r="AN847" s="138">
        <v>0</v>
      </c>
      <c r="AO847" s="138">
        <v>0</v>
      </c>
      <c r="AP847" s="138">
        <v>0</v>
      </c>
      <c r="AQ847" s="138">
        <v>0</v>
      </c>
      <c r="AR847" s="138">
        <v>0</v>
      </c>
      <c r="AS847" s="138">
        <v>0</v>
      </c>
      <c r="AT847" s="138">
        <v>0</v>
      </c>
      <c r="AU847" s="138">
        <v>0</v>
      </c>
      <c r="AV847" s="138">
        <v>0</v>
      </c>
    </row>
    <row r="848" spans="1:50" hidden="1" outlineLevel="1" x14ac:dyDescent="0.2">
      <c r="A848" s="99" t="str">
        <f ca="1">Language!A$1054</f>
        <v>на конец периода (без учета изменения курса)</v>
      </c>
      <c r="C848" s="124" t="str">
        <f t="shared" ca="1" si="3436"/>
        <v>тыс. руб.</v>
      </c>
      <c r="D848" s="66">
        <v>1</v>
      </c>
      <c r="F848" s="57" t="s">
        <v>754</v>
      </c>
      <c r="G848" s="138">
        <f t="shared" ref="G848:AV848" si="3457">G849+G844-G845</f>
        <v>0</v>
      </c>
      <c r="H848" s="138">
        <f t="shared" si="3457"/>
        <v>0</v>
      </c>
      <c r="I848" s="138">
        <f t="shared" si="3457"/>
        <v>0</v>
      </c>
      <c r="J848" s="138">
        <f t="shared" si="3457"/>
        <v>0</v>
      </c>
      <c r="K848" s="138">
        <f t="shared" si="3457"/>
        <v>0</v>
      </c>
      <c r="L848" s="138">
        <f t="shared" si="3457"/>
        <v>0</v>
      </c>
      <c r="M848" s="138">
        <f t="shared" si="3457"/>
        <v>0</v>
      </c>
      <c r="N848" s="138">
        <f t="shared" si="3457"/>
        <v>0</v>
      </c>
      <c r="O848" s="138">
        <f t="shared" si="3457"/>
        <v>0</v>
      </c>
      <c r="P848" s="138">
        <f t="shared" si="3457"/>
        <v>0</v>
      </c>
      <c r="Q848" s="138">
        <f t="shared" si="3457"/>
        <v>0</v>
      </c>
      <c r="R848" s="138">
        <f t="shared" si="3457"/>
        <v>0</v>
      </c>
      <c r="S848" s="138">
        <f t="shared" si="3457"/>
        <v>0</v>
      </c>
      <c r="T848" s="138">
        <f t="shared" si="3457"/>
        <v>0</v>
      </c>
      <c r="U848" s="138">
        <f t="shared" si="3457"/>
        <v>0</v>
      </c>
      <c r="V848" s="138">
        <f t="shared" si="3457"/>
        <v>0</v>
      </c>
      <c r="W848" s="138">
        <f t="shared" si="3457"/>
        <v>0</v>
      </c>
      <c r="X848" s="138">
        <f t="shared" si="3457"/>
        <v>0</v>
      </c>
      <c r="Y848" s="138">
        <f t="shared" si="3457"/>
        <v>0</v>
      </c>
      <c r="Z848" s="138">
        <f t="shared" si="3457"/>
        <v>0</v>
      </c>
      <c r="AA848" s="138">
        <f t="shared" si="3457"/>
        <v>0</v>
      </c>
      <c r="AB848" s="138">
        <f t="shared" si="3457"/>
        <v>0</v>
      </c>
      <c r="AC848" s="138">
        <f t="shared" si="3457"/>
        <v>0</v>
      </c>
      <c r="AD848" s="138">
        <f t="shared" si="3457"/>
        <v>0</v>
      </c>
      <c r="AE848" s="138">
        <f t="shared" si="3457"/>
        <v>0</v>
      </c>
      <c r="AF848" s="138">
        <f t="shared" si="3457"/>
        <v>0</v>
      </c>
      <c r="AG848" s="138">
        <f t="shared" si="3457"/>
        <v>0</v>
      </c>
      <c r="AH848" s="138">
        <f t="shared" si="3457"/>
        <v>0</v>
      </c>
      <c r="AI848" s="138">
        <f t="shared" si="3457"/>
        <v>0</v>
      </c>
      <c r="AJ848" s="138">
        <f t="shared" si="3457"/>
        <v>0</v>
      </c>
      <c r="AK848" s="138">
        <f t="shared" si="3457"/>
        <v>0</v>
      </c>
      <c r="AL848" s="138">
        <f t="shared" si="3457"/>
        <v>0</v>
      </c>
      <c r="AM848" s="138">
        <f t="shared" si="3457"/>
        <v>0</v>
      </c>
      <c r="AN848" s="138">
        <f t="shared" si="3457"/>
        <v>0</v>
      </c>
      <c r="AO848" s="138">
        <f t="shared" si="3457"/>
        <v>0</v>
      </c>
      <c r="AP848" s="138">
        <f t="shared" si="3457"/>
        <v>0</v>
      </c>
      <c r="AQ848" s="138">
        <f t="shared" si="3457"/>
        <v>0</v>
      </c>
      <c r="AR848" s="138">
        <f t="shared" si="3457"/>
        <v>0</v>
      </c>
      <c r="AS848" s="138">
        <f t="shared" si="3457"/>
        <v>0</v>
      </c>
      <c r="AT848" s="138">
        <f t="shared" si="3457"/>
        <v>0</v>
      </c>
      <c r="AU848" s="138">
        <f t="shared" si="3457"/>
        <v>0</v>
      </c>
      <c r="AV848" s="138">
        <f t="shared" si="3457"/>
        <v>0</v>
      </c>
    </row>
    <row r="849" spans="1:50" hidden="1" outlineLevel="1" x14ac:dyDescent="0.2">
      <c r="A849" s="99" t="str">
        <f ca="1">Language!A$1055</f>
        <v>на начало периода (без учета изменения курса)</v>
      </c>
      <c r="C849" s="124" t="str">
        <f t="shared" ca="1" si="3436"/>
        <v>тыс. руб.</v>
      </c>
      <c r="D849" s="66">
        <v>1</v>
      </c>
      <c r="F849" s="57" t="s">
        <v>755</v>
      </c>
      <c r="G849" s="138">
        <v>0</v>
      </c>
      <c r="H849" s="138">
        <f t="shared" ref="H849:AV849" si="3458">G848</f>
        <v>0</v>
      </c>
      <c r="I849" s="138">
        <f t="shared" si="3458"/>
        <v>0</v>
      </c>
      <c r="J849" s="138">
        <f t="shared" si="3458"/>
        <v>0</v>
      </c>
      <c r="K849" s="138">
        <f t="shared" si="3458"/>
        <v>0</v>
      </c>
      <c r="L849" s="138">
        <f t="shared" si="3458"/>
        <v>0</v>
      </c>
      <c r="M849" s="138">
        <f t="shared" si="3458"/>
        <v>0</v>
      </c>
      <c r="N849" s="138">
        <f t="shared" si="3458"/>
        <v>0</v>
      </c>
      <c r="O849" s="138">
        <f t="shared" si="3458"/>
        <v>0</v>
      </c>
      <c r="P849" s="138">
        <f t="shared" si="3458"/>
        <v>0</v>
      </c>
      <c r="Q849" s="138">
        <f t="shared" si="3458"/>
        <v>0</v>
      </c>
      <c r="R849" s="138">
        <f t="shared" si="3458"/>
        <v>0</v>
      </c>
      <c r="S849" s="138">
        <f t="shared" si="3458"/>
        <v>0</v>
      </c>
      <c r="T849" s="138">
        <f t="shared" si="3458"/>
        <v>0</v>
      </c>
      <c r="U849" s="138">
        <f t="shared" si="3458"/>
        <v>0</v>
      </c>
      <c r="V849" s="138">
        <f t="shared" si="3458"/>
        <v>0</v>
      </c>
      <c r="W849" s="138">
        <f t="shared" si="3458"/>
        <v>0</v>
      </c>
      <c r="X849" s="138">
        <f t="shared" si="3458"/>
        <v>0</v>
      </c>
      <c r="Y849" s="138">
        <f t="shared" si="3458"/>
        <v>0</v>
      </c>
      <c r="Z849" s="138">
        <f t="shared" si="3458"/>
        <v>0</v>
      </c>
      <c r="AA849" s="138">
        <f t="shared" si="3458"/>
        <v>0</v>
      </c>
      <c r="AB849" s="138">
        <f t="shared" si="3458"/>
        <v>0</v>
      </c>
      <c r="AC849" s="138">
        <f t="shared" si="3458"/>
        <v>0</v>
      </c>
      <c r="AD849" s="138">
        <f t="shared" si="3458"/>
        <v>0</v>
      </c>
      <c r="AE849" s="138">
        <f t="shared" si="3458"/>
        <v>0</v>
      </c>
      <c r="AF849" s="138">
        <f t="shared" si="3458"/>
        <v>0</v>
      </c>
      <c r="AG849" s="138">
        <f t="shared" si="3458"/>
        <v>0</v>
      </c>
      <c r="AH849" s="138">
        <f t="shared" si="3458"/>
        <v>0</v>
      </c>
      <c r="AI849" s="138">
        <f t="shared" si="3458"/>
        <v>0</v>
      </c>
      <c r="AJ849" s="138">
        <f t="shared" si="3458"/>
        <v>0</v>
      </c>
      <c r="AK849" s="138">
        <f t="shared" si="3458"/>
        <v>0</v>
      </c>
      <c r="AL849" s="138">
        <f t="shared" si="3458"/>
        <v>0</v>
      </c>
      <c r="AM849" s="138">
        <f t="shared" si="3458"/>
        <v>0</v>
      </c>
      <c r="AN849" s="138">
        <f t="shared" si="3458"/>
        <v>0</v>
      </c>
      <c r="AO849" s="138">
        <f t="shared" si="3458"/>
        <v>0</v>
      </c>
      <c r="AP849" s="138">
        <f t="shared" si="3458"/>
        <v>0</v>
      </c>
      <c r="AQ849" s="138">
        <f t="shared" si="3458"/>
        <v>0</v>
      </c>
      <c r="AR849" s="138">
        <f t="shared" si="3458"/>
        <v>0</v>
      </c>
      <c r="AS849" s="138">
        <f t="shared" si="3458"/>
        <v>0</v>
      </c>
      <c r="AT849" s="138">
        <f t="shared" si="3458"/>
        <v>0</v>
      </c>
      <c r="AU849" s="138">
        <f t="shared" si="3458"/>
        <v>0</v>
      </c>
      <c r="AV849" s="138">
        <f t="shared" si="3458"/>
        <v>0</v>
      </c>
    </row>
    <row r="850" spans="1:50" hidden="1" outlineLevel="1" x14ac:dyDescent="0.2">
      <c r="A850" s="99" t="str">
        <f ca="1">Language!A$1056</f>
        <v>прибыль (убыток) от курсовой разницы</v>
      </c>
      <c r="C850" s="124" t="str">
        <f t="shared" ca="1" si="3436"/>
        <v>тыс. руб.</v>
      </c>
      <c r="D850" s="66">
        <v>1</v>
      </c>
      <c r="F850" s="57" t="s">
        <v>753</v>
      </c>
      <c r="G850" s="138">
        <f>G847-G848</f>
        <v>0</v>
      </c>
      <c r="H850" s="138">
        <f>(H847-H848)-(G847-G848)</f>
        <v>0</v>
      </c>
      <c r="I850" s="138">
        <f t="shared" ref="I850:AV850" si="3459">(I847-I848)-(H847-H848)</f>
        <v>0</v>
      </c>
      <c r="J850" s="138">
        <f t="shared" si="3459"/>
        <v>0</v>
      </c>
      <c r="K850" s="138">
        <f t="shared" si="3459"/>
        <v>0</v>
      </c>
      <c r="L850" s="138">
        <f t="shared" si="3459"/>
        <v>0</v>
      </c>
      <c r="M850" s="138">
        <f t="shared" si="3459"/>
        <v>0</v>
      </c>
      <c r="N850" s="138">
        <f t="shared" si="3459"/>
        <v>0</v>
      </c>
      <c r="O850" s="138">
        <f t="shared" si="3459"/>
        <v>0</v>
      </c>
      <c r="P850" s="138">
        <f t="shared" si="3459"/>
        <v>0</v>
      </c>
      <c r="Q850" s="138">
        <f t="shared" si="3459"/>
        <v>0</v>
      </c>
      <c r="R850" s="138">
        <f t="shared" si="3459"/>
        <v>0</v>
      </c>
      <c r="S850" s="138">
        <f t="shared" si="3459"/>
        <v>0</v>
      </c>
      <c r="T850" s="138">
        <f t="shared" si="3459"/>
        <v>0</v>
      </c>
      <c r="U850" s="138">
        <f t="shared" si="3459"/>
        <v>0</v>
      </c>
      <c r="V850" s="138">
        <f t="shared" si="3459"/>
        <v>0</v>
      </c>
      <c r="W850" s="138">
        <f t="shared" si="3459"/>
        <v>0</v>
      </c>
      <c r="X850" s="138">
        <f t="shared" si="3459"/>
        <v>0</v>
      </c>
      <c r="Y850" s="138">
        <f t="shared" si="3459"/>
        <v>0</v>
      </c>
      <c r="Z850" s="138">
        <f t="shared" si="3459"/>
        <v>0</v>
      </c>
      <c r="AA850" s="138">
        <f t="shared" si="3459"/>
        <v>0</v>
      </c>
      <c r="AB850" s="138">
        <f t="shared" si="3459"/>
        <v>0</v>
      </c>
      <c r="AC850" s="138">
        <f t="shared" si="3459"/>
        <v>0</v>
      </c>
      <c r="AD850" s="138">
        <f t="shared" si="3459"/>
        <v>0</v>
      </c>
      <c r="AE850" s="138">
        <f t="shared" si="3459"/>
        <v>0</v>
      </c>
      <c r="AF850" s="138">
        <f t="shared" si="3459"/>
        <v>0</v>
      </c>
      <c r="AG850" s="138">
        <f t="shared" si="3459"/>
        <v>0</v>
      </c>
      <c r="AH850" s="138">
        <f t="shared" si="3459"/>
        <v>0</v>
      </c>
      <c r="AI850" s="138">
        <f t="shared" si="3459"/>
        <v>0</v>
      </c>
      <c r="AJ850" s="138">
        <f t="shared" si="3459"/>
        <v>0</v>
      </c>
      <c r="AK850" s="138">
        <f t="shared" si="3459"/>
        <v>0</v>
      </c>
      <c r="AL850" s="138">
        <f t="shared" si="3459"/>
        <v>0</v>
      </c>
      <c r="AM850" s="138">
        <f t="shared" si="3459"/>
        <v>0</v>
      </c>
      <c r="AN850" s="138">
        <f t="shared" si="3459"/>
        <v>0</v>
      </c>
      <c r="AO850" s="138">
        <f t="shared" si="3459"/>
        <v>0</v>
      </c>
      <c r="AP850" s="138">
        <f t="shared" si="3459"/>
        <v>0</v>
      </c>
      <c r="AQ850" s="138">
        <f t="shared" si="3459"/>
        <v>0</v>
      </c>
      <c r="AR850" s="138">
        <f t="shared" si="3459"/>
        <v>0</v>
      </c>
      <c r="AS850" s="138">
        <f t="shared" si="3459"/>
        <v>0</v>
      </c>
      <c r="AT850" s="138">
        <f t="shared" si="3459"/>
        <v>0</v>
      </c>
      <c r="AU850" s="138">
        <f t="shared" si="3459"/>
        <v>0</v>
      </c>
      <c r="AV850" s="138">
        <f t="shared" si="3459"/>
        <v>0</v>
      </c>
      <c r="AX850" s="171">
        <f>SUM(G850:AW850)</f>
        <v>0</v>
      </c>
    </row>
    <row r="851" spans="1:50" collapsed="1" x14ac:dyDescent="0.2">
      <c r="A851" s="38" t="str">
        <f ca="1">Language!A$1057</f>
        <v>Итого: Краткосрочные вложения на конец периода</v>
      </c>
      <c r="C851" s="124" t="str">
        <f t="shared" ca="1" si="3436"/>
        <v>тыс. руб.</v>
      </c>
      <c r="D851" s="66">
        <v>1</v>
      </c>
      <c r="F851" s="57" t="s">
        <v>754</v>
      </c>
      <c r="G851" s="138">
        <f>G855</f>
        <v>0</v>
      </c>
      <c r="H851" s="138">
        <f t="shared" ref="H851:K851" si="3460">H855</f>
        <v>0</v>
      </c>
      <c r="I851" s="138">
        <f t="shared" si="3460"/>
        <v>0</v>
      </c>
      <c r="J851" s="138">
        <f t="shared" si="3460"/>
        <v>0</v>
      </c>
      <c r="K851" s="138">
        <f t="shared" si="3460"/>
        <v>0</v>
      </c>
      <c r="L851" s="138">
        <f t="shared" ref="L851:M851" si="3461">L855</f>
        <v>0</v>
      </c>
      <c r="M851" s="138">
        <f t="shared" si="3461"/>
        <v>0</v>
      </c>
      <c r="N851" s="138">
        <f t="shared" ref="N851:O851" si="3462">N855</f>
        <v>0</v>
      </c>
      <c r="O851" s="138">
        <f t="shared" si="3462"/>
        <v>0</v>
      </c>
      <c r="P851" s="138">
        <f t="shared" ref="P851:Q851" si="3463">P855</f>
        <v>0</v>
      </c>
      <c r="Q851" s="138">
        <f t="shared" si="3463"/>
        <v>0</v>
      </c>
      <c r="R851" s="138">
        <f t="shared" ref="R851:S851" si="3464">R855</f>
        <v>0</v>
      </c>
      <c r="S851" s="138">
        <f t="shared" si="3464"/>
        <v>0</v>
      </c>
      <c r="T851" s="138">
        <f t="shared" ref="T851:U851" si="3465">T855</f>
        <v>0</v>
      </c>
      <c r="U851" s="138">
        <f t="shared" si="3465"/>
        <v>0</v>
      </c>
      <c r="V851" s="138">
        <f t="shared" ref="V851:W851" si="3466">V855</f>
        <v>0</v>
      </c>
      <c r="W851" s="138">
        <f t="shared" si="3466"/>
        <v>0</v>
      </c>
      <c r="X851" s="138">
        <f t="shared" ref="X851:Y851" si="3467">X855</f>
        <v>0</v>
      </c>
      <c r="Y851" s="138">
        <f t="shared" si="3467"/>
        <v>0</v>
      </c>
      <c r="Z851" s="138">
        <f t="shared" ref="Z851:AA851" si="3468">Z855</f>
        <v>0</v>
      </c>
      <c r="AA851" s="138">
        <f t="shared" si="3468"/>
        <v>0</v>
      </c>
      <c r="AB851" s="138">
        <f t="shared" ref="AB851:AC851" si="3469">AB855</f>
        <v>0</v>
      </c>
      <c r="AC851" s="138">
        <f t="shared" si="3469"/>
        <v>0</v>
      </c>
      <c r="AD851" s="138">
        <f t="shared" ref="AD851:AE851" si="3470">AD855</f>
        <v>0</v>
      </c>
      <c r="AE851" s="138">
        <f t="shared" si="3470"/>
        <v>0</v>
      </c>
      <c r="AF851" s="138">
        <f t="shared" ref="AF851:AG851" si="3471">AF855</f>
        <v>0</v>
      </c>
      <c r="AG851" s="138">
        <f t="shared" si="3471"/>
        <v>0</v>
      </c>
      <c r="AH851" s="138">
        <f t="shared" ref="AH851:AI851" si="3472">AH855</f>
        <v>0</v>
      </c>
      <c r="AI851" s="138">
        <f t="shared" si="3472"/>
        <v>0</v>
      </c>
      <c r="AJ851" s="138">
        <f t="shared" ref="AJ851:AK851" si="3473">AJ855</f>
        <v>0</v>
      </c>
      <c r="AK851" s="138">
        <f t="shared" si="3473"/>
        <v>0</v>
      </c>
      <c r="AL851" s="138">
        <f t="shared" ref="AL851:AM851" si="3474">AL855</f>
        <v>0</v>
      </c>
      <c r="AM851" s="138">
        <f t="shared" si="3474"/>
        <v>0</v>
      </c>
      <c r="AN851" s="138">
        <f t="shared" ref="AN851:AO851" si="3475">AN855</f>
        <v>0</v>
      </c>
      <c r="AO851" s="138">
        <f t="shared" si="3475"/>
        <v>0</v>
      </c>
      <c r="AP851" s="138">
        <f t="shared" ref="AP851:AQ851" si="3476">AP855</f>
        <v>0</v>
      </c>
      <c r="AQ851" s="138">
        <f t="shared" si="3476"/>
        <v>0</v>
      </c>
      <c r="AR851" s="138">
        <f t="shared" ref="AR851:AS851" si="3477">AR855</f>
        <v>0</v>
      </c>
      <c r="AS851" s="138">
        <f t="shared" si="3477"/>
        <v>0</v>
      </c>
      <c r="AT851" s="138">
        <f t="shared" ref="AT851:AU851" si="3478">AT855</f>
        <v>0</v>
      </c>
      <c r="AU851" s="138">
        <f t="shared" si="3478"/>
        <v>0</v>
      </c>
      <c r="AV851" s="138">
        <f t="shared" ref="AV851" si="3479">AV855</f>
        <v>0</v>
      </c>
      <c r="AX851" s="171"/>
    </row>
    <row r="852" spans="1:50" hidden="1" outlineLevel="1" x14ac:dyDescent="0.2">
      <c r="A852" s="99" t="str">
        <f ca="1">Language!A$1058</f>
        <v>увеличение финансовых вложений</v>
      </c>
      <c r="C852" s="124" t="str">
        <f t="shared" ca="1" si="3436"/>
        <v>тыс. руб.</v>
      </c>
      <c r="D852" s="66">
        <v>1</v>
      </c>
      <c r="F852" s="57" t="s">
        <v>1095</v>
      </c>
      <c r="G852" s="138">
        <v>0</v>
      </c>
      <c r="H852" s="138">
        <v>0</v>
      </c>
      <c r="I852" s="138">
        <v>0</v>
      </c>
      <c r="J852" s="138">
        <v>0</v>
      </c>
      <c r="K852" s="138">
        <v>0</v>
      </c>
      <c r="L852" s="138">
        <v>0</v>
      </c>
      <c r="M852" s="138">
        <v>0</v>
      </c>
      <c r="N852" s="138">
        <v>0</v>
      </c>
      <c r="O852" s="138">
        <v>0</v>
      </c>
      <c r="P852" s="138">
        <v>0</v>
      </c>
      <c r="Q852" s="138">
        <v>0</v>
      </c>
      <c r="R852" s="138">
        <v>0</v>
      </c>
      <c r="S852" s="138">
        <v>0</v>
      </c>
      <c r="T852" s="138">
        <v>0</v>
      </c>
      <c r="U852" s="138">
        <v>0</v>
      </c>
      <c r="V852" s="138">
        <v>0</v>
      </c>
      <c r="W852" s="138">
        <v>0</v>
      </c>
      <c r="X852" s="138">
        <v>0</v>
      </c>
      <c r="Y852" s="138">
        <v>0</v>
      </c>
      <c r="Z852" s="138">
        <v>0</v>
      </c>
      <c r="AA852" s="138">
        <v>0</v>
      </c>
      <c r="AB852" s="138">
        <v>0</v>
      </c>
      <c r="AC852" s="138">
        <v>0</v>
      </c>
      <c r="AD852" s="138">
        <v>0</v>
      </c>
      <c r="AE852" s="138">
        <v>0</v>
      </c>
      <c r="AF852" s="138">
        <v>0</v>
      </c>
      <c r="AG852" s="138">
        <v>0</v>
      </c>
      <c r="AH852" s="138">
        <v>0</v>
      </c>
      <c r="AI852" s="138">
        <v>0</v>
      </c>
      <c r="AJ852" s="138">
        <v>0</v>
      </c>
      <c r="AK852" s="138">
        <v>0</v>
      </c>
      <c r="AL852" s="138">
        <v>0</v>
      </c>
      <c r="AM852" s="138">
        <v>0</v>
      </c>
      <c r="AN852" s="138">
        <v>0</v>
      </c>
      <c r="AO852" s="138">
        <v>0</v>
      </c>
      <c r="AP852" s="138">
        <v>0</v>
      </c>
      <c r="AQ852" s="138">
        <v>0</v>
      </c>
      <c r="AR852" s="138">
        <v>0</v>
      </c>
      <c r="AS852" s="138">
        <v>0</v>
      </c>
      <c r="AT852" s="138">
        <v>0</v>
      </c>
      <c r="AU852" s="138">
        <v>0</v>
      </c>
      <c r="AV852" s="138">
        <v>0</v>
      </c>
      <c r="AX852" s="171">
        <f>SUM(G852:AW852)</f>
        <v>0</v>
      </c>
    </row>
    <row r="853" spans="1:50" hidden="1" outlineLevel="1" x14ac:dyDescent="0.2">
      <c r="A853" s="99" t="str">
        <f ca="1">Language!A$1059</f>
        <v>снижение финансовых вложений (возврат)</v>
      </c>
      <c r="C853" s="124" t="str">
        <f t="shared" ca="1" si="3436"/>
        <v>тыс. руб.</v>
      </c>
      <c r="D853" s="66">
        <v>1</v>
      </c>
      <c r="F853" s="57" t="s">
        <v>1096</v>
      </c>
      <c r="G853" s="138">
        <v>0</v>
      </c>
      <c r="H853" s="138">
        <v>0</v>
      </c>
      <c r="I853" s="138">
        <v>0</v>
      </c>
      <c r="J853" s="138">
        <v>0</v>
      </c>
      <c r="K853" s="138">
        <v>0</v>
      </c>
      <c r="L853" s="138">
        <v>0</v>
      </c>
      <c r="M853" s="138">
        <v>0</v>
      </c>
      <c r="N853" s="138">
        <v>0</v>
      </c>
      <c r="O853" s="138">
        <v>0</v>
      </c>
      <c r="P853" s="138">
        <v>0</v>
      </c>
      <c r="Q853" s="138">
        <v>0</v>
      </c>
      <c r="R853" s="138">
        <v>0</v>
      </c>
      <c r="S853" s="138">
        <v>0</v>
      </c>
      <c r="T853" s="138">
        <v>0</v>
      </c>
      <c r="U853" s="138">
        <v>0</v>
      </c>
      <c r="V853" s="138">
        <v>0</v>
      </c>
      <c r="W853" s="138">
        <v>0</v>
      </c>
      <c r="X853" s="138">
        <v>0</v>
      </c>
      <c r="Y853" s="138">
        <v>0</v>
      </c>
      <c r="Z853" s="138">
        <v>0</v>
      </c>
      <c r="AA853" s="138">
        <v>0</v>
      </c>
      <c r="AB853" s="138">
        <v>0</v>
      </c>
      <c r="AC853" s="138">
        <v>0</v>
      </c>
      <c r="AD853" s="138">
        <v>0</v>
      </c>
      <c r="AE853" s="138">
        <v>0</v>
      </c>
      <c r="AF853" s="138">
        <v>0</v>
      </c>
      <c r="AG853" s="138">
        <v>0</v>
      </c>
      <c r="AH853" s="138">
        <v>0</v>
      </c>
      <c r="AI853" s="138">
        <v>0</v>
      </c>
      <c r="AJ853" s="138">
        <v>0</v>
      </c>
      <c r="AK853" s="138">
        <v>0</v>
      </c>
      <c r="AL853" s="138">
        <v>0</v>
      </c>
      <c r="AM853" s="138">
        <v>0</v>
      </c>
      <c r="AN853" s="138">
        <v>0</v>
      </c>
      <c r="AO853" s="138">
        <v>0</v>
      </c>
      <c r="AP853" s="138">
        <v>0</v>
      </c>
      <c r="AQ853" s="138">
        <v>0</v>
      </c>
      <c r="AR853" s="138">
        <v>0</v>
      </c>
      <c r="AS853" s="138">
        <v>0</v>
      </c>
      <c r="AT853" s="138">
        <v>0</v>
      </c>
      <c r="AU853" s="138">
        <v>0</v>
      </c>
      <c r="AV853" s="138">
        <v>0</v>
      </c>
      <c r="AX853" s="171">
        <f>SUM(G853:AW853)</f>
        <v>0</v>
      </c>
    </row>
    <row r="854" spans="1:50" hidden="1" outlineLevel="1" x14ac:dyDescent="0.2">
      <c r="A854" s="99" t="str">
        <f ca="1">Language!A$1060</f>
        <v xml:space="preserve">доход </v>
      </c>
      <c r="C854" s="124" t="str">
        <f t="shared" ca="1" si="3436"/>
        <v>тыс. руб.</v>
      </c>
      <c r="D854" s="66">
        <v>1</v>
      </c>
      <c r="F854" s="57" t="s">
        <v>1097</v>
      </c>
      <c r="G854" s="138">
        <v>0</v>
      </c>
      <c r="H854" s="138">
        <v>0</v>
      </c>
      <c r="I854" s="138">
        <v>0</v>
      </c>
      <c r="J854" s="138">
        <v>0</v>
      </c>
      <c r="K854" s="138">
        <v>0</v>
      </c>
      <c r="L854" s="138">
        <v>0</v>
      </c>
      <c r="M854" s="138">
        <v>0</v>
      </c>
      <c r="N854" s="138">
        <v>0</v>
      </c>
      <c r="O854" s="138">
        <v>0</v>
      </c>
      <c r="P854" s="138">
        <v>0</v>
      </c>
      <c r="Q854" s="138">
        <v>0</v>
      </c>
      <c r="R854" s="138">
        <v>0</v>
      </c>
      <c r="S854" s="138">
        <v>0</v>
      </c>
      <c r="T854" s="138">
        <v>0</v>
      </c>
      <c r="U854" s="138">
        <v>0</v>
      </c>
      <c r="V854" s="138">
        <v>0</v>
      </c>
      <c r="W854" s="138">
        <v>0</v>
      </c>
      <c r="X854" s="138">
        <v>0</v>
      </c>
      <c r="Y854" s="138">
        <v>0</v>
      </c>
      <c r="Z854" s="138">
        <v>0</v>
      </c>
      <c r="AA854" s="138">
        <v>0</v>
      </c>
      <c r="AB854" s="138">
        <v>0</v>
      </c>
      <c r="AC854" s="138">
        <v>0</v>
      </c>
      <c r="AD854" s="138">
        <v>0</v>
      </c>
      <c r="AE854" s="138">
        <v>0</v>
      </c>
      <c r="AF854" s="138">
        <v>0</v>
      </c>
      <c r="AG854" s="138">
        <v>0</v>
      </c>
      <c r="AH854" s="138">
        <v>0</v>
      </c>
      <c r="AI854" s="138">
        <v>0</v>
      </c>
      <c r="AJ854" s="138">
        <v>0</v>
      </c>
      <c r="AK854" s="138">
        <v>0</v>
      </c>
      <c r="AL854" s="138">
        <v>0</v>
      </c>
      <c r="AM854" s="138">
        <v>0</v>
      </c>
      <c r="AN854" s="138">
        <v>0</v>
      </c>
      <c r="AO854" s="138">
        <v>0</v>
      </c>
      <c r="AP854" s="138">
        <v>0</v>
      </c>
      <c r="AQ854" s="138">
        <v>0</v>
      </c>
      <c r="AR854" s="138">
        <v>0</v>
      </c>
      <c r="AS854" s="138">
        <v>0</v>
      </c>
      <c r="AT854" s="138">
        <v>0</v>
      </c>
      <c r="AU854" s="138">
        <v>0</v>
      </c>
      <c r="AV854" s="138">
        <v>0</v>
      </c>
      <c r="AX854" s="171">
        <f>SUM(G854:AW854)</f>
        <v>0</v>
      </c>
    </row>
    <row r="855" spans="1:50" hidden="1" outlineLevel="1" x14ac:dyDescent="0.2">
      <c r="A855" s="99" t="str">
        <f ca="1">Language!A$1061</f>
        <v>финансовые вложения на конец периода</v>
      </c>
      <c r="C855" s="124" t="str">
        <f t="shared" ca="1" si="3436"/>
        <v>тыс. руб.</v>
      </c>
      <c r="D855" s="66">
        <v>1</v>
      </c>
      <c r="F855" s="57" t="s">
        <v>1098</v>
      </c>
      <c r="G855" s="138">
        <v>0</v>
      </c>
      <c r="H855" s="138">
        <v>0</v>
      </c>
      <c r="I855" s="138">
        <v>0</v>
      </c>
      <c r="J855" s="138">
        <v>0</v>
      </c>
      <c r="K855" s="138">
        <v>0</v>
      </c>
      <c r="L855" s="138">
        <v>0</v>
      </c>
      <c r="M855" s="138">
        <v>0</v>
      </c>
      <c r="N855" s="138">
        <v>0</v>
      </c>
      <c r="O855" s="138">
        <v>0</v>
      </c>
      <c r="P855" s="138">
        <v>0</v>
      </c>
      <c r="Q855" s="138">
        <v>0</v>
      </c>
      <c r="R855" s="138">
        <v>0</v>
      </c>
      <c r="S855" s="138">
        <v>0</v>
      </c>
      <c r="T855" s="138">
        <v>0</v>
      </c>
      <c r="U855" s="138">
        <v>0</v>
      </c>
      <c r="V855" s="138">
        <v>0</v>
      </c>
      <c r="W855" s="138">
        <v>0</v>
      </c>
      <c r="X855" s="138">
        <v>0</v>
      </c>
      <c r="Y855" s="138">
        <v>0</v>
      </c>
      <c r="Z855" s="138">
        <v>0</v>
      </c>
      <c r="AA855" s="138">
        <v>0</v>
      </c>
      <c r="AB855" s="138">
        <v>0</v>
      </c>
      <c r="AC855" s="138">
        <v>0</v>
      </c>
      <c r="AD855" s="138">
        <v>0</v>
      </c>
      <c r="AE855" s="138">
        <v>0</v>
      </c>
      <c r="AF855" s="138">
        <v>0</v>
      </c>
      <c r="AG855" s="138">
        <v>0</v>
      </c>
      <c r="AH855" s="138">
        <v>0</v>
      </c>
      <c r="AI855" s="138">
        <v>0</v>
      </c>
      <c r="AJ855" s="138">
        <v>0</v>
      </c>
      <c r="AK855" s="138">
        <v>0</v>
      </c>
      <c r="AL855" s="138">
        <v>0</v>
      </c>
      <c r="AM855" s="138">
        <v>0</v>
      </c>
      <c r="AN855" s="138">
        <v>0</v>
      </c>
      <c r="AO855" s="138">
        <v>0</v>
      </c>
      <c r="AP855" s="138">
        <v>0</v>
      </c>
      <c r="AQ855" s="138">
        <v>0</v>
      </c>
      <c r="AR855" s="138">
        <v>0</v>
      </c>
      <c r="AS855" s="138">
        <v>0</v>
      </c>
      <c r="AT855" s="138">
        <v>0</v>
      </c>
      <c r="AU855" s="138">
        <v>0</v>
      </c>
      <c r="AV855" s="138">
        <v>0</v>
      </c>
    </row>
    <row r="856" spans="1:50" hidden="1" outlineLevel="1" x14ac:dyDescent="0.2">
      <c r="A856" s="99" t="str">
        <f ca="1">Language!A$1062</f>
        <v>на конец периода (без учета изменения курса)</v>
      </c>
      <c r="C856" s="124" t="str">
        <f t="shared" ca="1" si="3436"/>
        <v>тыс. руб.</v>
      </c>
      <c r="D856" s="66">
        <v>1</v>
      </c>
      <c r="F856" s="57" t="s">
        <v>754</v>
      </c>
      <c r="G856" s="138">
        <f t="shared" ref="G856:AV856" si="3480">G857+G852-G853</f>
        <v>0</v>
      </c>
      <c r="H856" s="138">
        <f t="shared" si="3480"/>
        <v>0</v>
      </c>
      <c r="I856" s="138">
        <f t="shared" si="3480"/>
        <v>0</v>
      </c>
      <c r="J856" s="138">
        <f t="shared" si="3480"/>
        <v>0</v>
      </c>
      <c r="K856" s="138">
        <f t="shared" si="3480"/>
        <v>0</v>
      </c>
      <c r="L856" s="138">
        <f t="shared" si="3480"/>
        <v>0</v>
      </c>
      <c r="M856" s="138">
        <f t="shared" si="3480"/>
        <v>0</v>
      </c>
      <c r="N856" s="138">
        <f t="shared" si="3480"/>
        <v>0</v>
      </c>
      <c r="O856" s="138">
        <f t="shared" si="3480"/>
        <v>0</v>
      </c>
      <c r="P856" s="138">
        <f t="shared" si="3480"/>
        <v>0</v>
      </c>
      <c r="Q856" s="138">
        <f t="shared" si="3480"/>
        <v>0</v>
      </c>
      <c r="R856" s="138">
        <f t="shared" si="3480"/>
        <v>0</v>
      </c>
      <c r="S856" s="138">
        <f t="shared" si="3480"/>
        <v>0</v>
      </c>
      <c r="T856" s="138">
        <f t="shared" si="3480"/>
        <v>0</v>
      </c>
      <c r="U856" s="138">
        <f t="shared" si="3480"/>
        <v>0</v>
      </c>
      <c r="V856" s="138">
        <f t="shared" si="3480"/>
        <v>0</v>
      </c>
      <c r="W856" s="138">
        <f t="shared" si="3480"/>
        <v>0</v>
      </c>
      <c r="X856" s="138">
        <f t="shared" si="3480"/>
        <v>0</v>
      </c>
      <c r="Y856" s="138">
        <f t="shared" si="3480"/>
        <v>0</v>
      </c>
      <c r="Z856" s="138">
        <f t="shared" si="3480"/>
        <v>0</v>
      </c>
      <c r="AA856" s="138">
        <f t="shared" si="3480"/>
        <v>0</v>
      </c>
      <c r="AB856" s="138">
        <f t="shared" si="3480"/>
        <v>0</v>
      </c>
      <c r="AC856" s="138">
        <f t="shared" si="3480"/>
        <v>0</v>
      </c>
      <c r="AD856" s="138">
        <f t="shared" si="3480"/>
        <v>0</v>
      </c>
      <c r="AE856" s="138">
        <f t="shared" si="3480"/>
        <v>0</v>
      </c>
      <c r="AF856" s="138">
        <f t="shared" si="3480"/>
        <v>0</v>
      </c>
      <c r="AG856" s="138">
        <f t="shared" si="3480"/>
        <v>0</v>
      </c>
      <c r="AH856" s="138">
        <f t="shared" si="3480"/>
        <v>0</v>
      </c>
      <c r="AI856" s="138">
        <f t="shared" si="3480"/>
        <v>0</v>
      </c>
      <c r="AJ856" s="138">
        <f t="shared" si="3480"/>
        <v>0</v>
      </c>
      <c r="AK856" s="138">
        <f t="shared" si="3480"/>
        <v>0</v>
      </c>
      <c r="AL856" s="138">
        <f t="shared" si="3480"/>
        <v>0</v>
      </c>
      <c r="AM856" s="138">
        <f t="shared" si="3480"/>
        <v>0</v>
      </c>
      <c r="AN856" s="138">
        <f t="shared" si="3480"/>
        <v>0</v>
      </c>
      <c r="AO856" s="138">
        <f t="shared" si="3480"/>
        <v>0</v>
      </c>
      <c r="AP856" s="138">
        <f t="shared" si="3480"/>
        <v>0</v>
      </c>
      <c r="AQ856" s="138">
        <f t="shared" si="3480"/>
        <v>0</v>
      </c>
      <c r="AR856" s="138">
        <f t="shared" si="3480"/>
        <v>0</v>
      </c>
      <c r="AS856" s="138">
        <f t="shared" si="3480"/>
        <v>0</v>
      </c>
      <c r="AT856" s="138">
        <f t="shared" si="3480"/>
        <v>0</v>
      </c>
      <c r="AU856" s="138">
        <f t="shared" si="3480"/>
        <v>0</v>
      </c>
      <c r="AV856" s="138">
        <f t="shared" si="3480"/>
        <v>0</v>
      </c>
    </row>
    <row r="857" spans="1:50" hidden="1" outlineLevel="1" x14ac:dyDescent="0.2">
      <c r="A857" s="99" t="str">
        <f ca="1">Language!A$1063</f>
        <v>на начало периода (без учета изменения курса)</v>
      </c>
      <c r="C857" s="124" t="str">
        <f t="shared" ca="1" si="3436"/>
        <v>тыс. руб.</v>
      </c>
      <c r="D857" s="66">
        <v>1</v>
      </c>
      <c r="F857" s="57" t="s">
        <v>755</v>
      </c>
      <c r="G857" s="138">
        <v>0</v>
      </c>
      <c r="H857" s="138">
        <f t="shared" ref="H857:AV857" si="3481">G856</f>
        <v>0</v>
      </c>
      <c r="I857" s="138">
        <f t="shared" si="3481"/>
        <v>0</v>
      </c>
      <c r="J857" s="138">
        <f t="shared" si="3481"/>
        <v>0</v>
      </c>
      <c r="K857" s="138">
        <f t="shared" si="3481"/>
        <v>0</v>
      </c>
      <c r="L857" s="138">
        <f t="shared" si="3481"/>
        <v>0</v>
      </c>
      <c r="M857" s="138">
        <f t="shared" si="3481"/>
        <v>0</v>
      </c>
      <c r="N857" s="138">
        <f t="shared" si="3481"/>
        <v>0</v>
      </c>
      <c r="O857" s="138">
        <f t="shared" si="3481"/>
        <v>0</v>
      </c>
      <c r="P857" s="138">
        <f t="shared" si="3481"/>
        <v>0</v>
      </c>
      <c r="Q857" s="138">
        <f t="shared" si="3481"/>
        <v>0</v>
      </c>
      <c r="R857" s="138">
        <f t="shared" si="3481"/>
        <v>0</v>
      </c>
      <c r="S857" s="138">
        <f t="shared" si="3481"/>
        <v>0</v>
      </c>
      <c r="T857" s="138">
        <f t="shared" si="3481"/>
        <v>0</v>
      </c>
      <c r="U857" s="138">
        <f t="shared" si="3481"/>
        <v>0</v>
      </c>
      <c r="V857" s="138">
        <f t="shared" si="3481"/>
        <v>0</v>
      </c>
      <c r="W857" s="138">
        <f t="shared" si="3481"/>
        <v>0</v>
      </c>
      <c r="X857" s="138">
        <f t="shared" si="3481"/>
        <v>0</v>
      </c>
      <c r="Y857" s="138">
        <f t="shared" si="3481"/>
        <v>0</v>
      </c>
      <c r="Z857" s="138">
        <f t="shared" si="3481"/>
        <v>0</v>
      </c>
      <c r="AA857" s="138">
        <f t="shared" si="3481"/>
        <v>0</v>
      </c>
      <c r="AB857" s="138">
        <f t="shared" si="3481"/>
        <v>0</v>
      </c>
      <c r="AC857" s="138">
        <f t="shared" si="3481"/>
        <v>0</v>
      </c>
      <c r="AD857" s="138">
        <f t="shared" si="3481"/>
        <v>0</v>
      </c>
      <c r="AE857" s="138">
        <f t="shared" si="3481"/>
        <v>0</v>
      </c>
      <c r="AF857" s="138">
        <f t="shared" si="3481"/>
        <v>0</v>
      </c>
      <c r="AG857" s="138">
        <f t="shared" si="3481"/>
        <v>0</v>
      </c>
      <c r="AH857" s="138">
        <f t="shared" si="3481"/>
        <v>0</v>
      </c>
      <c r="AI857" s="138">
        <f t="shared" si="3481"/>
        <v>0</v>
      </c>
      <c r="AJ857" s="138">
        <f t="shared" si="3481"/>
        <v>0</v>
      </c>
      <c r="AK857" s="138">
        <f t="shared" si="3481"/>
        <v>0</v>
      </c>
      <c r="AL857" s="138">
        <f t="shared" si="3481"/>
        <v>0</v>
      </c>
      <c r="AM857" s="138">
        <f t="shared" si="3481"/>
        <v>0</v>
      </c>
      <c r="AN857" s="138">
        <f t="shared" si="3481"/>
        <v>0</v>
      </c>
      <c r="AO857" s="138">
        <f t="shared" si="3481"/>
        <v>0</v>
      </c>
      <c r="AP857" s="138">
        <f t="shared" si="3481"/>
        <v>0</v>
      </c>
      <c r="AQ857" s="138">
        <f t="shared" si="3481"/>
        <v>0</v>
      </c>
      <c r="AR857" s="138">
        <f t="shared" si="3481"/>
        <v>0</v>
      </c>
      <c r="AS857" s="138">
        <f t="shared" si="3481"/>
        <v>0</v>
      </c>
      <c r="AT857" s="138">
        <f t="shared" si="3481"/>
        <v>0</v>
      </c>
      <c r="AU857" s="138">
        <f t="shared" si="3481"/>
        <v>0</v>
      </c>
      <c r="AV857" s="138">
        <f t="shared" si="3481"/>
        <v>0</v>
      </c>
    </row>
    <row r="858" spans="1:50" hidden="1" outlineLevel="1" x14ac:dyDescent="0.2">
      <c r="A858" s="99" t="str">
        <f ca="1">Language!A$1064</f>
        <v>прибыль (убыток) от курсовой разницы</v>
      </c>
      <c r="C858" s="124" t="str">
        <f t="shared" ca="1" si="3436"/>
        <v>тыс. руб.</v>
      </c>
      <c r="D858" s="66">
        <v>1</v>
      </c>
      <c r="F858" s="57" t="s">
        <v>753</v>
      </c>
      <c r="G858" s="138">
        <f>G855-G856</f>
        <v>0</v>
      </c>
      <c r="H858" s="138">
        <f>(H855-H856)-(G855-G856)</f>
        <v>0</v>
      </c>
      <c r="I858" s="138">
        <f t="shared" ref="I858:AV858" si="3482">(I855-I856)-(H855-H856)</f>
        <v>0</v>
      </c>
      <c r="J858" s="138">
        <f t="shared" si="3482"/>
        <v>0</v>
      </c>
      <c r="K858" s="138">
        <f t="shared" si="3482"/>
        <v>0</v>
      </c>
      <c r="L858" s="138">
        <f t="shared" si="3482"/>
        <v>0</v>
      </c>
      <c r="M858" s="138">
        <f t="shared" si="3482"/>
        <v>0</v>
      </c>
      <c r="N858" s="138">
        <f t="shared" si="3482"/>
        <v>0</v>
      </c>
      <c r="O858" s="138">
        <f t="shared" si="3482"/>
        <v>0</v>
      </c>
      <c r="P858" s="138">
        <f t="shared" si="3482"/>
        <v>0</v>
      </c>
      <c r="Q858" s="138">
        <f t="shared" si="3482"/>
        <v>0</v>
      </c>
      <c r="R858" s="138">
        <f t="shared" si="3482"/>
        <v>0</v>
      </c>
      <c r="S858" s="138">
        <f t="shared" si="3482"/>
        <v>0</v>
      </c>
      <c r="T858" s="138">
        <f t="shared" si="3482"/>
        <v>0</v>
      </c>
      <c r="U858" s="138">
        <f t="shared" si="3482"/>
        <v>0</v>
      </c>
      <c r="V858" s="138">
        <f t="shared" si="3482"/>
        <v>0</v>
      </c>
      <c r="W858" s="138">
        <f t="shared" si="3482"/>
        <v>0</v>
      </c>
      <c r="X858" s="138">
        <f t="shared" si="3482"/>
        <v>0</v>
      </c>
      <c r="Y858" s="138">
        <f t="shared" si="3482"/>
        <v>0</v>
      </c>
      <c r="Z858" s="138">
        <f t="shared" si="3482"/>
        <v>0</v>
      </c>
      <c r="AA858" s="138">
        <f t="shared" si="3482"/>
        <v>0</v>
      </c>
      <c r="AB858" s="138">
        <f t="shared" si="3482"/>
        <v>0</v>
      </c>
      <c r="AC858" s="138">
        <f t="shared" si="3482"/>
        <v>0</v>
      </c>
      <c r="AD858" s="138">
        <f t="shared" si="3482"/>
        <v>0</v>
      </c>
      <c r="AE858" s="138">
        <f t="shared" si="3482"/>
        <v>0</v>
      </c>
      <c r="AF858" s="138">
        <f t="shared" si="3482"/>
        <v>0</v>
      </c>
      <c r="AG858" s="138">
        <f t="shared" si="3482"/>
        <v>0</v>
      </c>
      <c r="AH858" s="138">
        <f t="shared" si="3482"/>
        <v>0</v>
      </c>
      <c r="AI858" s="138">
        <f t="shared" si="3482"/>
        <v>0</v>
      </c>
      <c r="AJ858" s="138">
        <f t="shared" si="3482"/>
        <v>0</v>
      </c>
      <c r="AK858" s="138">
        <f t="shared" si="3482"/>
        <v>0</v>
      </c>
      <c r="AL858" s="138">
        <f t="shared" si="3482"/>
        <v>0</v>
      </c>
      <c r="AM858" s="138">
        <f t="shared" si="3482"/>
        <v>0</v>
      </c>
      <c r="AN858" s="138">
        <f t="shared" si="3482"/>
        <v>0</v>
      </c>
      <c r="AO858" s="138">
        <f t="shared" si="3482"/>
        <v>0</v>
      </c>
      <c r="AP858" s="138">
        <f t="shared" si="3482"/>
        <v>0</v>
      </c>
      <c r="AQ858" s="138">
        <f t="shared" si="3482"/>
        <v>0</v>
      </c>
      <c r="AR858" s="138">
        <f t="shared" si="3482"/>
        <v>0</v>
      </c>
      <c r="AS858" s="138">
        <f t="shared" si="3482"/>
        <v>0</v>
      </c>
      <c r="AT858" s="138">
        <f t="shared" si="3482"/>
        <v>0</v>
      </c>
      <c r="AU858" s="138">
        <f t="shared" si="3482"/>
        <v>0</v>
      </c>
      <c r="AV858" s="138">
        <f t="shared" si="3482"/>
        <v>0</v>
      </c>
      <c r="AX858" s="171">
        <f>SUM(G858:AW858)</f>
        <v>0</v>
      </c>
    </row>
    <row r="859" spans="1:50" x14ac:dyDescent="0.2">
      <c r="A859" s="51"/>
      <c r="B859" s="51"/>
      <c r="C859" s="51"/>
      <c r="D859" s="68"/>
      <c r="E859" s="68" t="s">
        <v>779</v>
      </c>
      <c r="F859" s="68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51"/>
      <c r="AX859" s="149"/>
    </row>
    <row r="862" spans="1:50" s="64" customFormat="1" ht="25.5" customHeight="1" thickBot="1" x14ac:dyDescent="0.25">
      <c r="A862" s="118" t="str">
        <f ca="1">Language!A$1065</f>
        <v>ПРОЧИЕ ДОХОДЫ И РАСХОДЫ</v>
      </c>
      <c r="B862" s="119"/>
      <c r="C862" s="120"/>
      <c r="D862" s="121"/>
      <c r="E862" s="121" t="s">
        <v>1431</v>
      </c>
      <c r="F862" s="121" t="s">
        <v>657</v>
      </c>
      <c r="G862" s="69" t="str">
        <f ca="1">Параметры!G$34</f>
        <v>4 кв. 2022</v>
      </c>
      <c r="H862" s="140" t="str">
        <f ca="1">Параметры!H$34</f>
        <v>1 кв. 2023</v>
      </c>
      <c r="I862" s="140" t="str">
        <f ca="1">Параметры!I$34</f>
        <v>2 кв. 2023</v>
      </c>
      <c r="J862" s="140" t="str">
        <f ca="1">Параметры!J$34</f>
        <v>3 кв. 2023</v>
      </c>
      <c r="K862" s="140" t="str">
        <f ca="1">Параметры!K$34</f>
        <v>4 кв. 2023</v>
      </c>
      <c r="L862" s="140" t="str">
        <f ca="1">Параметры!L$34</f>
        <v>1 кв. 2024</v>
      </c>
      <c r="M862" s="140" t="str">
        <f ca="1">Параметры!M$34</f>
        <v>2 кв. 2024</v>
      </c>
      <c r="N862" s="140" t="str">
        <f ca="1">Параметры!N$34</f>
        <v>3 кв. 2024</v>
      </c>
      <c r="O862" s="140" t="str">
        <f ca="1">Параметры!O$34</f>
        <v>4 кв. 2024</v>
      </c>
      <c r="P862" s="140" t="str">
        <f ca="1">Параметры!P$34</f>
        <v>1 кв. 2025</v>
      </c>
      <c r="Q862" s="140" t="str">
        <f ca="1">Параметры!Q$34</f>
        <v>2 кв. 2025</v>
      </c>
      <c r="R862" s="140" t="str">
        <f ca="1">Параметры!R$34</f>
        <v>3 кв. 2025</v>
      </c>
      <c r="S862" s="140" t="str">
        <f ca="1">Параметры!S$34</f>
        <v>4 кв. 2025</v>
      </c>
      <c r="T862" s="140" t="str">
        <f ca="1">Параметры!T$34</f>
        <v>1 кв. 2026</v>
      </c>
      <c r="U862" s="140" t="str">
        <f ca="1">Параметры!U$34</f>
        <v>2 кв. 2026</v>
      </c>
      <c r="V862" s="140" t="str">
        <f ca="1">Параметры!V$34</f>
        <v>3 кв. 2026</v>
      </c>
      <c r="W862" s="140" t="str">
        <f ca="1">Параметры!W$34</f>
        <v>4 кв. 2026</v>
      </c>
      <c r="X862" s="140" t="str">
        <f ca="1">Параметры!X$34</f>
        <v>1 кв. 2027</v>
      </c>
      <c r="Y862" s="140" t="str">
        <f ca="1">Параметры!Y$34</f>
        <v>2 кв. 2027</v>
      </c>
      <c r="Z862" s="140" t="str">
        <f ca="1">Параметры!Z$34</f>
        <v>3 кв. 2027</v>
      </c>
      <c r="AA862" s="140" t="str">
        <f ca="1">Параметры!AA$34</f>
        <v>4 кв. 2027</v>
      </c>
      <c r="AB862" s="140" t="str">
        <f ca="1">Параметры!AB$34</f>
        <v>1 кв. 2028</v>
      </c>
      <c r="AC862" s="140" t="str">
        <f ca="1">Параметры!AC$34</f>
        <v>2 кв. 2028</v>
      </c>
      <c r="AD862" s="140" t="str">
        <f ca="1">Параметры!AD$34</f>
        <v>3 кв. 2028</v>
      </c>
      <c r="AE862" s="140" t="str">
        <f ca="1">Параметры!AE$34</f>
        <v>4 кв. 2028</v>
      </c>
      <c r="AF862" s="140" t="str">
        <f ca="1">Параметры!AF$34</f>
        <v>1 кв. 2029</v>
      </c>
      <c r="AG862" s="140" t="str">
        <f ca="1">Параметры!AG$34</f>
        <v>2 кв. 2029</v>
      </c>
      <c r="AH862" s="140" t="str">
        <f ca="1">Параметры!AH$34</f>
        <v>3 кв. 2029</v>
      </c>
      <c r="AI862" s="140" t="str">
        <f ca="1">Параметры!AI$34</f>
        <v>4 кв. 2029</v>
      </c>
      <c r="AJ862" s="140" t="str">
        <f ca="1">Параметры!AJ$34</f>
        <v>1 кв. 2030</v>
      </c>
      <c r="AK862" s="140" t="str">
        <f ca="1">Параметры!AK$34</f>
        <v>2 кв. 2030</v>
      </c>
      <c r="AL862" s="140" t="str">
        <f ca="1">Параметры!AL$34</f>
        <v>3 кв. 2030</v>
      </c>
      <c r="AM862" s="140" t="str">
        <f ca="1">Параметры!AM$34</f>
        <v>4 кв. 2030</v>
      </c>
      <c r="AN862" s="140" t="str">
        <f ca="1">Параметры!AN$34</f>
        <v>1 кв. 2031</v>
      </c>
      <c r="AO862" s="140" t="str">
        <f ca="1">Параметры!AO$34</f>
        <v>2 кв. 2031</v>
      </c>
      <c r="AP862" s="140" t="str">
        <f ca="1">Параметры!AP$34</f>
        <v>3 кв. 2031</v>
      </c>
      <c r="AQ862" s="140" t="str">
        <f ca="1">Параметры!AQ$34</f>
        <v>4 кв. 2031</v>
      </c>
      <c r="AR862" s="140" t="str">
        <f ca="1">Параметры!AR$34</f>
        <v>1 кв. 2032</v>
      </c>
      <c r="AS862" s="140" t="str">
        <f ca="1">Параметры!AS$34</f>
        <v>2 кв. 2032</v>
      </c>
      <c r="AT862" s="140" t="str">
        <f ca="1">Параметры!AT$34</f>
        <v>3 кв. 2032</v>
      </c>
      <c r="AU862" s="140" t="str">
        <f ca="1">Параметры!AU$34</f>
        <v>4 кв. 2032</v>
      </c>
      <c r="AV862" s="140" t="str">
        <f ca="1">Параметры!AV$34</f>
        <v>1 кв. 2033</v>
      </c>
      <c r="AW862" s="140"/>
      <c r="AX862" s="141" t="str">
        <f ca="1">Language!$A$1445</f>
        <v>ИТОГО</v>
      </c>
    </row>
    <row r="863" spans="1:50" ht="13.5" thickTop="1" x14ac:dyDescent="0.2"/>
    <row r="864" spans="1:50" x14ac:dyDescent="0.2">
      <c r="A864" s="203" t="str">
        <f ca="1">Language!A$1074</f>
        <v>Прочие доходы</v>
      </c>
      <c r="B864" s="51"/>
      <c r="C864" s="51"/>
      <c r="D864" s="68"/>
      <c r="E864" s="68" t="s">
        <v>727</v>
      </c>
      <c r="F864" s="68" t="s">
        <v>2228</v>
      </c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51"/>
      <c r="AX864" s="149"/>
    </row>
    <row r="866" spans="1:50" x14ac:dyDescent="0.2">
      <c r="A866" s="299" t="s">
        <v>2304</v>
      </c>
      <c r="C866" s="82"/>
      <c r="D866" s="66">
        <v>1</v>
      </c>
      <c r="F866" s="57" t="s">
        <v>2305</v>
      </c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48"/>
      <c r="Y866" s="148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X866" s="171"/>
    </row>
    <row r="867" spans="1:50" collapsed="1" x14ac:dyDescent="0.2">
      <c r="A867" s="99" t="str">
        <f ca="1">Language!A$1067</f>
        <v>прочие доходы (без НДС)</v>
      </c>
      <c r="C867" s="82" t="str">
        <f ca="1">CHOOSE(D867,CurName1,CurName2,CurName3)</f>
        <v>тыс. руб.</v>
      </c>
      <c r="D867" s="66">
        <f>D866</f>
        <v>1</v>
      </c>
      <c r="E867" s="57" t="s">
        <v>992</v>
      </c>
      <c r="F867" s="57" t="s">
        <v>753</v>
      </c>
      <c r="G867" s="311">
        <f>Результаты!G106 * 14% / 4</f>
        <v>76182.12000000001</v>
      </c>
      <c r="H867" s="311">
        <f>Результаты!H106 * 14% / 4</f>
        <v>77932.12000000001</v>
      </c>
      <c r="I867" s="311">
        <f>Результаты!I106 * 14% / 4</f>
        <v>83182.12000000001</v>
      </c>
      <c r="J867" s="311">
        <f>Результаты!J106 * 14% / 4</f>
        <v>86682.12000000001</v>
      </c>
      <c r="K867" s="311">
        <f>Результаты!K106 * 14% / 4</f>
        <v>86682.12000000001</v>
      </c>
      <c r="L867" s="311">
        <f>Результаты!L106 * 14% / 4</f>
        <v>86682.12000000001</v>
      </c>
      <c r="M867" s="311">
        <f>Результаты!M106 * 14% / 4</f>
        <v>86682.12000000001</v>
      </c>
      <c r="N867" s="311">
        <f>Результаты!N106 * 14% / 4</f>
        <v>86682.12000000001</v>
      </c>
      <c r="O867" s="311">
        <f>Результаты!O106 * 14% / 4</f>
        <v>86682.12000000001</v>
      </c>
      <c r="P867" s="311">
        <f>Результаты!P106 * 14% / 4</f>
        <v>86682.12000000001</v>
      </c>
      <c r="Q867" s="311">
        <f>Результаты!Q106 * 14% / 4</f>
        <v>86682.12000000001</v>
      </c>
      <c r="R867" s="311">
        <f>Результаты!R106 * 14% / 4</f>
        <v>86682.12000000001</v>
      </c>
      <c r="S867" s="311">
        <f>Результаты!S106 * 14% / 4</f>
        <v>86682.12000000001</v>
      </c>
      <c r="T867" s="311">
        <f>Результаты!T106 * 14% / 4</f>
        <v>86682.12000000001</v>
      </c>
      <c r="U867" s="311">
        <f>Результаты!U106 * 14% / 4</f>
        <v>84864.241159453813</v>
      </c>
      <c r="V867" s="311">
        <f>Результаты!V106 * 14% / 4</f>
        <v>82043.762768466608</v>
      </c>
      <c r="W867" s="311">
        <f>Результаты!W106 * 14% / 4</f>
        <v>76073.507751975776</v>
      </c>
      <c r="X867" s="311">
        <f>Результаты!X106 * 14% / 4</f>
        <v>71076.951803623902</v>
      </c>
      <c r="Y867" s="311">
        <f>Результаты!Y106 * 14% / 4</f>
        <v>68872.913167036109</v>
      </c>
      <c r="Z867" s="311">
        <f>Результаты!Z106 * 14% / 4</f>
        <v>65651.426458127622</v>
      </c>
      <c r="AA867" s="311">
        <f>Результаты!AA106 * 14% / 4</f>
        <v>59088.757628036532</v>
      </c>
      <c r="AB867" s="311">
        <f>Результаты!AB106 * 14% / 4</f>
        <v>53555.767824337403</v>
      </c>
      <c r="AC867" s="311">
        <f>Результаты!AC106 * 14% / 4</f>
        <v>50843.573013304165</v>
      </c>
      <c r="AD867" s="311">
        <f>Результаты!AD106 * 14% / 4</f>
        <v>46976.761904186642</v>
      </c>
      <c r="AE867" s="311">
        <f>Результаты!AE106 * 14% / 4</f>
        <v>39560.059111986913</v>
      </c>
      <c r="AF867" s="311">
        <f>Результаты!AF106 * 14% / 4</f>
        <v>33226.436237802714</v>
      </c>
      <c r="AG867" s="311">
        <f>Результаты!AG106 * 14% / 4</f>
        <v>29941.342402021986</v>
      </c>
      <c r="AH867" s="311">
        <f>Результаты!AH106 * 14% / 4</f>
        <v>25489.396765366339</v>
      </c>
      <c r="AI867" s="311">
        <f>Результаты!AI106 * 14% / 4</f>
        <v>17269.363400989107</v>
      </c>
      <c r="AJ867" s="311">
        <f>Результаты!AJ106 * 14% / 4</f>
        <v>10192.115601069234</v>
      </c>
      <c r="AK867" s="311">
        <f>Результаты!AK106 * 14% / 4</f>
        <v>6389.6404430863058</v>
      </c>
      <c r="AL867" s="311">
        <f>Результаты!AL106 * 14% / 4</f>
        <v>1376.4638515969716</v>
      </c>
      <c r="AM867" s="311">
        <f>Результаты!AM106 * 14% / 4</f>
        <v>0</v>
      </c>
      <c r="AN867" s="311">
        <f>Результаты!AN106 * 14% / 4</f>
        <v>0</v>
      </c>
      <c r="AO867" s="311">
        <f>Результаты!AO106 * 14% / 4</f>
        <v>0</v>
      </c>
      <c r="AP867" s="311">
        <f>Результаты!AP106 * 14% / 4</f>
        <v>0</v>
      </c>
      <c r="AQ867" s="311">
        <f>Результаты!AQ106 * 14% / 4</f>
        <v>0</v>
      </c>
      <c r="AR867" s="311">
        <f>Результаты!AR106 * 14% / 4</f>
        <v>0</v>
      </c>
      <c r="AS867" s="311">
        <f>Результаты!AS106 * 14% / 4</f>
        <v>0</v>
      </c>
      <c r="AT867" s="311">
        <f>Результаты!AT106 * 14% / 4</f>
        <v>0</v>
      </c>
      <c r="AU867" s="311">
        <f>Результаты!AU106 * 14% / 4</f>
        <v>0</v>
      </c>
      <c r="AV867" s="311">
        <f>Результаты!AV106 * 14% / 4</f>
        <v>0</v>
      </c>
      <c r="AW867" s="148"/>
      <c r="AX867" s="171">
        <f>SUM(G867:AW867)</f>
        <v>2013292.1612924687</v>
      </c>
    </row>
    <row r="868" spans="1:50" hidden="1" outlineLevel="1" x14ac:dyDescent="0.2">
      <c r="A868" s="99" t="str">
        <f ca="1">Language!A$1068</f>
        <v>ставка НДС</v>
      </c>
      <c r="B868" s="191"/>
      <c r="C868" s="103" t="s">
        <v>1</v>
      </c>
      <c r="D868" s="155"/>
      <c r="F868" s="57" t="s">
        <v>756</v>
      </c>
      <c r="G868" s="318">
        <v>0</v>
      </c>
      <c r="H868" s="318">
        <v>0</v>
      </c>
      <c r="I868" s="318">
        <v>0</v>
      </c>
      <c r="J868" s="318">
        <v>0</v>
      </c>
      <c r="K868" s="318">
        <v>0</v>
      </c>
      <c r="L868" s="318">
        <v>0</v>
      </c>
      <c r="M868" s="318">
        <v>0</v>
      </c>
      <c r="N868" s="318">
        <v>0</v>
      </c>
      <c r="O868" s="318">
        <v>0</v>
      </c>
      <c r="P868" s="318">
        <v>0</v>
      </c>
      <c r="Q868" s="318">
        <v>0</v>
      </c>
      <c r="R868" s="318">
        <v>0</v>
      </c>
      <c r="S868" s="318">
        <v>0</v>
      </c>
      <c r="T868" s="318">
        <v>0</v>
      </c>
      <c r="U868" s="318">
        <v>0</v>
      </c>
      <c r="V868" s="318">
        <v>0</v>
      </c>
      <c r="W868" s="318">
        <v>0</v>
      </c>
      <c r="X868" s="318">
        <v>0</v>
      </c>
      <c r="Y868" s="318">
        <v>0</v>
      </c>
      <c r="Z868" s="318">
        <v>0</v>
      </c>
      <c r="AA868" s="318">
        <v>0</v>
      </c>
      <c r="AB868" s="318">
        <v>0</v>
      </c>
      <c r="AC868" s="318">
        <v>0</v>
      </c>
      <c r="AD868" s="318">
        <v>0</v>
      </c>
      <c r="AE868" s="318">
        <v>0</v>
      </c>
      <c r="AF868" s="318">
        <v>0</v>
      </c>
      <c r="AG868" s="318">
        <v>0</v>
      </c>
      <c r="AH868" s="318">
        <v>0</v>
      </c>
      <c r="AI868" s="318">
        <v>0</v>
      </c>
      <c r="AJ868" s="318">
        <v>0</v>
      </c>
      <c r="AK868" s="318">
        <v>0</v>
      </c>
      <c r="AL868" s="318">
        <v>0</v>
      </c>
      <c r="AM868" s="318">
        <v>0</v>
      </c>
      <c r="AN868" s="318">
        <v>0</v>
      </c>
      <c r="AO868" s="318">
        <v>0</v>
      </c>
      <c r="AP868" s="318">
        <v>0</v>
      </c>
      <c r="AQ868" s="318">
        <v>0</v>
      </c>
      <c r="AR868" s="318">
        <v>0</v>
      </c>
      <c r="AS868" s="318">
        <v>0</v>
      </c>
      <c r="AT868" s="318">
        <v>0</v>
      </c>
      <c r="AU868" s="318">
        <v>0</v>
      </c>
      <c r="AV868" s="318">
        <v>0</v>
      </c>
      <c r="AW868" s="192"/>
      <c r="AX868" s="182"/>
    </row>
    <row r="869" spans="1:50" hidden="1" outlineLevel="1" x14ac:dyDescent="0.2">
      <c r="A869" s="99" t="str">
        <f ca="1">Language!A$1069</f>
        <v>НДС</v>
      </c>
      <c r="B869" s="227"/>
      <c r="C869" s="82" t="str">
        <f ca="1">CHOOSE(D869,CurName1,CurName2,CurName3)</f>
        <v>тыс. руб.</v>
      </c>
      <c r="D869" s="66">
        <f>D866</f>
        <v>1</v>
      </c>
      <c r="E869" s="57" t="s">
        <v>789</v>
      </c>
      <c r="F869" s="57" t="s">
        <v>753</v>
      </c>
      <c r="G869" s="148">
        <f>G867*G868</f>
        <v>0</v>
      </c>
      <c r="H869" s="148">
        <f t="shared" ref="H869:AV869" si="3483">H867*H868</f>
        <v>0</v>
      </c>
      <c r="I869" s="148">
        <f t="shared" si="3483"/>
        <v>0</v>
      </c>
      <c r="J869" s="148">
        <f t="shared" si="3483"/>
        <v>0</v>
      </c>
      <c r="K869" s="148">
        <f t="shared" si="3483"/>
        <v>0</v>
      </c>
      <c r="L869" s="148">
        <f t="shared" si="3483"/>
        <v>0</v>
      </c>
      <c r="M869" s="148">
        <f t="shared" si="3483"/>
        <v>0</v>
      </c>
      <c r="N869" s="148">
        <f t="shared" si="3483"/>
        <v>0</v>
      </c>
      <c r="O869" s="148">
        <f t="shared" si="3483"/>
        <v>0</v>
      </c>
      <c r="P869" s="148">
        <f t="shared" si="3483"/>
        <v>0</v>
      </c>
      <c r="Q869" s="148">
        <f t="shared" si="3483"/>
        <v>0</v>
      </c>
      <c r="R869" s="148">
        <f t="shared" si="3483"/>
        <v>0</v>
      </c>
      <c r="S869" s="148">
        <f t="shared" si="3483"/>
        <v>0</v>
      </c>
      <c r="T869" s="148">
        <f t="shared" si="3483"/>
        <v>0</v>
      </c>
      <c r="U869" s="148">
        <f t="shared" si="3483"/>
        <v>0</v>
      </c>
      <c r="V869" s="148">
        <f t="shared" si="3483"/>
        <v>0</v>
      </c>
      <c r="W869" s="148">
        <f t="shared" si="3483"/>
        <v>0</v>
      </c>
      <c r="X869" s="148">
        <f t="shared" si="3483"/>
        <v>0</v>
      </c>
      <c r="Y869" s="148">
        <f t="shared" si="3483"/>
        <v>0</v>
      </c>
      <c r="Z869" s="148">
        <f t="shared" si="3483"/>
        <v>0</v>
      </c>
      <c r="AA869" s="148">
        <f t="shared" si="3483"/>
        <v>0</v>
      </c>
      <c r="AB869" s="148">
        <f t="shared" si="3483"/>
        <v>0</v>
      </c>
      <c r="AC869" s="148">
        <f t="shared" si="3483"/>
        <v>0</v>
      </c>
      <c r="AD869" s="148">
        <f t="shared" si="3483"/>
        <v>0</v>
      </c>
      <c r="AE869" s="148">
        <f t="shared" si="3483"/>
        <v>0</v>
      </c>
      <c r="AF869" s="148">
        <f t="shared" si="3483"/>
        <v>0</v>
      </c>
      <c r="AG869" s="148">
        <f t="shared" si="3483"/>
        <v>0</v>
      </c>
      <c r="AH869" s="148">
        <f t="shared" si="3483"/>
        <v>0</v>
      </c>
      <c r="AI869" s="148">
        <f t="shared" si="3483"/>
        <v>0</v>
      </c>
      <c r="AJ869" s="148">
        <f t="shared" si="3483"/>
        <v>0</v>
      </c>
      <c r="AK869" s="148">
        <f t="shared" si="3483"/>
        <v>0</v>
      </c>
      <c r="AL869" s="148">
        <f t="shared" si="3483"/>
        <v>0</v>
      </c>
      <c r="AM869" s="148">
        <f t="shared" si="3483"/>
        <v>0</v>
      </c>
      <c r="AN869" s="148">
        <f t="shared" si="3483"/>
        <v>0</v>
      </c>
      <c r="AO869" s="148">
        <f t="shared" si="3483"/>
        <v>0</v>
      </c>
      <c r="AP869" s="148">
        <f t="shared" si="3483"/>
        <v>0</v>
      </c>
      <c r="AQ869" s="148">
        <f t="shared" si="3483"/>
        <v>0</v>
      </c>
      <c r="AR869" s="148">
        <f t="shared" si="3483"/>
        <v>0</v>
      </c>
      <c r="AS869" s="148">
        <f t="shared" si="3483"/>
        <v>0</v>
      </c>
      <c r="AT869" s="148">
        <f t="shared" si="3483"/>
        <v>0</v>
      </c>
      <c r="AU869" s="148">
        <f t="shared" si="3483"/>
        <v>0</v>
      </c>
      <c r="AV869" s="148">
        <f t="shared" si="3483"/>
        <v>0</v>
      </c>
      <c r="AW869" s="148"/>
      <c r="AX869" s="171">
        <f>SUM(G869:AW869)</f>
        <v>0</v>
      </c>
    </row>
    <row r="871" spans="1:50" s="98" customFormat="1" collapsed="1" x14ac:dyDescent="0.2">
      <c r="A871" s="38" t="str">
        <f ca="1">Language!A$1076</f>
        <v>Итого: прочие доходы (с НДС)</v>
      </c>
      <c r="B871" s="38"/>
      <c r="C871" s="124" t="str">
        <f t="shared" ref="C871:C876" ca="1" si="3484">CurName1</f>
        <v>тыс. руб.</v>
      </c>
      <c r="D871" s="66">
        <v>1</v>
      </c>
      <c r="E871" s="57"/>
      <c r="F871" s="57" t="s">
        <v>753</v>
      </c>
      <c r="G871" s="138">
        <f>G872+G873</f>
        <v>76182.12000000001</v>
      </c>
      <c r="H871" s="138">
        <f t="shared" ref="H871:K871" si="3485">H872+H873</f>
        <v>77932.12000000001</v>
      </c>
      <c r="I871" s="138">
        <f t="shared" si="3485"/>
        <v>83182.12000000001</v>
      </c>
      <c r="J871" s="138">
        <f t="shared" si="3485"/>
        <v>86682.12000000001</v>
      </c>
      <c r="K871" s="138">
        <f t="shared" si="3485"/>
        <v>86682.12000000001</v>
      </c>
      <c r="L871" s="138">
        <f t="shared" ref="L871:M871" si="3486">L872+L873</f>
        <v>86682.12000000001</v>
      </c>
      <c r="M871" s="138">
        <f t="shared" si="3486"/>
        <v>86682.12000000001</v>
      </c>
      <c r="N871" s="138">
        <f t="shared" ref="N871:O871" si="3487">N872+N873</f>
        <v>86682.12000000001</v>
      </c>
      <c r="O871" s="138">
        <f t="shared" si="3487"/>
        <v>86682.12000000001</v>
      </c>
      <c r="P871" s="138">
        <f t="shared" ref="P871:Q871" si="3488">P872+P873</f>
        <v>86682.12000000001</v>
      </c>
      <c r="Q871" s="138">
        <f t="shared" si="3488"/>
        <v>86682.12000000001</v>
      </c>
      <c r="R871" s="138">
        <f t="shared" ref="R871:S871" si="3489">R872+R873</f>
        <v>86682.12000000001</v>
      </c>
      <c r="S871" s="138">
        <f t="shared" si="3489"/>
        <v>86682.12000000001</v>
      </c>
      <c r="T871" s="138">
        <f t="shared" ref="T871:U871" si="3490">T872+T873</f>
        <v>86682.12000000001</v>
      </c>
      <c r="U871" s="138">
        <f t="shared" si="3490"/>
        <v>84864.241159453813</v>
      </c>
      <c r="V871" s="138">
        <f t="shared" ref="V871:W871" si="3491">V872+V873</f>
        <v>82043.762768466608</v>
      </c>
      <c r="W871" s="138">
        <f t="shared" si="3491"/>
        <v>76073.507751975776</v>
      </c>
      <c r="X871" s="138">
        <f t="shared" ref="X871:Y871" si="3492">X872+X873</f>
        <v>71076.951803623902</v>
      </c>
      <c r="Y871" s="138">
        <f t="shared" si="3492"/>
        <v>68872.913167036109</v>
      </c>
      <c r="Z871" s="138">
        <f t="shared" ref="Z871:AA871" si="3493">Z872+Z873</f>
        <v>65651.426458127622</v>
      </c>
      <c r="AA871" s="138">
        <f t="shared" si="3493"/>
        <v>59088.757628036532</v>
      </c>
      <c r="AB871" s="138">
        <f t="shared" ref="AB871:AC871" si="3494">AB872+AB873</f>
        <v>53555.767824337403</v>
      </c>
      <c r="AC871" s="138">
        <f t="shared" si="3494"/>
        <v>50843.573013304165</v>
      </c>
      <c r="AD871" s="138">
        <f t="shared" ref="AD871:AE871" si="3495">AD872+AD873</f>
        <v>46976.761904186642</v>
      </c>
      <c r="AE871" s="138">
        <f t="shared" si="3495"/>
        <v>39560.059111986913</v>
      </c>
      <c r="AF871" s="138">
        <f t="shared" ref="AF871:AG871" si="3496">AF872+AF873</f>
        <v>33226.436237802714</v>
      </c>
      <c r="AG871" s="138">
        <f t="shared" si="3496"/>
        <v>29941.342402021986</v>
      </c>
      <c r="AH871" s="138">
        <f t="shared" ref="AH871:AI871" si="3497">AH872+AH873</f>
        <v>25489.396765366339</v>
      </c>
      <c r="AI871" s="138">
        <f t="shared" si="3497"/>
        <v>17269.363400989107</v>
      </c>
      <c r="AJ871" s="138">
        <f t="shared" ref="AJ871:AK871" si="3498">AJ872+AJ873</f>
        <v>10192.115601069234</v>
      </c>
      <c r="AK871" s="138">
        <f t="shared" si="3498"/>
        <v>6389.6404430863058</v>
      </c>
      <c r="AL871" s="138">
        <f t="shared" ref="AL871:AM871" si="3499">AL872+AL873</f>
        <v>1376.4638515969716</v>
      </c>
      <c r="AM871" s="138">
        <f t="shared" si="3499"/>
        <v>0</v>
      </c>
      <c r="AN871" s="138">
        <f t="shared" ref="AN871:AO871" si="3500">AN872+AN873</f>
        <v>0</v>
      </c>
      <c r="AO871" s="138">
        <f t="shared" si="3500"/>
        <v>0</v>
      </c>
      <c r="AP871" s="138">
        <f t="shared" ref="AP871:AQ871" si="3501">AP872+AP873</f>
        <v>0</v>
      </c>
      <c r="AQ871" s="138">
        <f t="shared" si="3501"/>
        <v>0</v>
      </c>
      <c r="AR871" s="138">
        <f t="shared" ref="AR871:AS871" si="3502">AR872+AR873</f>
        <v>0</v>
      </c>
      <c r="AS871" s="138">
        <f t="shared" si="3502"/>
        <v>0</v>
      </c>
      <c r="AT871" s="138">
        <f t="shared" ref="AT871:AU871" si="3503">AT872+AT873</f>
        <v>0</v>
      </c>
      <c r="AU871" s="138">
        <f t="shared" si="3503"/>
        <v>0</v>
      </c>
      <c r="AV871" s="138">
        <f t="shared" ref="AV871" si="3504">AV872+AV873</f>
        <v>0</v>
      </c>
      <c r="AW871" s="38"/>
      <c r="AX871" s="171"/>
    </row>
    <row r="872" spans="1:50" hidden="1" outlineLevel="1" x14ac:dyDescent="0.2">
      <c r="A872" s="99" t="str">
        <f ca="1">Language!A$1077</f>
        <v>прочие доходы (без НДС)</v>
      </c>
      <c r="C872" s="124" t="str">
        <f t="shared" ca="1" si="3484"/>
        <v>тыс. руб.</v>
      </c>
      <c r="D872" s="66">
        <v>1</v>
      </c>
      <c r="F872" s="57" t="s">
        <v>1441</v>
      </c>
      <c r="G872" s="138">
        <f t="shared" ref="G872:AV872" si="3505">SUM(G$867)</f>
        <v>76182.12000000001</v>
      </c>
      <c r="H872" s="138">
        <f t="shared" si="3505"/>
        <v>77932.12000000001</v>
      </c>
      <c r="I872" s="138">
        <f t="shared" si="3505"/>
        <v>83182.12000000001</v>
      </c>
      <c r="J872" s="138">
        <f t="shared" si="3505"/>
        <v>86682.12000000001</v>
      </c>
      <c r="K872" s="138">
        <f t="shared" si="3505"/>
        <v>86682.12000000001</v>
      </c>
      <c r="L872" s="138">
        <f t="shared" si="3505"/>
        <v>86682.12000000001</v>
      </c>
      <c r="M872" s="138">
        <f t="shared" si="3505"/>
        <v>86682.12000000001</v>
      </c>
      <c r="N872" s="138">
        <f t="shared" si="3505"/>
        <v>86682.12000000001</v>
      </c>
      <c r="O872" s="138">
        <f t="shared" si="3505"/>
        <v>86682.12000000001</v>
      </c>
      <c r="P872" s="138">
        <f t="shared" si="3505"/>
        <v>86682.12000000001</v>
      </c>
      <c r="Q872" s="138">
        <f t="shared" si="3505"/>
        <v>86682.12000000001</v>
      </c>
      <c r="R872" s="138">
        <f t="shared" si="3505"/>
        <v>86682.12000000001</v>
      </c>
      <c r="S872" s="138">
        <f t="shared" si="3505"/>
        <v>86682.12000000001</v>
      </c>
      <c r="T872" s="138">
        <f t="shared" si="3505"/>
        <v>86682.12000000001</v>
      </c>
      <c r="U872" s="138">
        <f t="shared" si="3505"/>
        <v>84864.241159453813</v>
      </c>
      <c r="V872" s="138">
        <f t="shared" si="3505"/>
        <v>82043.762768466608</v>
      </c>
      <c r="W872" s="138">
        <f t="shared" si="3505"/>
        <v>76073.507751975776</v>
      </c>
      <c r="X872" s="138">
        <f t="shared" si="3505"/>
        <v>71076.951803623902</v>
      </c>
      <c r="Y872" s="138">
        <f t="shared" si="3505"/>
        <v>68872.913167036109</v>
      </c>
      <c r="Z872" s="138">
        <f t="shared" si="3505"/>
        <v>65651.426458127622</v>
      </c>
      <c r="AA872" s="138">
        <f t="shared" si="3505"/>
        <v>59088.757628036532</v>
      </c>
      <c r="AB872" s="138">
        <f t="shared" si="3505"/>
        <v>53555.767824337403</v>
      </c>
      <c r="AC872" s="138">
        <f t="shared" si="3505"/>
        <v>50843.573013304165</v>
      </c>
      <c r="AD872" s="138">
        <f t="shared" si="3505"/>
        <v>46976.761904186642</v>
      </c>
      <c r="AE872" s="138">
        <f t="shared" si="3505"/>
        <v>39560.059111986913</v>
      </c>
      <c r="AF872" s="138">
        <f t="shared" si="3505"/>
        <v>33226.436237802714</v>
      </c>
      <c r="AG872" s="138">
        <f t="shared" si="3505"/>
        <v>29941.342402021986</v>
      </c>
      <c r="AH872" s="138">
        <f t="shared" si="3505"/>
        <v>25489.396765366339</v>
      </c>
      <c r="AI872" s="138">
        <f t="shared" si="3505"/>
        <v>17269.363400989107</v>
      </c>
      <c r="AJ872" s="138">
        <f t="shared" si="3505"/>
        <v>10192.115601069234</v>
      </c>
      <c r="AK872" s="138">
        <f t="shared" si="3505"/>
        <v>6389.6404430863058</v>
      </c>
      <c r="AL872" s="138">
        <f t="shared" si="3505"/>
        <v>1376.4638515969716</v>
      </c>
      <c r="AM872" s="138">
        <f t="shared" si="3505"/>
        <v>0</v>
      </c>
      <c r="AN872" s="138">
        <f t="shared" si="3505"/>
        <v>0</v>
      </c>
      <c r="AO872" s="138">
        <f t="shared" si="3505"/>
        <v>0</v>
      </c>
      <c r="AP872" s="138">
        <f t="shared" si="3505"/>
        <v>0</v>
      </c>
      <c r="AQ872" s="138">
        <f t="shared" si="3505"/>
        <v>0</v>
      </c>
      <c r="AR872" s="138">
        <f t="shared" si="3505"/>
        <v>0</v>
      </c>
      <c r="AS872" s="138">
        <f t="shared" si="3505"/>
        <v>0</v>
      </c>
      <c r="AT872" s="138">
        <f t="shared" si="3505"/>
        <v>0</v>
      </c>
      <c r="AU872" s="138">
        <f t="shared" si="3505"/>
        <v>0</v>
      </c>
      <c r="AV872" s="138">
        <f t="shared" si="3505"/>
        <v>0</v>
      </c>
      <c r="AX872" s="171">
        <f>SUM(G872:AW872)</f>
        <v>2013292.1612924687</v>
      </c>
    </row>
    <row r="873" spans="1:50" hidden="1" outlineLevel="1" x14ac:dyDescent="0.2">
      <c r="A873" s="99" t="str">
        <f ca="1">Language!A$1078</f>
        <v>НДС</v>
      </c>
      <c r="C873" s="124" t="str">
        <f t="shared" ca="1" si="3484"/>
        <v>тыс. руб.</v>
      </c>
      <c r="D873" s="66">
        <v>1</v>
      </c>
      <c r="F873" s="57" t="s">
        <v>1113</v>
      </c>
      <c r="G873" s="138">
        <f t="shared" ref="G873:AV873" si="3506">SUM(G$869)</f>
        <v>0</v>
      </c>
      <c r="H873" s="138">
        <f t="shared" si="3506"/>
        <v>0</v>
      </c>
      <c r="I873" s="138">
        <f t="shared" si="3506"/>
        <v>0</v>
      </c>
      <c r="J873" s="138">
        <f t="shared" si="3506"/>
        <v>0</v>
      </c>
      <c r="K873" s="138">
        <f t="shared" si="3506"/>
        <v>0</v>
      </c>
      <c r="L873" s="138">
        <f t="shared" si="3506"/>
        <v>0</v>
      </c>
      <c r="M873" s="138">
        <f t="shared" si="3506"/>
        <v>0</v>
      </c>
      <c r="N873" s="138">
        <f t="shared" si="3506"/>
        <v>0</v>
      </c>
      <c r="O873" s="138">
        <f t="shared" si="3506"/>
        <v>0</v>
      </c>
      <c r="P873" s="138">
        <f t="shared" si="3506"/>
        <v>0</v>
      </c>
      <c r="Q873" s="138">
        <f t="shared" si="3506"/>
        <v>0</v>
      </c>
      <c r="R873" s="138">
        <f t="shared" si="3506"/>
        <v>0</v>
      </c>
      <c r="S873" s="138">
        <f t="shared" si="3506"/>
        <v>0</v>
      </c>
      <c r="T873" s="138">
        <f t="shared" si="3506"/>
        <v>0</v>
      </c>
      <c r="U873" s="138">
        <f t="shared" si="3506"/>
        <v>0</v>
      </c>
      <c r="V873" s="138">
        <f t="shared" si="3506"/>
        <v>0</v>
      </c>
      <c r="W873" s="138">
        <f t="shared" si="3506"/>
        <v>0</v>
      </c>
      <c r="X873" s="138">
        <f t="shared" si="3506"/>
        <v>0</v>
      </c>
      <c r="Y873" s="138">
        <f t="shared" si="3506"/>
        <v>0</v>
      </c>
      <c r="Z873" s="138">
        <f t="shared" si="3506"/>
        <v>0</v>
      </c>
      <c r="AA873" s="138">
        <f t="shared" si="3506"/>
        <v>0</v>
      </c>
      <c r="AB873" s="138">
        <f t="shared" si="3506"/>
        <v>0</v>
      </c>
      <c r="AC873" s="138">
        <f t="shared" si="3506"/>
        <v>0</v>
      </c>
      <c r="AD873" s="138">
        <f t="shared" si="3506"/>
        <v>0</v>
      </c>
      <c r="AE873" s="138">
        <f t="shared" si="3506"/>
        <v>0</v>
      </c>
      <c r="AF873" s="138">
        <f t="shared" si="3506"/>
        <v>0</v>
      </c>
      <c r="AG873" s="138">
        <f t="shared" si="3506"/>
        <v>0</v>
      </c>
      <c r="AH873" s="138">
        <f t="shared" si="3506"/>
        <v>0</v>
      </c>
      <c r="AI873" s="138">
        <f t="shared" si="3506"/>
        <v>0</v>
      </c>
      <c r="AJ873" s="138">
        <f t="shared" si="3506"/>
        <v>0</v>
      </c>
      <c r="AK873" s="138">
        <f t="shared" si="3506"/>
        <v>0</v>
      </c>
      <c r="AL873" s="138">
        <f t="shared" si="3506"/>
        <v>0</v>
      </c>
      <c r="AM873" s="138">
        <f t="shared" si="3506"/>
        <v>0</v>
      </c>
      <c r="AN873" s="138">
        <f t="shared" si="3506"/>
        <v>0</v>
      </c>
      <c r="AO873" s="138">
        <f t="shared" si="3506"/>
        <v>0</v>
      </c>
      <c r="AP873" s="138">
        <f t="shared" si="3506"/>
        <v>0</v>
      </c>
      <c r="AQ873" s="138">
        <f t="shared" si="3506"/>
        <v>0</v>
      </c>
      <c r="AR873" s="138">
        <f t="shared" si="3506"/>
        <v>0</v>
      </c>
      <c r="AS873" s="138">
        <f t="shared" si="3506"/>
        <v>0</v>
      </c>
      <c r="AT873" s="138">
        <f t="shared" si="3506"/>
        <v>0</v>
      </c>
      <c r="AU873" s="138">
        <f t="shared" si="3506"/>
        <v>0</v>
      </c>
      <c r="AV873" s="138">
        <f t="shared" si="3506"/>
        <v>0</v>
      </c>
      <c r="AX873" s="171">
        <f>SUM(G873:AW873)</f>
        <v>0</v>
      </c>
    </row>
    <row r="874" spans="1:50" collapsed="1" x14ac:dyDescent="0.2">
      <c r="A874" s="38" t="str">
        <f ca="1">Language!A$1079</f>
        <v>Итого: прочие расходы (с НДС)</v>
      </c>
      <c r="C874" s="124" t="str">
        <f t="shared" ca="1" si="3484"/>
        <v>тыс. руб.</v>
      </c>
      <c r="D874" s="66">
        <v>1</v>
      </c>
      <c r="F874" s="57" t="s">
        <v>753</v>
      </c>
      <c r="G874" s="138">
        <f>G875+G876</f>
        <v>0</v>
      </c>
      <c r="H874" s="138">
        <f t="shared" ref="H874:K874" si="3507">H875+H876</f>
        <v>0</v>
      </c>
      <c r="I874" s="138">
        <f t="shared" si="3507"/>
        <v>0</v>
      </c>
      <c r="J874" s="138">
        <f t="shared" si="3507"/>
        <v>0</v>
      </c>
      <c r="K874" s="138">
        <f t="shared" si="3507"/>
        <v>0</v>
      </c>
      <c r="L874" s="138">
        <f t="shared" ref="L874:M874" si="3508">L875+L876</f>
        <v>0</v>
      </c>
      <c r="M874" s="138">
        <f t="shared" si="3508"/>
        <v>0</v>
      </c>
      <c r="N874" s="138">
        <f t="shared" ref="N874:O874" si="3509">N875+N876</f>
        <v>0</v>
      </c>
      <c r="O874" s="138">
        <f t="shared" si="3509"/>
        <v>0</v>
      </c>
      <c r="P874" s="138">
        <f t="shared" ref="P874:Q874" si="3510">P875+P876</f>
        <v>0</v>
      </c>
      <c r="Q874" s="138">
        <f t="shared" si="3510"/>
        <v>0</v>
      </c>
      <c r="R874" s="138">
        <f t="shared" ref="R874:S874" si="3511">R875+R876</f>
        <v>0</v>
      </c>
      <c r="S874" s="138">
        <f t="shared" si="3511"/>
        <v>0</v>
      </c>
      <c r="T874" s="138">
        <f t="shared" ref="T874:U874" si="3512">T875+T876</f>
        <v>0</v>
      </c>
      <c r="U874" s="138">
        <f t="shared" si="3512"/>
        <v>0</v>
      </c>
      <c r="V874" s="138">
        <f t="shared" ref="V874:W874" si="3513">V875+V876</f>
        <v>0</v>
      </c>
      <c r="W874" s="138">
        <f t="shared" si="3513"/>
        <v>0</v>
      </c>
      <c r="X874" s="138">
        <f t="shared" ref="X874:Y874" si="3514">X875+X876</f>
        <v>0</v>
      </c>
      <c r="Y874" s="138">
        <f t="shared" si="3514"/>
        <v>0</v>
      </c>
      <c r="Z874" s="138">
        <f t="shared" ref="Z874:AA874" si="3515">Z875+Z876</f>
        <v>0</v>
      </c>
      <c r="AA874" s="138">
        <f t="shared" si="3515"/>
        <v>0</v>
      </c>
      <c r="AB874" s="138">
        <f t="shared" ref="AB874:AC874" si="3516">AB875+AB876</f>
        <v>0</v>
      </c>
      <c r="AC874" s="138">
        <f t="shared" si="3516"/>
        <v>0</v>
      </c>
      <c r="AD874" s="138">
        <f t="shared" ref="AD874:AE874" si="3517">AD875+AD876</f>
        <v>0</v>
      </c>
      <c r="AE874" s="138">
        <f t="shared" si="3517"/>
        <v>0</v>
      </c>
      <c r="AF874" s="138">
        <f t="shared" ref="AF874:AG874" si="3518">AF875+AF876</f>
        <v>0</v>
      </c>
      <c r="AG874" s="138">
        <f t="shared" si="3518"/>
        <v>0</v>
      </c>
      <c r="AH874" s="138">
        <f t="shared" ref="AH874:AI874" si="3519">AH875+AH876</f>
        <v>0</v>
      </c>
      <c r="AI874" s="138">
        <f t="shared" si="3519"/>
        <v>0</v>
      </c>
      <c r="AJ874" s="138">
        <f t="shared" ref="AJ874:AK874" si="3520">AJ875+AJ876</f>
        <v>0</v>
      </c>
      <c r="AK874" s="138">
        <f t="shared" si="3520"/>
        <v>0</v>
      </c>
      <c r="AL874" s="138">
        <f t="shared" ref="AL874:AM874" si="3521">AL875+AL876</f>
        <v>0</v>
      </c>
      <c r="AM874" s="138">
        <f t="shared" si="3521"/>
        <v>0</v>
      </c>
      <c r="AN874" s="138">
        <f t="shared" ref="AN874:AO874" si="3522">AN875+AN876</f>
        <v>0</v>
      </c>
      <c r="AO874" s="138">
        <f t="shared" si="3522"/>
        <v>0</v>
      </c>
      <c r="AP874" s="138">
        <f t="shared" ref="AP874:AQ874" si="3523">AP875+AP876</f>
        <v>0</v>
      </c>
      <c r="AQ874" s="138">
        <f t="shared" si="3523"/>
        <v>0</v>
      </c>
      <c r="AR874" s="138">
        <f t="shared" ref="AR874:AS874" si="3524">AR875+AR876</f>
        <v>0</v>
      </c>
      <c r="AS874" s="138">
        <f t="shared" si="3524"/>
        <v>0</v>
      </c>
      <c r="AT874" s="138">
        <f t="shared" ref="AT874:AU874" si="3525">AT875+AT876</f>
        <v>0</v>
      </c>
      <c r="AU874" s="138">
        <f t="shared" si="3525"/>
        <v>0</v>
      </c>
      <c r="AV874" s="138">
        <f t="shared" ref="AV874" si="3526">AV875+AV876</f>
        <v>0</v>
      </c>
      <c r="AX874" s="171"/>
    </row>
    <row r="875" spans="1:50" hidden="1" outlineLevel="1" x14ac:dyDescent="0.2">
      <c r="A875" s="99" t="str">
        <f ca="1">Language!A$1080</f>
        <v>прочие расходы (без НДС)</v>
      </c>
      <c r="C875" s="124" t="str">
        <f t="shared" ca="1" si="3484"/>
        <v>тыс. руб.</v>
      </c>
      <c r="D875" s="66">
        <v>1</v>
      </c>
      <c r="F875" s="57" t="s">
        <v>1442</v>
      </c>
      <c r="G875" s="138">
        <v>0</v>
      </c>
      <c r="H875" s="138">
        <v>0</v>
      </c>
      <c r="I875" s="138">
        <v>0</v>
      </c>
      <c r="J875" s="138">
        <v>0</v>
      </c>
      <c r="K875" s="138">
        <v>0</v>
      </c>
      <c r="L875" s="138">
        <v>0</v>
      </c>
      <c r="M875" s="138">
        <v>0</v>
      </c>
      <c r="N875" s="138">
        <v>0</v>
      </c>
      <c r="O875" s="138">
        <v>0</v>
      </c>
      <c r="P875" s="138">
        <v>0</v>
      </c>
      <c r="Q875" s="138">
        <v>0</v>
      </c>
      <c r="R875" s="138">
        <v>0</v>
      </c>
      <c r="S875" s="138">
        <v>0</v>
      </c>
      <c r="T875" s="138">
        <v>0</v>
      </c>
      <c r="U875" s="138">
        <v>0</v>
      </c>
      <c r="V875" s="138">
        <v>0</v>
      </c>
      <c r="W875" s="138">
        <v>0</v>
      </c>
      <c r="X875" s="138">
        <v>0</v>
      </c>
      <c r="Y875" s="138">
        <v>0</v>
      </c>
      <c r="Z875" s="138">
        <v>0</v>
      </c>
      <c r="AA875" s="138">
        <v>0</v>
      </c>
      <c r="AB875" s="138">
        <v>0</v>
      </c>
      <c r="AC875" s="138">
        <v>0</v>
      </c>
      <c r="AD875" s="138">
        <v>0</v>
      </c>
      <c r="AE875" s="138">
        <v>0</v>
      </c>
      <c r="AF875" s="138">
        <v>0</v>
      </c>
      <c r="AG875" s="138">
        <v>0</v>
      </c>
      <c r="AH875" s="138">
        <v>0</v>
      </c>
      <c r="AI875" s="138">
        <v>0</v>
      </c>
      <c r="AJ875" s="138">
        <v>0</v>
      </c>
      <c r="AK875" s="138">
        <v>0</v>
      </c>
      <c r="AL875" s="138">
        <v>0</v>
      </c>
      <c r="AM875" s="138">
        <v>0</v>
      </c>
      <c r="AN875" s="138">
        <v>0</v>
      </c>
      <c r="AO875" s="138">
        <v>0</v>
      </c>
      <c r="AP875" s="138">
        <v>0</v>
      </c>
      <c r="AQ875" s="138">
        <v>0</v>
      </c>
      <c r="AR875" s="138">
        <v>0</v>
      </c>
      <c r="AS875" s="138">
        <v>0</v>
      </c>
      <c r="AT875" s="138">
        <v>0</v>
      </c>
      <c r="AU875" s="138">
        <v>0</v>
      </c>
      <c r="AV875" s="138">
        <v>0</v>
      </c>
      <c r="AX875" s="171">
        <f>SUM(G875:AW875)</f>
        <v>0</v>
      </c>
    </row>
    <row r="876" spans="1:50" hidden="1" outlineLevel="1" x14ac:dyDescent="0.2">
      <c r="A876" s="99" t="str">
        <f ca="1">Language!A$1081</f>
        <v>НДС</v>
      </c>
      <c r="C876" s="124" t="str">
        <f t="shared" ca="1" si="3484"/>
        <v>тыс. руб.</v>
      </c>
      <c r="D876" s="66">
        <v>1</v>
      </c>
      <c r="F876" s="57" t="s">
        <v>1114</v>
      </c>
      <c r="G876" s="138">
        <v>0</v>
      </c>
      <c r="H876" s="138">
        <v>0</v>
      </c>
      <c r="I876" s="138">
        <v>0</v>
      </c>
      <c r="J876" s="138">
        <v>0</v>
      </c>
      <c r="K876" s="138">
        <v>0</v>
      </c>
      <c r="L876" s="138">
        <v>0</v>
      </c>
      <c r="M876" s="138">
        <v>0</v>
      </c>
      <c r="N876" s="138">
        <v>0</v>
      </c>
      <c r="O876" s="138">
        <v>0</v>
      </c>
      <c r="P876" s="138">
        <v>0</v>
      </c>
      <c r="Q876" s="138">
        <v>0</v>
      </c>
      <c r="R876" s="138">
        <v>0</v>
      </c>
      <c r="S876" s="138">
        <v>0</v>
      </c>
      <c r="T876" s="138">
        <v>0</v>
      </c>
      <c r="U876" s="138">
        <v>0</v>
      </c>
      <c r="V876" s="138">
        <v>0</v>
      </c>
      <c r="W876" s="138">
        <v>0</v>
      </c>
      <c r="X876" s="138">
        <v>0</v>
      </c>
      <c r="Y876" s="138">
        <v>0</v>
      </c>
      <c r="Z876" s="138">
        <v>0</v>
      </c>
      <c r="AA876" s="138">
        <v>0</v>
      </c>
      <c r="AB876" s="138">
        <v>0</v>
      </c>
      <c r="AC876" s="138">
        <v>0</v>
      </c>
      <c r="AD876" s="138">
        <v>0</v>
      </c>
      <c r="AE876" s="138">
        <v>0</v>
      </c>
      <c r="AF876" s="138">
        <v>0</v>
      </c>
      <c r="AG876" s="138">
        <v>0</v>
      </c>
      <c r="AH876" s="138">
        <v>0</v>
      </c>
      <c r="AI876" s="138">
        <v>0</v>
      </c>
      <c r="AJ876" s="138">
        <v>0</v>
      </c>
      <c r="AK876" s="138">
        <v>0</v>
      </c>
      <c r="AL876" s="138">
        <v>0</v>
      </c>
      <c r="AM876" s="138">
        <v>0</v>
      </c>
      <c r="AN876" s="138">
        <v>0</v>
      </c>
      <c r="AO876" s="138">
        <v>0</v>
      </c>
      <c r="AP876" s="138">
        <v>0</v>
      </c>
      <c r="AQ876" s="138">
        <v>0</v>
      </c>
      <c r="AR876" s="138">
        <v>0</v>
      </c>
      <c r="AS876" s="138">
        <v>0</v>
      </c>
      <c r="AT876" s="138">
        <v>0</v>
      </c>
      <c r="AU876" s="138">
        <v>0</v>
      </c>
      <c r="AV876" s="138">
        <v>0</v>
      </c>
      <c r="AX876" s="171">
        <f>SUM(G876:AW876)</f>
        <v>0</v>
      </c>
    </row>
    <row r="877" spans="1:50" x14ac:dyDescent="0.2">
      <c r="A877" s="51"/>
      <c r="B877" s="51"/>
      <c r="C877" s="51"/>
      <c r="D877" s="68"/>
      <c r="E877" s="68" t="s">
        <v>1432</v>
      </c>
      <c r="F877" s="68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51"/>
      <c r="AX877" s="149"/>
    </row>
    <row r="880" spans="1:50" s="64" customFormat="1" ht="25.5" customHeight="1" thickBot="1" x14ac:dyDescent="0.25">
      <c r="A880" s="118" t="str">
        <f ca="1">Language!A$1082</f>
        <v>СОБСТВЕННЫЙ КАПИТАЛ</v>
      </c>
      <c r="B880" s="119"/>
      <c r="C880" s="120"/>
      <c r="D880" s="121"/>
      <c r="E880" s="121" t="s">
        <v>896</v>
      </c>
      <c r="F880" s="121"/>
      <c r="G880" s="69" t="str">
        <f ca="1">Параметры!G$34</f>
        <v>4 кв. 2022</v>
      </c>
      <c r="H880" s="140" t="str">
        <f ca="1">Параметры!H$34</f>
        <v>1 кв. 2023</v>
      </c>
      <c r="I880" s="140" t="str">
        <f ca="1">Параметры!I$34</f>
        <v>2 кв. 2023</v>
      </c>
      <c r="J880" s="140" t="str">
        <f ca="1">Параметры!J$34</f>
        <v>3 кв. 2023</v>
      </c>
      <c r="K880" s="140" t="str">
        <f ca="1">Параметры!K$34</f>
        <v>4 кв. 2023</v>
      </c>
      <c r="L880" s="140" t="str">
        <f ca="1">Параметры!L$34</f>
        <v>1 кв. 2024</v>
      </c>
      <c r="M880" s="140" t="str">
        <f ca="1">Параметры!M$34</f>
        <v>2 кв. 2024</v>
      </c>
      <c r="N880" s="140" t="str">
        <f ca="1">Параметры!N$34</f>
        <v>3 кв. 2024</v>
      </c>
      <c r="O880" s="140" t="str">
        <f ca="1">Параметры!O$34</f>
        <v>4 кв. 2024</v>
      </c>
      <c r="P880" s="140" t="str">
        <f ca="1">Параметры!P$34</f>
        <v>1 кв. 2025</v>
      </c>
      <c r="Q880" s="140" t="str">
        <f ca="1">Параметры!Q$34</f>
        <v>2 кв. 2025</v>
      </c>
      <c r="R880" s="140" t="str">
        <f ca="1">Параметры!R$34</f>
        <v>3 кв. 2025</v>
      </c>
      <c r="S880" s="140" t="str">
        <f ca="1">Параметры!S$34</f>
        <v>4 кв. 2025</v>
      </c>
      <c r="T880" s="140" t="str">
        <f ca="1">Параметры!T$34</f>
        <v>1 кв. 2026</v>
      </c>
      <c r="U880" s="140" t="str">
        <f ca="1">Параметры!U$34</f>
        <v>2 кв. 2026</v>
      </c>
      <c r="V880" s="140" t="str">
        <f ca="1">Параметры!V$34</f>
        <v>3 кв. 2026</v>
      </c>
      <c r="W880" s="140" t="str">
        <f ca="1">Параметры!W$34</f>
        <v>4 кв. 2026</v>
      </c>
      <c r="X880" s="140" t="str">
        <f ca="1">Параметры!X$34</f>
        <v>1 кв. 2027</v>
      </c>
      <c r="Y880" s="140" t="str">
        <f ca="1">Параметры!Y$34</f>
        <v>2 кв. 2027</v>
      </c>
      <c r="Z880" s="140" t="str">
        <f ca="1">Параметры!Z$34</f>
        <v>3 кв. 2027</v>
      </c>
      <c r="AA880" s="140" t="str">
        <f ca="1">Параметры!AA$34</f>
        <v>4 кв. 2027</v>
      </c>
      <c r="AB880" s="140" t="str">
        <f ca="1">Параметры!AB$34</f>
        <v>1 кв. 2028</v>
      </c>
      <c r="AC880" s="140" t="str">
        <f ca="1">Параметры!AC$34</f>
        <v>2 кв. 2028</v>
      </c>
      <c r="AD880" s="140" t="str">
        <f ca="1">Параметры!AD$34</f>
        <v>3 кв. 2028</v>
      </c>
      <c r="AE880" s="140" t="str">
        <f ca="1">Параметры!AE$34</f>
        <v>4 кв. 2028</v>
      </c>
      <c r="AF880" s="140" t="str">
        <f ca="1">Параметры!AF$34</f>
        <v>1 кв. 2029</v>
      </c>
      <c r="AG880" s="140" t="str">
        <f ca="1">Параметры!AG$34</f>
        <v>2 кв. 2029</v>
      </c>
      <c r="AH880" s="140" t="str">
        <f ca="1">Параметры!AH$34</f>
        <v>3 кв. 2029</v>
      </c>
      <c r="AI880" s="140" t="str">
        <f ca="1">Параметры!AI$34</f>
        <v>4 кв. 2029</v>
      </c>
      <c r="AJ880" s="140" t="str">
        <f ca="1">Параметры!AJ$34</f>
        <v>1 кв. 2030</v>
      </c>
      <c r="AK880" s="140" t="str">
        <f ca="1">Параметры!AK$34</f>
        <v>2 кв. 2030</v>
      </c>
      <c r="AL880" s="140" t="str">
        <f ca="1">Параметры!AL$34</f>
        <v>3 кв. 2030</v>
      </c>
      <c r="AM880" s="140" t="str">
        <f ca="1">Параметры!AM$34</f>
        <v>4 кв. 2030</v>
      </c>
      <c r="AN880" s="140" t="str">
        <f ca="1">Параметры!AN$34</f>
        <v>1 кв. 2031</v>
      </c>
      <c r="AO880" s="140" t="str">
        <f ca="1">Параметры!AO$34</f>
        <v>2 кв. 2031</v>
      </c>
      <c r="AP880" s="140" t="str">
        <f ca="1">Параметры!AP$34</f>
        <v>3 кв. 2031</v>
      </c>
      <c r="AQ880" s="140" t="str">
        <f ca="1">Параметры!AQ$34</f>
        <v>4 кв. 2031</v>
      </c>
      <c r="AR880" s="140" t="str">
        <f ca="1">Параметры!AR$34</f>
        <v>1 кв. 2032</v>
      </c>
      <c r="AS880" s="140" t="str">
        <f ca="1">Параметры!AS$34</f>
        <v>2 кв. 2032</v>
      </c>
      <c r="AT880" s="140" t="str">
        <f ca="1">Параметры!AT$34</f>
        <v>3 кв. 2032</v>
      </c>
      <c r="AU880" s="140" t="str">
        <f ca="1">Параметры!AU$34</f>
        <v>4 кв. 2032</v>
      </c>
      <c r="AV880" s="140" t="str">
        <f ca="1">Параметры!AV$34</f>
        <v>1 кв. 2033</v>
      </c>
      <c r="AW880" s="140"/>
      <c r="AX880" s="141" t="str">
        <f ca="1">Language!$A$1445</f>
        <v>ИТОГО</v>
      </c>
    </row>
    <row r="881" spans="1:50" ht="13.5" thickTop="1" x14ac:dyDescent="0.2">
      <c r="B881" s="229"/>
      <c r="C881" s="224"/>
      <c r="D881" s="155"/>
      <c r="G881" s="225"/>
      <c r="H881" s="225"/>
      <c r="I881" s="225"/>
      <c r="J881" s="225"/>
      <c r="K881" s="225"/>
      <c r="L881" s="225"/>
      <c r="M881" s="225"/>
      <c r="N881" s="225"/>
      <c r="O881" s="225"/>
      <c r="P881" s="225"/>
      <c r="Q881" s="225"/>
      <c r="R881" s="225"/>
      <c r="S881" s="225"/>
      <c r="T881" s="225"/>
      <c r="U881" s="225"/>
      <c r="V881" s="225"/>
      <c r="W881" s="225"/>
      <c r="X881" s="225"/>
      <c r="Y881" s="225"/>
      <c r="Z881" s="225"/>
      <c r="AA881" s="225"/>
      <c r="AB881" s="225"/>
      <c r="AC881" s="225"/>
      <c r="AD881" s="225"/>
      <c r="AE881" s="225"/>
      <c r="AF881" s="225"/>
      <c r="AG881" s="225"/>
      <c r="AH881" s="225"/>
      <c r="AI881" s="225"/>
      <c r="AJ881" s="225"/>
      <c r="AK881" s="225"/>
      <c r="AL881" s="225"/>
      <c r="AM881" s="225"/>
      <c r="AN881" s="225"/>
      <c r="AO881" s="225"/>
      <c r="AP881" s="225"/>
      <c r="AQ881" s="225"/>
      <c r="AR881" s="225"/>
      <c r="AS881" s="225"/>
      <c r="AT881" s="225"/>
      <c r="AU881" s="225"/>
      <c r="AV881" s="225"/>
      <c r="AW881" s="230"/>
      <c r="AX881" s="226"/>
    </row>
    <row r="882" spans="1:50" x14ac:dyDescent="0.2">
      <c r="A882" s="98" t="str">
        <f ca="1">Language!A$1085</f>
        <v>Итого: Вложение собственных средств</v>
      </c>
      <c r="C882" s="124" t="str">
        <f ca="1">CurName1</f>
        <v>тыс. руб.</v>
      </c>
      <c r="F882" s="57" t="s">
        <v>1116</v>
      </c>
      <c r="G882" s="143">
        <v>0</v>
      </c>
      <c r="H882" s="143">
        <v>0</v>
      </c>
      <c r="I882" s="143">
        <v>0</v>
      </c>
      <c r="J882" s="143">
        <v>0</v>
      </c>
      <c r="K882" s="143">
        <v>0</v>
      </c>
      <c r="L882" s="143">
        <v>0</v>
      </c>
      <c r="M882" s="143">
        <v>0</v>
      </c>
      <c r="N882" s="143">
        <v>0</v>
      </c>
      <c r="O882" s="143">
        <v>0</v>
      </c>
      <c r="P882" s="143">
        <v>0</v>
      </c>
      <c r="Q882" s="143">
        <v>0</v>
      </c>
      <c r="R882" s="143">
        <v>0</v>
      </c>
      <c r="S882" s="143">
        <v>0</v>
      </c>
      <c r="T882" s="143">
        <v>0</v>
      </c>
      <c r="U882" s="143">
        <v>0</v>
      </c>
      <c r="V882" s="143">
        <v>0</v>
      </c>
      <c r="W882" s="143">
        <v>0</v>
      </c>
      <c r="X882" s="143">
        <v>0</v>
      </c>
      <c r="Y882" s="143">
        <v>0</v>
      </c>
      <c r="Z882" s="143">
        <v>0</v>
      </c>
      <c r="AA882" s="143">
        <v>0</v>
      </c>
      <c r="AB882" s="143">
        <v>0</v>
      </c>
      <c r="AC882" s="143">
        <v>0</v>
      </c>
      <c r="AD882" s="143">
        <v>0</v>
      </c>
      <c r="AE882" s="143">
        <v>0</v>
      </c>
      <c r="AF882" s="143">
        <v>0</v>
      </c>
      <c r="AG882" s="143">
        <v>0</v>
      </c>
      <c r="AH882" s="143">
        <v>0</v>
      </c>
      <c r="AI882" s="143">
        <v>0</v>
      </c>
      <c r="AJ882" s="143">
        <v>0</v>
      </c>
      <c r="AK882" s="143">
        <v>0</v>
      </c>
      <c r="AL882" s="143">
        <v>0</v>
      </c>
      <c r="AM882" s="143">
        <v>0</v>
      </c>
      <c r="AN882" s="143">
        <v>0</v>
      </c>
      <c r="AO882" s="143">
        <v>0</v>
      </c>
      <c r="AP882" s="143">
        <v>0</v>
      </c>
      <c r="AQ882" s="143">
        <v>0</v>
      </c>
      <c r="AR882" s="143">
        <v>0</v>
      </c>
      <c r="AS882" s="143">
        <v>0</v>
      </c>
      <c r="AT882" s="143">
        <v>0</v>
      </c>
      <c r="AU882" s="143">
        <v>0</v>
      </c>
      <c r="AV882" s="143">
        <v>0</v>
      </c>
      <c r="AW882" s="197"/>
      <c r="AX882" s="210">
        <f>SUM(G882:AW882)</f>
        <v>0</v>
      </c>
    </row>
    <row r="883" spans="1:50" x14ac:dyDescent="0.2">
      <c r="A883" s="38" t="str">
        <f ca="1">Language!A$1086</f>
        <v>Акционерный капитал (с учетом начального баланса)</v>
      </c>
      <c r="C883" s="124" t="str">
        <f ca="1">CurName1</f>
        <v>тыс. руб.</v>
      </c>
      <c r="F883" s="57" t="s">
        <v>754</v>
      </c>
      <c r="G883" s="138">
        <f>G882 + IF(G$2&gt;1, F883,Старт!$B41)</f>
        <v>364573</v>
      </c>
      <c r="H883" s="138">
        <f>H882 + IF(H$2&gt;1, G883,Старт!$B41)</f>
        <v>364573</v>
      </c>
      <c r="I883" s="138">
        <f>I882 + IF(I$2&gt;1, H883,Старт!$B41)</f>
        <v>364573</v>
      </c>
      <c r="J883" s="138">
        <f>J882 + IF(J$2&gt;1, I883,Старт!$B41)</f>
        <v>364573</v>
      </c>
      <c r="K883" s="138">
        <f>K882 + IF(K$2&gt;1, J883,Старт!$B41)</f>
        <v>364573</v>
      </c>
      <c r="L883" s="138">
        <f>L882 + IF(L$2&gt;1, K883,Старт!$B41)</f>
        <v>364573</v>
      </c>
      <c r="M883" s="138">
        <f>M882 + IF(M$2&gt;1, L883,Старт!$B41)</f>
        <v>364573</v>
      </c>
      <c r="N883" s="138">
        <f>N882 + IF(N$2&gt;1, M883,Старт!$B41)</f>
        <v>364573</v>
      </c>
      <c r="O883" s="138">
        <f>O882 + IF(O$2&gt;1, N883,Старт!$B41)</f>
        <v>364573</v>
      </c>
      <c r="P883" s="138">
        <f>P882 + IF(P$2&gt;1, O883,Старт!$B41)</f>
        <v>364573</v>
      </c>
      <c r="Q883" s="138">
        <f>Q882 + IF(Q$2&gt;1, P883,Старт!$B41)</f>
        <v>364573</v>
      </c>
      <c r="R883" s="138">
        <f>R882 + IF(R$2&gt;1, Q883,Старт!$B41)</f>
        <v>364573</v>
      </c>
      <c r="S883" s="138">
        <f>S882 + IF(S$2&gt;1, R883,Старт!$B41)</f>
        <v>364573</v>
      </c>
      <c r="T883" s="138">
        <f>T882 + IF(T$2&gt;1, S883,Старт!$B41)</f>
        <v>364573</v>
      </c>
      <c r="U883" s="138">
        <f>U882 + IF(U$2&gt;1, T883,Старт!$B41)</f>
        <v>364573</v>
      </c>
      <c r="V883" s="138">
        <f>V882 + IF(V$2&gt;1, U883,Старт!$B41)</f>
        <v>364573</v>
      </c>
      <c r="W883" s="138">
        <f>W882 + IF(W$2&gt;1, V883,Старт!$B41)</f>
        <v>364573</v>
      </c>
      <c r="X883" s="138">
        <f>X882 + IF(X$2&gt;1, W883,Старт!$B41)</f>
        <v>364573</v>
      </c>
      <c r="Y883" s="138">
        <f>Y882 + IF(Y$2&gt;1, X883,Старт!$B41)</f>
        <v>364573</v>
      </c>
      <c r="Z883" s="138">
        <f>Z882 + IF(Z$2&gt;1, Y883,Старт!$B41)</f>
        <v>364573</v>
      </c>
      <c r="AA883" s="138">
        <f>AA882 + IF(AA$2&gt;1, Z883,Старт!$B41)</f>
        <v>364573</v>
      </c>
      <c r="AB883" s="138">
        <f>AB882 + IF(AB$2&gt;1, AA883,Старт!$B41)</f>
        <v>364573</v>
      </c>
      <c r="AC883" s="138">
        <f>AC882 + IF(AC$2&gt;1, AB883,Старт!$B41)</f>
        <v>364573</v>
      </c>
      <c r="AD883" s="138">
        <f>AD882 + IF(AD$2&gt;1, AC883,Старт!$B41)</f>
        <v>364573</v>
      </c>
      <c r="AE883" s="138">
        <f>AE882 + IF(AE$2&gt;1, AD883,Старт!$B41)</f>
        <v>364573</v>
      </c>
      <c r="AF883" s="138">
        <f>AF882 + IF(AF$2&gt;1, AE883,Старт!$B41)</f>
        <v>364573</v>
      </c>
      <c r="AG883" s="138">
        <f>AG882 + IF(AG$2&gt;1, AF883,Старт!$B41)</f>
        <v>364573</v>
      </c>
      <c r="AH883" s="138">
        <f>AH882 + IF(AH$2&gt;1, AG883,Старт!$B41)</f>
        <v>364573</v>
      </c>
      <c r="AI883" s="138">
        <f>AI882 + IF(AI$2&gt;1, AH883,Старт!$B41)</f>
        <v>364573</v>
      </c>
      <c r="AJ883" s="138">
        <f>AJ882 + IF(AJ$2&gt;1, AI883,Старт!$B41)</f>
        <v>364573</v>
      </c>
      <c r="AK883" s="138">
        <f>AK882 + IF(AK$2&gt;1, AJ883,Старт!$B41)</f>
        <v>364573</v>
      </c>
      <c r="AL883" s="138">
        <f>AL882 + IF(AL$2&gt;1, AK883,Старт!$B41)</f>
        <v>364573</v>
      </c>
      <c r="AM883" s="138">
        <f>AM882 + IF(AM$2&gt;1, AL883,Старт!$B41)</f>
        <v>364573</v>
      </c>
      <c r="AN883" s="138">
        <f>AN882 + IF(AN$2&gt;1, AM883,Старт!$B41)</f>
        <v>364573</v>
      </c>
      <c r="AO883" s="138">
        <f>AO882 + IF(AO$2&gt;1, AN883,Старт!$B41)</f>
        <v>364573</v>
      </c>
      <c r="AP883" s="138">
        <f>AP882 + IF(AP$2&gt;1, AO883,Старт!$B41)</f>
        <v>364573</v>
      </c>
      <c r="AQ883" s="138">
        <f>AQ882 + IF(AQ$2&gt;1, AP883,Старт!$B41)</f>
        <v>364573</v>
      </c>
      <c r="AR883" s="138">
        <f>AR882 + IF(AR$2&gt;1, AQ883,Старт!$B41)</f>
        <v>364573</v>
      </c>
      <c r="AS883" s="138">
        <f>AS882 + IF(AS$2&gt;1, AR883,Старт!$B41)</f>
        <v>364573</v>
      </c>
      <c r="AT883" s="138">
        <f>AT882 + IF(AT$2&gt;1, AS883,Старт!$B41)</f>
        <v>364573</v>
      </c>
      <c r="AU883" s="138">
        <f>AU882 + IF(AU$2&gt;1, AT883,Старт!$B41)</f>
        <v>364573</v>
      </c>
      <c r="AV883" s="138">
        <f>AV882 + IF(AV$2&gt;1, AU883,Старт!$B41)</f>
        <v>364573</v>
      </c>
      <c r="AW883" s="94"/>
      <c r="AX883" s="142"/>
    </row>
    <row r="884" spans="1:50" x14ac:dyDescent="0.2">
      <c r="C884" s="124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94"/>
      <c r="AX884" s="142"/>
    </row>
    <row r="885" spans="1:50" x14ac:dyDescent="0.2">
      <c r="A885" s="38" t="str">
        <f ca="1">Language!A$1087</f>
        <v>Выплата дивидендов</v>
      </c>
      <c r="C885" s="124" t="str">
        <f t="shared" ref="C885:C887" ca="1" si="3527">CurName1</f>
        <v>тыс. руб.</v>
      </c>
      <c r="F885" s="57" t="s">
        <v>753</v>
      </c>
      <c r="G885" s="310">
        <v>0</v>
      </c>
      <c r="H885" s="310">
        <v>0</v>
      </c>
      <c r="I885" s="310">
        <v>0</v>
      </c>
      <c r="J885" s="310">
        <v>0</v>
      </c>
      <c r="K885" s="310">
        <v>0</v>
      </c>
      <c r="L885" s="310">
        <v>0</v>
      </c>
      <c r="M885" s="310">
        <v>0</v>
      </c>
      <c r="N885" s="310">
        <v>0</v>
      </c>
      <c r="O885" s="310">
        <v>0</v>
      </c>
      <c r="P885" s="310">
        <v>0</v>
      </c>
      <c r="Q885" s="310">
        <v>0</v>
      </c>
      <c r="R885" s="310">
        <v>0</v>
      </c>
      <c r="S885" s="310">
        <v>0</v>
      </c>
      <c r="T885" s="310">
        <v>0</v>
      </c>
      <c r="U885" s="310">
        <v>0</v>
      </c>
      <c r="V885" s="310">
        <v>0</v>
      </c>
      <c r="W885" s="310">
        <v>0</v>
      </c>
      <c r="X885" s="310">
        <v>0</v>
      </c>
      <c r="Y885" s="310">
        <v>0</v>
      </c>
      <c r="Z885" s="310">
        <v>0</v>
      </c>
      <c r="AA885" s="310">
        <v>0</v>
      </c>
      <c r="AB885" s="310">
        <v>0</v>
      </c>
      <c r="AC885" s="310">
        <v>0</v>
      </c>
      <c r="AD885" s="310">
        <v>0</v>
      </c>
      <c r="AE885" s="310">
        <v>0</v>
      </c>
      <c r="AF885" s="310">
        <v>0</v>
      </c>
      <c r="AG885" s="310">
        <v>0</v>
      </c>
      <c r="AH885" s="310">
        <v>0</v>
      </c>
      <c r="AI885" s="310">
        <v>0</v>
      </c>
      <c r="AJ885" s="310">
        <v>0</v>
      </c>
      <c r="AK885" s="310">
        <v>0</v>
      </c>
      <c r="AL885" s="310">
        <v>0</v>
      </c>
      <c r="AM885" s="310">
        <v>0</v>
      </c>
      <c r="AN885" s="310">
        <v>0</v>
      </c>
      <c r="AO885" s="310">
        <v>0</v>
      </c>
      <c r="AP885" s="310">
        <v>0</v>
      </c>
      <c r="AQ885" s="310">
        <v>0</v>
      </c>
      <c r="AR885" s="310">
        <v>0</v>
      </c>
      <c r="AS885" s="310">
        <v>0</v>
      </c>
      <c r="AT885" s="310">
        <v>0</v>
      </c>
      <c r="AU885" s="310">
        <v>0</v>
      </c>
      <c r="AV885" s="310">
        <v>0</v>
      </c>
      <c r="AW885" s="156"/>
      <c r="AX885" s="142">
        <f>SUM(G885:AW885)</f>
        <v>0</v>
      </c>
    </row>
    <row r="886" spans="1:50" x14ac:dyDescent="0.2">
      <c r="C886" s="124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94"/>
      <c r="AX886" s="142"/>
    </row>
    <row r="887" spans="1:50" s="98" customFormat="1" x14ac:dyDescent="0.2">
      <c r="A887" s="170" t="str">
        <f ca="1">Language!A$1131</f>
        <v>Справочно: Остаток денег на счете</v>
      </c>
      <c r="B887" s="170"/>
      <c r="C887" s="136" t="str">
        <f t="shared" ca="1" si="3527"/>
        <v>тыс. руб.</v>
      </c>
      <c r="D887" s="87"/>
      <c r="E887" s="87"/>
      <c r="F887" s="87" t="s">
        <v>754</v>
      </c>
      <c r="G887" s="171">
        <f ca="1">OFFSET(Результаты!$F$69,0,G2) * Параметры!G$64</f>
        <v>119972.79571811709</v>
      </c>
      <c r="H887" s="171">
        <f ca="1">OFFSET(Результаты!$F$69,0,H2) * Параметры!H$64</f>
        <v>112807.11093958122</v>
      </c>
      <c r="I887" s="171">
        <f ca="1">OFFSET(Результаты!$F$69,0,I2) * Параметры!I$64</f>
        <v>160222.9519268329</v>
      </c>
      <c r="J887" s="171">
        <f ca="1">OFFSET(Результаты!$F$69,0,J2) * Параметры!J$64</f>
        <v>219315.53724885569</v>
      </c>
      <c r="K887" s="171">
        <f ca="1">OFFSET(Результаты!$F$69,0,K2) * Параметры!K$64</f>
        <v>367840.52987686254</v>
      </c>
      <c r="L887" s="171">
        <f ca="1">OFFSET(Результаты!$F$69,0,L2) * Параметры!L$64</f>
        <v>493882.90348529152</v>
      </c>
      <c r="M887" s="171">
        <f ca="1">OFFSET(Результаты!$F$69,0,M2) * Параметры!M$64</f>
        <v>533996.05872667581</v>
      </c>
      <c r="N887" s="171">
        <f ca="1">OFFSET(Результаты!$F$69,0,N2) * Параметры!N$64</f>
        <v>617061.45245610038</v>
      </c>
      <c r="O887" s="171">
        <f ca="1">OFFSET(Результаты!$F$69,0,O2) * Параметры!O$64</f>
        <v>819757.93219042872</v>
      </c>
      <c r="P887" s="171">
        <f ca="1">OFFSET(Результаты!$F$69,0,P2) * Параметры!P$64</f>
        <v>996031.97022708145</v>
      </c>
      <c r="Q887" s="171">
        <f ca="1">OFFSET(Результаты!$F$69,0,Q2) * Параметры!Q$64</f>
        <v>1082358.0512009782</v>
      </c>
      <c r="R887" s="171">
        <f ca="1">OFFSET(Результаты!$F$69,0,R2) * Параметры!R$64</f>
        <v>1208636.0716891577</v>
      </c>
      <c r="S887" s="171">
        <f ca="1">OFFSET(Результаты!$F$69,0,S2) * Параметры!S$64</f>
        <v>1450771.607296682</v>
      </c>
      <c r="T887" s="171">
        <f ca="1">OFFSET(Результаты!$F$69,0,T2) * Параметры!T$64</f>
        <v>1653618.367802311</v>
      </c>
      <c r="U887" s="171">
        <f ca="1">OFFSET(Результаты!$F$69,0,U2) * Параметры!U$64</f>
        <v>1706486.2554621981</v>
      </c>
      <c r="V887" s="171">
        <f ca="1">OFFSET(Результаты!$F$69,0,V2) * Параметры!V$64</f>
        <v>1773881.9077855702</v>
      </c>
      <c r="W887" s="171">
        <f ca="1">OFFSET(Результаты!$F$69,0,W2) * Параметры!W$64</f>
        <v>1874716.3256310825</v>
      </c>
      <c r="X887" s="171">
        <f ca="1">OFFSET(Результаты!$F$69,0,X2) * Параметры!X$64</f>
        <v>1962281.3729937081</v>
      </c>
      <c r="Y887" s="171">
        <f ca="1">OFFSET(Результаты!$F$69,0,Y2) * Параметры!Y$64</f>
        <v>2016987.3491881755</v>
      </c>
      <c r="Z887" s="171">
        <f ca="1">OFFSET(Результаты!$F$69,0,Z2) * Параметры!Z$64</f>
        <v>2081940.6657957111</v>
      </c>
      <c r="AA887" s="171">
        <f ca="1">OFFSET(Результаты!$F$69,0,AA2) * Параметры!AA$64</f>
        <v>2182266.3486307343</v>
      </c>
      <c r="AB887" s="171">
        <f ca="1">OFFSET(Результаты!$F$69,0,AB2) * Параметры!AB$64</f>
        <v>2268452.9898072802</v>
      </c>
      <c r="AC887" s="171">
        <f ca="1">OFFSET(Результаты!$F$69,0,AC2) * Параметры!AC$64</f>
        <v>2321239.6046860558</v>
      </c>
      <c r="AD887" s="171">
        <f ca="1">OFFSET(Результаты!$F$69,0,AD2) * Параметры!AD$64</f>
        <v>2385564.6296529486</v>
      </c>
      <c r="AE887" s="171">
        <f ca="1">OFFSET(Результаты!$F$69,0,AE2) * Параметры!AE$64</f>
        <v>2487281.2584154867</v>
      </c>
      <c r="AF887" s="171">
        <f ca="1">OFFSET(Результаты!$F$69,0,AF2) * Параметры!AF$64</f>
        <v>2573905.4211558555</v>
      </c>
      <c r="AG887" s="171">
        <f ca="1">OFFSET(Результаты!$F$69,0,AG2) * Параметры!AG$64</f>
        <v>2624281.3546338161</v>
      </c>
      <c r="AH887" s="171">
        <f ca="1">OFFSET(Результаты!$F$69,0,AH2) * Параметры!AH$64</f>
        <v>2686084.760577275</v>
      </c>
      <c r="AI887" s="171">
        <f ca="1">OFFSET(Результаты!$F$69,0,AI2) * Параметры!AI$64</f>
        <v>2787429.1548696696</v>
      </c>
      <c r="AJ887" s="171">
        <f ca="1">OFFSET(Результаты!$F$69,0,AJ2) * Параметры!AJ$64</f>
        <v>2872680.0364973815</v>
      </c>
      <c r="AK887" s="171">
        <f ca="1">OFFSET(Результаты!$F$69,0,AK2) * Параметры!AK$64</f>
        <v>2918875.3128243457</v>
      </c>
      <c r="AL887" s="171">
        <f ca="1">OFFSET(Результаты!$F$69,0,AL2) * Параметры!AL$64</f>
        <v>2976758.6727239108</v>
      </c>
      <c r="AM887" s="171">
        <f ca="1">OFFSET(Результаты!$F$69,0,AM2) * Параметры!AM$64</f>
        <v>3294041.2276852299</v>
      </c>
      <c r="AN887" s="171">
        <f ca="1">OFFSET(Результаты!$F$69,0,AN2) * Параметры!AN$64</f>
        <v>3598430.5403896044</v>
      </c>
      <c r="AO887" s="171">
        <f ca="1">OFFSET(Результаты!$F$69,0,AO2) * Параметры!AO$64</f>
        <v>3762300.3513836064</v>
      </c>
      <c r="AP887" s="171">
        <f ca="1">OFFSET(Результаты!$F$69,0,AP2) * Параметры!AP$64</f>
        <v>3975128.9161867653</v>
      </c>
      <c r="AQ887" s="171">
        <f ca="1">OFFSET(Результаты!$F$69,0,AQ2) * Параметры!AQ$64</f>
        <v>4352669.2219858766</v>
      </c>
      <c r="AR887" s="171">
        <f ca="1">OFFSET(Результаты!$F$69,0,AR2) * Параметры!AR$64</f>
        <v>4674848.6562736295</v>
      </c>
      <c r="AS887" s="171">
        <f ca="1">OFFSET(Результаты!$F$69,0,AS2) * Параметры!AS$64</f>
        <v>4830092.4596970826</v>
      </c>
      <c r="AT887" s="171">
        <f ca="1">OFFSET(Результаты!$F$69,0,AT2) * Параметры!AT$64</f>
        <v>5028794.1474371962</v>
      </c>
      <c r="AU887" s="171">
        <f ca="1">OFFSET(Результаты!$F$69,0,AU2) * Параметры!AU$64</f>
        <v>5401695.6041949401</v>
      </c>
      <c r="AV887" s="171">
        <f ca="1">OFFSET(Результаты!$F$69,0,AV2) * Параметры!AV$64</f>
        <v>5715514.0692912247</v>
      </c>
      <c r="AW887" s="160"/>
      <c r="AX887" s="165"/>
    </row>
    <row r="888" spans="1:50" x14ac:dyDescent="0.2">
      <c r="A888" s="51"/>
      <c r="B888" s="51"/>
      <c r="C888" s="51"/>
      <c r="D888" s="68"/>
      <c r="E888" s="68" t="s">
        <v>726</v>
      </c>
      <c r="F888" s="68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112"/>
      <c r="AX888" s="149"/>
    </row>
    <row r="891" spans="1:50" s="64" customFormat="1" ht="25.5" customHeight="1" thickBot="1" x14ac:dyDescent="0.25">
      <c r="A891" s="118" t="str">
        <f ca="1">Language!A$1088</f>
        <v>КРЕДИТЫ</v>
      </c>
      <c r="B891" s="119"/>
      <c r="C891" s="120"/>
      <c r="D891" s="121"/>
      <c r="E891" s="121" t="s">
        <v>897</v>
      </c>
      <c r="F891" s="121" t="s">
        <v>2344</v>
      </c>
      <c r="G891" s="69" t="str">
        <f ca="1">Параметры!G$34</f>
        <v>4 кв. 2022</v>
      </c>
      <c r="H891" s="140" t="str">
        <f ca="1">Параметры!H$34</f>
        <v>1 кв. 2023</v>
      </c>
      <c r="I891" s="140" t="str">
        <f ca="1">Параметры!I$34</f>
        <v>2 кв. 2023</v>
      </c>
      <c r="J891" s="140" t="str">
        <f ca="1">Параметры!J$34</f>
        <v>3 кв. 2023</v>
      </c>
      <c r="K891" s="140" t="str">
        <f ca="1">Параметры!K$34</f>
        <v>4 кв. 2023</v>
      </c>
      <c r="L891" s="140" t="str">
        <f ca="1">Параметры!L$34</f>
        <v>1 кв. 2024</v>
      </c>
      <c r="M891" s="140" t="str">
        <f ca="1">Параметры!M$34</f>
        <v>2 кв. 2024</v>
      </c>
      <c r="N891" s="140" t="str">
        <f ca="1">Параметры!N$34</f>
        <v>3 кв. 2024</v>
      </c>
      <c r="O891" s="140" t="str">
        <f ca="1">Параметры!O$34</f>
        <v>4 кв. 2024</v>
      </c>
      <c r="P891" s="140" t="str">
        <f ca="1">Параметры!P$34</f>
        <v>1 кв. 2025</v>
      </c>
      <c r="Q891" s="140" t="str">
        <f ca="1">Параметры!Q$34</f>
        <v>2 кв. 2025</v>
      </c>
      <c r="R891" s="140" t="str">
        <f ca="1">Параметры!R$34</f>
        <v>3 кв. 2025</v>
      </c>
      <c r="S891" s="140" t="str">
        <f ca="1">Параметры!S$34</f>
        <v>4 кв. 2025</v>
      </c>
      <c r="T891" s="140" t="str">
        <f ca="1">Параметры!T$34</f>
        <v>1 кв. 2026</v>
      </c>
      <c r="U891" s="140" t="str">
        <f ca="1">Параметры!U$34</f>
        <v>2 кв. 2026</v>
      </c>
      <c r="V891" s="140" t="str">
        <f ca="1">Параметры!V$34</f>
        <v>3 кв. 2026</v>
      </c>
      <c r="W891" s="140" t="str">
        <f ca="1">Параметры!W$34</f>
        <v>4 кв. 2026</v>
      </c>
      <c r="X891" s="140" t="str">
        <f ca="1">Параметры!X$34</f>
        <v>1 кв. 2027</v>
      </c>
      <c r="Y891" s="140" t="str">
        <f ca="1">Параметры!Y$34</f>
        <v>2 кв. 2027</v>
      </c>
      <c r="Z891" s="140" t="str">
        <f ca="1">Параметры!Z$34</f>
        <v>3 кв. 2027</v>
      </c>
      <c r="AA891" s="140" t="str">
        <f ca="1">Параметры!AA$34</f>
        <v>4 кв. 2027</v>
      </c>
      <c r="AB891" s="140" t="str">
        <f ca="1">Параметры!AB$34</f>
        <v>1 кв. 2028</v>
      </c>
      <c r="AC891" s="140" t="str">
        <f ca="1">Параметры!AC$34</f>
        <v>2 кв. 2028</v>
      </c>
      <c r="AD891" s="140" t="str">
        <f ca="1">Параметры!AD$34</f>
        <v>3 кв. 2028</v>
      </c>
      <c r="AE891" s="140" t="str">
        <f ca="1">Параметры!AE$34</f>
        <v>4 кв. 2028</v>
      </c>
      <c r="AF891" s="140" t="str">
        <f ca="1">Параметры!AF$34</f>
        <v>1 кв. 2029</v>
      </c>
      <c r="AG891" s="140" t="str">
        <f ca="1">Параметры!AG$34</f>
        <v>2 кв. 2029</v>
      </c>
      <c r="AH891" s="140" t="str">
        <f ca="1">Параметры!AH$34</f>
        <v>3 кв. 2029</v>
      </c>
      <c r="AI891" s="140" t="str">
        <f ca="1">Параметры!AI$34</f>
        <v>4 кв. 2029</v>
      </c>
      <c r="AJ891" s="140" t="str">
        <f ca="1">Параметры!AJ$34</f>
        <v>1 кв. 2030</v>
      </c>
      <c r="AK891" s="140" t="str">
        <f ca="1">Параметры!AK$34</f>
        <v>2 кв. 2030</v>
      </c>
      <c r="AL891" s="140" t="str">
        <f ca="1">Параметры!AL$34</f>
        <v>3 кв. 2030</v>
      </c>
      <c r="AM891" s="140" t="str">
        <f ca="1">Параметры!AM$34</f>
        <v>4 кв. 2030</v>
      </c>
      <c r="AN891" s="140" t="str">
        <f ca="1">Параметры!AN$34</f>
        <v>1 кв. 2031</v>
      </c>
      <c r="AO891" s="140" t="str">
        <f ca="1">Параметры!AO$34</f>
        <v>2 кв. 2031</v>
      </c>
      <c r="AP891" s="140" t="str">
        <f ca="1">Параметры!AP$34</f>
        <v>3 кв. 2031</v>
      </c>
      <c r="AQ891" s="140" t="str">
        <f ca="1">Параметры!AQ$34</f>
        <v>4 кв. 2031</v>
      </c>
      <c r="AR891" s="140" t="str">
        <f ca="1">Параметры!AR$34</f>
        <v>1 кв. 2032</v>
      </c>
      <c r="AS891" s="140" t="str">
        <f ca="1">Параметры!AS$34</f>
        <v>2 кв. 2032</v>
      </c>
      <c r="AT891" s="140" t="str">
        <f ca="1">Параметры!AT$34</f>
        <v>3 кв. 2032</v>
      </c>
      <c r="AU891" s="140" t="str">
        <f ca="1">Параметры!AU$34</f>
        <v>4 кв. 2032</v>
      </c>
      <c r="AV891" s="140" t="str">
        <f ca="1">Параметры!AV$34</f>
        <v>1 кв. 2033</v>
      </c>
      <c r="AW891" s="140"/>
      <c r="AX891" s="141" t="str">
        <f ca="1">Language!$A$1445</f>
        <v>ИТОГО</v>
      </c>
    </row>
    <row r="892" spans="1:50" ht="13.5" thickTop="1" x14ac:dyDescent="0.2">
      <c r="AW892" s="94"/>
    </row>
    <row r="893" spans="1:50" x14ac:dyDescent="0.2">
      <c r="A893" s="203" t="str">
        <f ca="1">Language!A$1117</f>
        <v>Долгосрочные кредиты</v>
      </c>
      <c r="B893" s="51"/>
      <c r="C893" s="51"/>
      <c r="D893" s="68"/>
      <c r="E893" s="68" t="s">
        <v>727</v>
      </c>
      <c r="F893" s="68" t="s">
        <v>2303</v>
      </c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112"/>
      <c r="AX893" s="149"/>
    </row>
    <row r="894" spans="1:50" x14ac:dyDescent="0.2">
      <c r="AW894" s="94"/>
    </row>
    <row r="895" spans="1:50" x14ac:dyDescent="0.2">
      <c r="A895" s="317" t="s">
        <v>2342</v>
      </c>
      <c r="B895" s="151"/>
      <c r="C895" s="152" t="str">
        <f t="shared" ref="C895" ca="1" si="3528">CHOOSE(D895,CurName1,CurName2,CurName3)</f>
        <v>тыс. руб.</v>
      </c>
      <c r="D895" s="153">
        <v>1</v>
      </c>
      <c r="E895" s="100"/>
      <c r="F895" s="100" t="s">
        <v>2340</v>
      </c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58"/>
      <c r="AX895" s="150"/>
    </row>
    <row r="896" spans="1:50" x14ac:dyDescent="0.2">
      <c r="A896" s="154" t="str">
        <f ca="1">Language!A$1090</f>
        <v>ставка процентов по кредиту</v>
      </c>
      <c r="B896" s="314">
        <v>0.15</v>
      </c>
      <c r="C896" s="157" t="str">
        <f ca="1">Language!$A$471</f>
        <v>% в год</v>
      </c>
      <c r="D896" s="158"/>
      <c r="E896" s="57" t="s">
        <v>1527</v>
      </c>
      <c r="F896" s="57" t="s">
        <v>756</v>
      </c>
      <c r="G896" s="315">
        <f>B896</f>
        <v>0.15</v>
      </c>
      <c r="H896" s="315">
        <f t="shared" ref="H896" si="3529">G896</f>
        <v>0.15</v>
      </c>
      <c r="I896" s="315">
        <f t="shared" ref="I896" si="3530">H896</f>
        <v>0.15</v>
      </c>
      <c r="J896" s="315">
        <f t="shared" ref="J896" si="3531">I896</f>
        <v>0.15</v>
      </c>
      <c r="K896" s="315">
        <f t="shared" ref="K896" si="3532">J896</f>
        <v>0.15</v>
      </c>
      <c r="L896" s="315">
        <f t="shared" ref="L896" si="3533">K896</f>
        <v>0.15</v>
      </c>
      <c r="M896" s="315">
        <f t="shared" ref="M896" si="3534">L896</f>
        <v>0.15</v>
      </c>
      <c r="N896" s="315">
        <f t="shared" ref="N896" si="3535">M896</f>
        <v>0.15</v>
      </c>
      <c r="O896" s="315">
        <f t="shared" ref="O896" si="3536">N896</f>
        <v>0.15</v>
      </c>
      <c r="P896" s="315">
        <f t="shared" ref="P896" si="3537">O896</f>
        <v>0.15</v>
      </c>
      <c r="Q896" s="315">
        <f t="shared" ref="Q896" si="3538">P896</f>
        <v>0.15</v>
      </c>
      <c r="R896" s="315">
        <f t="shared" ref="R896" si="3539">Q896</f>
        <v>0.15</v>
      </c>
      <c r="S896" s="315">
        <f t="shared" ref="S896" si="3540">R896</f>
        <v>0.15</v>
      </c>
      <c r="T896" s="315">
        <f t="shared" ref="T896" si="3541">S896</f>
        <v>0.15</v>
      </c>
      <c r="U896" s="315">
        <f t="shared" ref="U896" si="3542">T896</f>
        <v>0.15</v>
      </c>
      <c r="V896" s="315">
        <f t="shared" ref="V896" si="3543">U896</f>
        <v>0.15</v>
      </c>
      <c r="W896" s="315">
        <f t="shared" ref="W896" si="3544">V896</f>
        <v>0.15</v>
      </c>
      <c r="X896" s="315">
        <f t="shared" ref="X896" si="3545">W896</f>
        <v>0.15</v>
      </c>
      <c r="Y896" s="315">
        <f t="shared" ref="Y896" si="3546">X896</f>
        <v>0.15</v>
      </c>
      <c r="Z896" s="315">
        <f t="shared" ref="Z896" si="3547">Y896</f>
        <v>0.15</v>
      </c>
      <c r="AA896" s="315">
        <f t="shared" ref="AA896" si="3548">Z896</f>
        <v>0.15</v>
      </c>
      <c r="AB896" s="315">
        <f t="shared" ref="AB896" si="3549">AA896</f>
        <v>0.15</v>
      </c>
      <c r="AC896" s="315">
        <f t="shared" ref="AC896" si="3550">AB896</f>
        <v>0.15</v>
      </c>
      <c r="AD896" s="315">
        <f t="shared" ref="AD896" si="3551">AC896</f>
        <v>0.15</v>
      </c>
      <c r="AE896" s="315">
        <f t="shared" ref="AE896" si="3552">AD896</f>
        <v>0.15</v>
      </c>
      <c r="AF896" s="315">
        <f t="shared" ref="AF896" si="3553">AE896</f>
        <v>0.15</v>
      </c>
      <c r="AG896" s="315">
        <f t="shared" ref="AG896" si="3554">AF896</f>
        <v>0.15</v>
      </c>
      <c r="AH896" s="315">
        <f t="shared" ref="AH896" si="3555">AG896</f>
        <v>0.15</v>
      </c>
      <c r="AI896" s="315">
        <f t="shared" ref="AI896" si="3556">AH896</f>
        <v>0.15</v>
      </c>
      <c r="AJ896" s="315">
        <f t="shared" ref="AJ896" si="3557">AI896</f>
        <v>0.15</v>
      </c>
      <c r="AK896" s="315">
        <f t="shared" ref="AK896" si="3558">AJ896</f>
        <v>0.15</v>
      </c>
      <c r="AL896" s="315">
        <f t="shared" ref="AL896" si="3559">AK896</f>
        <v>0.15</v>
      </c>
      <c r="AM896" s="315">
        <f t="shared" ref="AM896" si="3560">AL896</f>
        <v>0.15</v>
      </c>
      <c r="AN896" s="315">
        <f t="shared" ref="AN896" si="3561">AM896</f>
        <v>0.15</v>
      </c>
      <c r="AO896" s="315">
        <f t="shared" ref="AO896" si="3562">AN896</f>
        <v>0.15</v>
      </c>
      <c r="AP896" s="315">
        <f t="shared" ref="AP896" si="3563">AO896</f>
        <v>0.15</v>
      </c>
      <c r="AQ896" s="315">
        <f t="shared" ref="AQ896" si="3564">AP896</f>
        <v>0.15</v>
      </c>
      <c r="AR896" s="315">
        <f t="shared" ref="AR896" si="3565">AQ896</f>
        <v>0.15</v>
      </c>
      <c r="AS896" s="315">
        <f t="shared" ref="AS896" si="3566">AR896</f>
        <v>0.15</v>
      </c>
      <c r="AT896" s="315">
        <f t="shared" ref="AT896" si="3567">AS896</f>
        <v>0.15</v>
      </c>
      <c r="AU896" s="315">
        <f t="shared" ref="AU896" si="3568">AT896</f>
        <v>0.15</v>
      </c>
      <c r="AV896" s="315">
        <f t="shared" ref="AV896" si="3569">AU896</f>
        <v>0.15</v>
      </c>
      <c r="AW896" s="159"/>
      <c r="AX896" s="160"/>
    </row>
    <row r="897" spans="1:50" x14ac:dyDescent="0.2">
      <c r="A897" s="154" t="str">
        <f ca="1">Language!A$1091</f>
        <v>отсрочка выплаты процентов</v>
      </c>
      <c r="B897" s="326">
        <v>0</v>
      </c>
      <c r="C897" s="157" t="str">
        <f ca="1">Language!$A$1456</f>
        <v>периодов</v>
      </c>
      <c r="D897" s="158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  <c r="AN897" s="94"/>
      <c r="AO897" s="94"/>
      <c r="AP897" s="94"/>
      <c r="AQ897" s="94"/>
      <c r="AR897" s="94"/>
      <c r="AS897" s="94"/>
      <c r="AT897" s="94"/>
      <c r="AU897" s="94"/>
      <c r="AV897" s="94"/>
      <c r="AW897" s="94"/>
      <c r="AX897" s="160"/>
    </row>
    <row r="898" spans="1:50" x14ac:dyDescent="0.2">
      <c r="A898" s="154" t="str">
        <f ca="1">Language!A$1092</f>
        <v>капитализация невыплаченных процентов</v>
      </c>
      <c r="B898" s="328">
        <v>1</v>
      </c>
      <c r="C898" s="146" t="str">
        <f ca="1">IF(B898=1,Language!$A$1447,Language!$A$1448)</f>
        <v>Да</v>
      </c>
      <c r="D898" s="158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  <c r="AN898" s="94"/>
      <c r="AO898" s="94"/>
      <c r="AP898" s="94"/>
      <c r="AQ898" s="94"/>
      <c r="AR898" s="94"/>
      <c r="AS898" s="94"/>
      <c r="AT898" s="94"/>
      <c r="AU898" s="94"/>
      <c r="AV898" s="94"/>
      <c r="AW898" s="94"/>
      <c r="AX898" s="160"/>
    </row>
    <row r="899" spans="1:50" s="94" customFormat="1" x14ac:dyDescent="0.2">
      <c r="A899" s="154" t="str">
        <f ca="1">Language!A$1093</f>
        <v>срок кредитования</v>
      </c>
      <c r="B899" s="231">
        <f ca="1">IF(OFFSET(G902,0,Prj_Len-1)&gt;0,"-",AX906/12)</f>
        <v>8</v>
      </c>
      <c r="C899" s="130" t="str">
        <f ca="1">Language!A$48</f>
        <v>лет</v>
      </c>
      <c r="D899" s="158"/>
      <c r="E899" s="114"/>
      <c r="F899" s="57"/>
      <c r="AX899" s="160"/>
    </row>
    <row r="900" spans="1:50" x14ac:dyDescent="0.2">
      <c r="A900" s="154" t="str">
        <f ca="1">Language!A$1094</f>
        <v>поступление денег от кредита</v>
      </c>
      <c r="B900" s="44"/>
      <c r="C900" s="146" t="str">
        <f t="shared" ref="C900:C904" ca="1" si="3570">CHOOSE(D900,CurName1,CurName2,CurName3)</f>
        <v>тыс. руб.</v>
      </c>
      <c r="D900" s="155">
        <f>D895</f>
        <v>1</v>
      </c>
      <c r="E900" s="57" t="s">
        <v>1456</v>
      </c>
      <c r="F900" s="57" t="s">
        <v>753</v>
      </c>
      <c r="G900" s="310">
        <v>0</v>
      </c>
      <c r="H900" s="310">
        <v>2176632</v>
      </c>
      <c r="I900" s="310">
        <v>0</v>
      </c>
      <c r="J900" s="310">
        <v>0</v>
      </c>
      <c r="K900" s="310">
        <v>0</v>
      </c>
      <c r="L900" s="310">
        <v>0</v>
      </c>
      <c r="M900" s="310">
        <v>0</v>
      </c>
      <c r="N900" s="310">
        <v>0</v>
      </c>
      <c r="O900" s="310">
        <v>0</v>
      </c>
      <c r="P900" s="310">
        <v>0</v>
      </c>
      <c r="Q900" s="310">
        <v>0</v>
      </c>
      <c r="R900" s="310">
        <v>0</v>
      </c>
      <c r="S900" s="310">
        <v>0</v>
      </c>
      <c r="T900" s="310">
        <v>0</v>
      </c>
      <c r="U900" s="310">
        <v>0</v>
      </c>
      <c r="V900" s="310">
        <v>0</v>
      </c>
      <c r="W900" s="310">
        <v>0</v>
      </c>
      <c r="X900" s="310">
        <v>0</v>
      </c>
      <c r="Y900" s="310">
        <v>0</v>
      </c>
      <c r="Z900" s="310">
        <v>0</v>
      </c>
      <c r="AA900" s="310">
        <v>0</v>
      </c>
      <c r="AB900" s="310">
        <v>0</v>
      </c>
      <c r="AC900" s="310">
        <v>0</v>
      </c>
      <c r="AD900" s="310">
        <v>0</v>
      </c>
      <c r="AE900" s="310">
        <v>0</v>
      </c>
      <c r="AF900" s="310">
        <v>0</v>
      </c>
      <c r="AG900" s="310">
        <v>0</v>
      </c>
      <c r="AH900" s="310">
        <v>0</v>
      </c>
      <c r="AI900" s="310">
        <v>0</v>
      </c>
      <c r="AJ900" s="310">
        <v>0</v>
      </c>
      <c r="AK900" s="310">
        <v>0</v>
      </c>
      <c r="AL900" s="310">
        <v>0</v>
      </c>
      <c r="AM900" s="310">
        <v>0</v>
      </c>
      <c r="AN900" s="310">
        <v>0</v>
      </c>
      <c r="AO900" s="310">
        <v>0</v>
      </c>
      <c r="AP900" s="310">
        <v>0</v>
      </c>
      <c r="AQ900" s="310">
        <v>0</v>
      </c>
      <c r="AR900" s="310">
        <v>0</v>
      </c>
      <c r="AS900" s="310">
        <v>0</v>
      </c>
      <c r="AT900" s="310">
        <v>0</v>
      </c>
      <c r="AU900" s="310">
        <v>0</v>
      </c>
      <c r="AV900" s="310">
        <v>0</v>
      </c>
      <c r="AW900" s="156"/>
      <c r="AX900" s="142">
        <f>SUM(G900:AW900)</f>
        <v>2176632</v>
      </c>
    </row>
    <row r="901" spans="1:50" x14ac:dyDescent="0.2">
      <c r="A901" s="154" t="str">
        <f ca="1">Language!A$1095</f>
        <v>погашение кредита</v>
      </c>
      <c r="B901" s="44"/>
      <c r="C901" s="146" t="str">
        <f t="shared" ca="1" si="3570"/>
        <v>тыс. руб.</v>
      </c>
      <c r="D901" s="155">
        <f>D895</f>
        <v>1</v>
      </c>
      <c r="E901" s="57" t="s">
        <v>1457</v>
      </c>
      <c r="F901" s="57" t="s">
        <v>753</v>
      </c>
      <c r="G901" s="310">
        <v>0</v>
      </c>
      <c r="H901" s="310">
        <v>0</v>
      </c>
      <c r="I901" s="310">
        <v>0</v>
      </c>
      <c r="J901" s="310">
        <v>0</v>
      </c>
      <c r="K901" s="310">
        <v>0</v>
      </c>
      <c r="L901" s="310">
        <v>0</v>
      </c>
      <c r="M901" s="310">
        <v>0</v>
      </c>
      <c r="N901" s="310">
        <v>0</v>
      </c>
      <c r="O901" s="310">
        <v>0</v>
      </c>
      <c r="P901" s="310">
        <v>0</v>
      </c>
      <c r="Q901" s="310">
        <v>0</v>
      </c>
      <c r="R901" s="310">
        <v>0</v>
      </c>
      <c r="S901" s="310">
        <v>0</v>
      </c>
      <c r="T901" s="310">
        <v>0</v>
      </c>
      <c r="U901" s="310">
        <v>0</v>
      </c>
      <c r="V901" s="310">
        <v>28269.821727562405</v>
      </c>
      <c r="W901" s="310">
        <v>116272.19263997424</v>
      </c>
      <c r="X901" s="310">
        <v>87818.601945573697</v>
      </c>
      <c r="Y901" s="310">
        <v>12414.510937392057</v>
      </c>
      <c r="Z901" s="310">
        <v>56101.831088708699</v>
      </c>
      <c r="AA901" s="310">
        <v>187504.8237168882</v>
      </c>
      <c r="AB901" s="310">
        <v>158085.42296283226</v>
      </c>
      <c r="AC901" s="310">
        <v>77491.280315235286</v>
      </c>
      <c r="AD901" s="310">
        <v>110480.31740335806</v>
      </c>
      <c r="AE901" s="310">
        <v>211905.79406284931</v>
      </c>
      <c r="AF901" s="310">
        <v>180960.65354811979</v>
      </c>
      <c r="AG901" s="310">
        <v>93859.823879449337</v>
      </c>
      <c r="AH901" s="310">
        <v>127198.44676159006</v>
      </c>
      <c r="AI901" s="310">
        <v>234858.09612506372</v>
      </c>
      <c r="AJ901" s="310">
        <v>202207.07999771071</v>
      </c>
      <c r="AK901" s="310">
        <v>108642.14737094079</v>
      </c>
      <c r="AL901" s="310">
        <v>143233.61689969516</v>
      </c>
      <c r="AM901" s="310">
        <v>39327.538617056329</v>
      </c>
      <c r="AN901" s="310">
        <v>0</v>
      </c>
      <c r="AO901" s="310">
        <v>0</v>
      </c>
      <c r="AP901" s="310">
        <v>0</v>
      </c>
      <c r="AQ901" s="310">
        <v>0</v>
      </c>
      <c r="AR901" s="310">
        <v>0</v>
      </c>
      <c r="AS901" s="310">
        <v>0</v>
      </c>
      <c r="AT901" s="310">
        <v>0</v>
      </c>
      <c r="AU901" s="310">
        <v>0</v>
      </c>
      <c r="AV901" s="310">
        <v>0</v>
      </c>
      <c r="AW901" s="156"/>
      <c r="AX901" s="142">
        <f>SUM(G901:AW901)</f>
        <v>2176632</v>
      </c>
    </row>
    <row r="902" spans="1:50" x14ac:dyDescent="0.2">
      <c r="A902" s="161" t="str">
        <f ca="1">Language!A$1096</f>
        <v>задолженность по кредиту</v>
      </c>
      <c r="B902" s="162"/>
      <c r="C902" s="146" t="str">
        <f t="shared" ca="1" si="3570"/>
        <v>тыс. руб.</v>
      </c>
      <c r="D902" s="155">
        <f>D895</f>
        <v>1</v>
      </c>
      <c r="E902" s="57" t="s">
        <v>1041</v>
      </c>
      <c r="F902" s="57" t="s">
        <v>756</v>
      </c>
      <c r="G902" s="163">
        <f>SUM($G903:G903)-SUM($G904:G904)+SUM($G900:G900)-SUM($G901:G901)</f>
        <v>0</v>
      </c>
      <c r="H902" s="163">
        <f>SUM($G903:H903)-SUM($G904:H904)+SUM($G900:H900)-SUM($G901:H901)</f>
        <v>2176632</v>
      </c>
      <c r="I902" s="163">
        <f>SUM($G903:I903)-SUM($G904:I904)+SUM($G900:I900)-SUM($G901:I901)</f>
        <v>2176632</v>
      </c>
      <c r="J902" s="163">
        <f>SUM($G903:J903)-SUM($G904:J904)+SUM($G900:J900)-SUM($G901:J901)</f>
        <v>2176632</v>
      </c>
      <c r="K902" s="163">
        <f>SUM($G903:K903)-SUM($G904:K904)+SUM($G900:K900)-SUM($G901:K901)</f>
        <v>2176632</v>
      </c>
      <c r="L902" s="163">
        <f>SUM($G903:L903)-SUM($G904:L904)+SUM($G900:L900)-SUM($G901:L901)</f>
        <v>2176632</v>
      </c>
      <c r="M902" s="163">
        <f>SUM($G903:M903)-SUM($G904:M904)+SUM($G900:M900)-SUM($G901:M901)</f>
        <v>2176632</v>
      </c>
      <c r="N902" s="163">
        <f>SUM($G903:N903)-SUM($G904:N904)+SUM($G900:N900)-SUM($G901:N901)</f>
        <v>2176632</v>
      </c>
      <c r="O902" s="163">
        <f>SUM($G903:O903)-SUM($G904:O904)+SUM($G900:O900)-SUM($G901:O901)</f>
        <v>2176632</v>
      </c>
      <c r="P902" s="163">
        <f>SUM($G903:P903)-SUM($G904:P904)+SUM($G900:P900)-SUM($G901:P901)</f>
        <v>2176632</v>
      </c>
      <c r="Q902" s="163">
        <f>SUM($G903:Q903)-SUM($G904:Q904)+SUM($G900:Q900)-SUM($G901:Q901)</f>
        <v>2176632</v>
      </c>
      <c r="R902" s="163">
        <f>SUM($G903:R903)-SUM($G904:R904)+SUM($G900:R900)-SUM($G901:R901)</f>
        <v>2176632</v>
      </c>
      <c r="S902" s="163">
        <f>SUM($G903:S903)-SUM($G904:S904)+SUM($G900:S900)-SUM($G901:S901)</f>
        <v>2176632</v>
      </c>
      <c r="T902" s="163">
        <f>SUM($G903:T903)-SUM($G904:T904)+SUM($G900:T900)-SUM($G901:T901)</f>
        <v>2176632</v>
      </c>
      <c r="U902" s="163">
        <f>SUM($G903:U903)-SUM($G904:U904)+SUM($G900:U900)-SUM($G901:U901)</f>
        <v>2176632</v>
      </c>
      <c r="V902" s="163">
        <f>SUM($G903:V903)-SUM($G904:V904)+SUM($G900:V900)-SUM($G901:V901)</f>
        <v>2148362.1782724378</v>
      </c>
      <c r="W902" s="163">
        <f>SUM($G903:W903)-SUM($G904:W904)+SUM($G900:W900)-SUM($G901:W901)</f>
        <v>2032089.9856324634</v>
      </c>
      <c r="X902" s="163">
        <f>SUM($G903:X903)-SUM($G904:X904)+SUM($G900:X900)-SUM($G901:X901)</f>
        <v>1944271.3836868897</v>
      </c>
      <c r="Y902" s="163">
        <f>SUM($G903:Y903)-SUM($G904:Y904)+SUM($G900:Y900)-SUM($G901:Y901)</f>
        <v>1931856.8727494976</v>
      </c>
      <c r="Z902" s="163">
        <f>SUM($G903:Z903)-SUM($G904:Z904)+SUM($G900:Z900)-SUM($G901:Z901)</f>
        <v>1875755.0416607889</v>
      </c>
      <c r="AA902" s="163">
        <f>SUM($G903:AA903)-SUM($G904:AA904)+SUM($G900:AA900)-SUM($G901:AA901)</f>
        <v>1688250.2179439007</v>
      </c>
      <c r="AB902" s="163">
        <f>SUM($G903:AB903)-SUM($G904:AB904)+SUM($G900:AB900)-SUM($G901:AB901)</f>
        <v>1530164.7949810685</v>
      </c>
      <c r="AC902" s="163">
        <f>SUM($G903:AC903)-SUM($G904:AC904)+SUM($G900:AC900)-SUM($G901:AC901)</f>
        <v>1452673.5146658332</v>
      </c>
      <c r="AD902" s="163">
        <f>SUM($G903:AD903)-SUM($G904:AD904)+SUM($G900:AD900)-SUM($G901:AD901)</f>
        <v>1342193.1972624753</v>
      </c>
      <c r="AE902" s="163">
        <f>SUM($G903:AE903)-SUM($G904:AE904)+SUM($G900:AE900)-SUM($G901:AE901)</f>
        <v>1130287.4031996259</v>
      </c>
      <c r="AF902" s="163">
        <f>SUM($G903:AF903)-SUM($G904:AF904)+SUM($G900:AF900)-SUM($G901:AF901)</f>
        <v>949326.74965150608</v>
      </c>
      <c r="AG902" s="163">
        <f>SUM($G903:AG903)-SUM($G904:AG904)+SUM($G900:AG900)-SUM($G901:AG901)</f>
        <v>855466.92577205668</v>
      </c>
      <c r="AH902" s="163">
        <f>SUM($G903:AH903)-SUM($G904:AH904)+SUM($G900:AH900)-SUM($G901:AH901)</f>
        <v>728268.47901046672</v>
      </c>
      <c r="AI902" s="163">
        <f>SUM($G903:AI903)-SUM($G904:AI904)+SUM($G900:AI900)-SUM($G901:AI901)</f>
        <v>493410.382885403</v>
      </c>
      <c r="AJ902" s="163">
        <f>SUM($G903:AJ903)-SUM($G904:AJ904)+SUM($G900:AJ900)-SUM($G901:AJ901)</f>
        <v>291203.30288769235</v>
      </c>
      <c r="AK902" s="163">
        <f>SUM($G903:AK903)-SUM($G904:AK904)+SUM($G900:AK900)-SUM($G901:AK901)</f>
        <v>182561.15551675158</v>
      </c>
      <c r="AL902" s="163">
        <f>SUM($G903:AL903)-SUM($G904:AL904)+SUM($G900:AL900)-SUM($G901:AL901)</f>
        <v>39327.538617056329</v>
      </c>
      <c r="AM902" s="163">
        <f>SUM($G903:AM903)-SUM($G904:AM904)+SUM($G900:AM900)-SUM($G901:AM901)</f>
        <v>0</v>
      </c>
      <c r="AN902" s="163">
        <f>SUM($G903:AN903)-SUM($G904:AN904)+SUM($G900:AN900)-SUM($G901:AN901)</f>
        <v>0</v>
      </c>
      <c r="AO902" s="163">
        <f>SUM($G903:AO903)-SUM($G904:AO904)+SUM($G900:AO900)-SUM($G901:AO901)</f>
        <v>0</v>
      </c>
      <c r="AP902" s="163">
        <f>SUM($G903:AP903)-SUM($G904:AP904)+SUM($G900:AP900)-SUM($G901:AP901)</f>
        <v>0</v>
      </c>
      <c r="AQ902" s="163">
        <f>SUM($G903:AQ903)-SUM($G904:AQ904)+SUM($G900:AQ900)-SUM($G901:AQ901)</f>
        <v>0</v>
      </c>
      <c r="AR902" s="163">
        <f>SUM($G903:AR903)-SUM($G904:AR904)+SUM($G900:AR900)-SUM($G901:AR901)</f>
        <v>0</v>
      </c>
      <c r="AS902" s="163">
        <f>SUM($G903:AS903)-SUM($G904:AS904)+SUM($G900:AS900)-SUM($G901:AS901)</f>
        <v>0</v>
      </c>
      <c r="AT902" s="163">
        <f>SUM($G903:AT903)-SUM($G904:AT904)+SUM($G900:AT900)-SUM($G901:AT901)</f>
        <v>0</v>
      </c>
      <c r="AU902" s="163">
        <f>SUM($G903:AU903)-SUM($G904:AU904)+SUM($G900:AU900)-SUM($G901:AU901)</f>
        <v>0</v>
      </c>
      <c r="AV902" s="163">
        <f>SUM($G903:AV903)-SUM($G904:AV904)+SUM($G900:AV900)-SUM($G901:AV901)</f>
        <v>0</v>
      </c>
      <c r="AW902" s="164"/>
      <c r="AX902" s="165"/>
    </row>
    <row r="903" spans="1:50" collapsed="1" x14ac:dyDescent="0.2">
      <c r="A903" s="161" t="str">
        <f ca="1">Language!A$1097</f>
        <v>начисленные проценты</v>
      </c>
      <c r="B903" s="166"/>
      <c r="C903" s="146" t="str">
        <f t="shared" ca="1" si="3570"/>
        <v>тыс. руб.</v>
      </c>
      <c r="D903" s="155">
        <f>D895</f>
        <v>1</v>
      </c>
      <c r="E903" s="57" t="s">
        <v>1458</v>
      </c>
      <c r="F903" s="57" t="s">
        <v>753</v>
      </c>
      <c r="G903" s="163">
        <f>MAX((SUM($G900:G900)-SUM($G901:G901)+IF(AND($B898=1,G$2&gt;1),SUM($F903:F903)-SUM($F904:F904),0)), 0) * G896/12*Параметры!G$31</f>
        <v>0</v>
      </c>
      <c r="H903" s="163">
        <f>MAX((SUM($G900:H900)-SUM($G901:H901)+IF(AND($B898=1,H$2&gt;1),SUM($F903:G903)-SUM($F904:G904),0)), 0) * H896/12*Параметры!H$31</f>
        <v>81623.7</v>
      </c>
      <c r="I903" s="163">
        <f>MAX((SUM($G900:I900)-SUM($G901:I901)+IF(AND($B898=1,I$2&gt;1),SUM($F903:H903)-SUM($F904:H904),0)), 0) * I896/12*Параметры!I$31</f>
        <v>81623.7</v>
      </c>
      <c r="J903" s="163">
        <f>MAX((SUM($G900:J900)-SUM($G901:J901)+IF(AND($B898=1,J$2&gt;1),SUM($F903:I903)-SUM($F904:I904),0)), 0) * J896/12*Параметры!J$31</f>
        <v>81623.7</v>
      </c>
      <c r="K903" s="163">
        <f>MAX((SUM($G900:K900)-SUM($G901:K901)+IF(AND($B898=1,K$2&gt;1),SUM($F903:J903)-SUM($F904:J904),0)), 0) * K896/12*Параметры!K$31</f>
        <v>81623.7</v>
      </c>
      <c r="L903" s="163">
        <f>MAX((SUM($G900:L900)-SUM($G901:L901)+IF(AND($B898=1,L$2&gt;1),SUM($F903:K903)-SUM($F904:K904),0)), 0) * L896/12*Параметры!L$31</f>
        <v>81623.7</v>
      </c>
      <c r="M903" s="163">
        <f>MAX((SUM($G900:M900)-SUM($G901:M901)+IF(AND($B898=1,M$2&gt;1),SUM($F903:L903)-SUM($F904:L904),0)), 0) * M896/12*Параметры!M$31</f>
        <v>81623.7</v>
      </c>
      <c r="N903" s="163">
        <f>MAX((SUM($G900:N900)-SUM($G901:N901)+IF(AND($B898=1,N$2&gt;1),SUM($F903:M903)-SUM($F904:M904),0)), 0) * N896/12*Параметры!N$31</f>
        <v>81623.7</v>
      </c>
      <c r="O903" s="163">
        <f>MAX((SUM($G900:O900)-SUM($G901:O901)+IF(AND($B898=1,O$2&gt;1),SUM($F903:N903)-SUM($F904:N904),0)), 0) * O896/12*Параметры!O$31</f>
        <v>81623.7</v>
      </c>
      <c r="P903" s="163">
        <f>MAX((SUM($G900:P900)-SUM($G901:P901)+IF(AND($B898=1,P$2&gt;1),SUM($F903:O903)-SUM($F904:O904),0)), 0) * P896/12*Параметры!P$31</f>
        <v>81623.7</v>
      </c>
      <c r="Q903" s="163">
        <f>MAX((SUM($G900:Q900)-SUM($G901:Q901)+IF(AND($B898=1,Q$2&gt;1),SUM($F903:P903)-SUM($F904:P904),0)), 0) * Q896/12*Параметры!Q$31</f>
        <v>81623.7</v>
      </c>
      <c r="R903" s="163">
        <f>MAX((SUM($G900:R900)-SUM($G901:R901)+IF(AND($B898=1,R$2&gt;1),SUM($F903:Q903)-SUM($F904:Q904),0)), 0) * R896/12*Параметры!R$31</f>
        <v>81623.7</v>
      </c>
      <c r="S903" s="163">
        <f>MAX((SUM($G900:S900)-SUM($G901:S901)+IF(AND($B898=1,S$2&gt;1),SUM($F903:R903)-SUM($F904:R904),0)), 0) * S896/12*Параметры!S$31</f>
        <v>81623.7</v>
      </c>
      <c r="T903" s="163">
        <f>MAX((SUM($G900:T900)-SUM($G901:T901)+IF(AND($B898=1,T$2&gt;1),SUM($F903:S903)-SUM($F904:S904),0)), 0) * T896/12*Параметры!T$31</f>
        <v>81623.7</v>
      </c>
      <c r="U903" s="163">
        <f>MAX((SUM($G900:U900)-SUM($G901:U901)+IF(AND($B898=1,U$2&gt;1),SUM($F903:T903)-SUM($F904:T904),0)), 0) * U896/12*Параметры!U$31</f>
        <v>81623.7</v>
      </c>
      <c r="V903" s="163">
        <f>MAX((SUM($G900:V900)-SUM($G901:V901)+IF(AND($B898=1,V$2&gt;1),SUM($F903:U903)-SUM($F904:U904),0)), 0) * V896/12*Параметры!V$31</f>
        <v>80563.581685216413</v>
      </c>
      <c r="W903" s="163">
        <f>MAX((SUM($G900:W900)-SUM($G901:W901)+IF(AND($B898=1,W$2&gt;1),SUM($F903:V903)-SUM($F904:V904),0)), 0) * W896/12*Параметры!W$31</f>
        <v>76203.374461217376</v>
      </c>
      <c r="X903" s="163">
        <f>MAX((SUM($G900:X900)-SUM($G901:X901)+IF(AND($B898=1,X$2&gt;1),SUM($F903:W903)-SUM($F904:W904),0)), 0) * X896/12*Параметры!X$31</f>
        <v>72910.176888258356</v>
      </c>
      <c r="Y903" s="163">
        <f>MAX((SUM($G900:Y900)-SUM($G901:Y901)+IF(AND($B898=1,Y$2&gt;1),SUM($F903:X903)-SUM($F904:X904),0)), 0) * Y896/12*Параметры!Y$31</f>
        <v>72444.632728106153</v>
      </c>
      <c r="Z903" s="163">
        <f>MAX((SUM($G900:Z900)-SUM($G901:Z901)+IF(AND($B898=1,Z$2&gt;1),SUM($F903:Y903)-SUM($F904:Y904),0)), 0) * Z896/12*Параметры!Z$31</f>
        <v>70340.814062279576</v>
      </c>
      <c r="AA903" s="163">
        <f>MAX((SUM($G900:AA900)-SUM($G901:AA901)+IF(AND($B898=1,AA$2&gt;1),SUM($F903:Z903)-SUM($F904:Z904),0)), 0) * AA896/12*Параметры!AA$31</f>
        <v>63309.383172896283</v>
      </c>
      <c r="AB903" s="163">
        <f>MAX((SUM($G900:AB900)-SUM($G901:AB901)+IF(AND($B898=1,AB$2&gt;1),SUM($F903:AA903)-SUM($F904:AA904),0)), 0) * AB896/12*Параметры!AB$31</f>
        <v>57381.179811790062</v>
      </c>
      <c r="AC903" s="163">
        <f>MAX((SUM($G900:AC900)-SUM($G901:AC901)+IF(AND($B898=1,AC$2&gt;1),SUM($F903:AB903)-SUM($F904:AB904),0)), 0) * AC896/12*Параметры!AC$31</f>
        <v>54475.256799968745</v>
      </c>
      <c r="AD903" s="163">
        <f>MAX((SUM($G900:AD900)-SUM($G901:AD901)+IF(AND($B898=1,AD$2&gt;1),SUM($F903:AC903)-SUM($F904:AC904),0)), 0) * AD896/12*Параметры!AD$31</f>
        <v>50332.244897342818</v>
      </c>
      <c r="AE903" s="163">
        <f>MAX((SUM($G900:AE900)-SUM($G901:AE901)+IF(AND($B898=1,AE$2&gt;1),SUM($F903:AD903)-SUM($F904:AD904),0)), 0) * AE896/12*Параметры!AE$31</f>
        <v>42385.777619985973</v>
      </c>
      <c r="AF903" s="163">
        <f>MAX((SUM($G900:AF900)-SUM($G901:AF901)+IF(AND($B898=1,AF$2&gt;1),SUM($F903:AE903)-SUM($F904:AE904),0)), 0) * AF896/12*Параметры!AF$31</f>
        <v>35599.753111931474</v>
      </c>
      <c r="AG903" s="163">
        <f>MAX((SUM($G900:AG900)-SUM($G901:AG901)+IF(AND($B898=1,AG$2&gt;1),SUM($F903:AF903)-SUM($F904:AF904),0)), 0) * AG896/12*Параметры!AG$31</f>
        <v>32080.009716452128</v>
      </c>
      <c r="AH903" s="163">
        <f>MAX((SUM($G900:AH900)-SUM($G901:AH901)+IF(AND($B898=1,AH$2&gt;1),SUM($F903:AG903)-SUM($F904:AG904),0)), 0) * AH896/12*Параметры!AH$31</f>
        <v>27310.067962892499</v>
      </c>
      <c r="AI903" s="163">
        <f>MAX((SUM($G900:AI900)-SUM($G901:AI901)+IF(AND($B898=1,AI$2&gt;1),SUM($F903:AH903)-SUM($F904:AH904),0)), 0) * AI896/12*Параметры!AI$31</f>
        <v>18502.88935820261</v>
      </c>
      <c r="AJ903" s="163">
        <f>MAX((SUM($G900:AJ900)-SUM($G901:AJ901)+IF(AND($B898=1,AJ$2&gt;1),SUM($F903:AI903)-SUM($F904:AI904),0)), 0) * AJ896/12*Параметры!AJ$31</f>
        <v>10920.123858288463</v>
      </c>
      <c r="AK903" s="163">
        <f>MAX((SUM($G900:AK900)-SUM($G901:AK901)+IF(AND($B898=1,AK$2&gt;1),SUM($F903:AJ903)-SUM($F904:AJ904),0)), 0) * AK896/12*Параметры!AK$31</f>
        <v>6846.0433318781834</v>
      </c>
      <c r="AL903" s="163">
        <f>MAX((SUM($G900:AL900)-SUM($G901:AL901)+IF(AND($B898=1,AL$2&gt;1),SUM($F903:AK903)-SUM($F904:AK904),0)), 0) * AL896/12*Параметры!AL$31</f>
        <v>1474.7826981396122</v>
      </c>
      <c r="AM903" s="163">
        <f>MAX((SUM($G900:AM900)-SUM($G901:AM901)+IF(AND($B898=1,AM$2&gt;1),SUM($F903:AL903)-SUM($F904:AL904),0)), 0) * AM896/12*Параметры!AM$31</f>
        <v>0</v>
      </c>
      <c r="AN903" s="163">
        <f>MAX((SUM($G900:AN900)-SUM($G901:AN901)+IF(AND($B898=1,AN$2&gt;1),SUM($F903:AM903)-SUM($F904:AM904),0)), 0) * AN896/12*Параметры!AN$31</f>
        <v>0</v>
      </c>
      <c r="AO903" s="163">
        <f>MAX((SUM($G900:AO900)-SUM($G901:AO901)+IF(AND($B898=1,AO$2&gt;1),SUM($F903:AN903)-SUM($F904:AN904),0)), 0) * AO896/12*Параметры!AO$31</f>
        <v>0</v>
      </c>
      <c r="AP903" s="163">
        <f>MAX((SUM($G900:AP900)-SUM($G901:AP901)+IF(AND($B898=1,AP$2&gt;1),SUM($F903:AO903)-SUM($F904:AO904),0)), 0) * AP896/12*Параметры!AP$31</f>
        <v>0</v>
      </c>
      <c r="AQ903" s="163">
        <f>MAX((SUM($G900:AQ900)-SUM($G901:AQ901)+IF(AND($B898=1,AQ$2&gt;1),SUM($F903:AP903)-SUM($F904:AP904),0)), 0) * AQ896/12*Параметры!AQ$31</f>
        <v>0</v>
      </c>
      <c r="AR903" s="163">
        <f>MAX((SUM($G900:AR900)-SUM($G901:AR901)+IF(AND($B898=1,AR$2&gt;1),SUM($F903:AQ903)-SUM($F904:AQ904),0)), 0) * AR896/12*Параметры!AR$31</f>
        <v>0</v>
      </c>
      <c r="AS903" s="163">
        <f>MAX((SUM($G900:AS900)-SUM($G901:AS901)+IF(AND($B898=1,AS$2&gt;1),SUM($F903:AR903)-SUM($F904:AR904),0)), 0) * AS896/12*Параметры!AS$31</f>
        <v>0</v>
      </c>
      <c r="AT903" s="163">
        <f>MAX((SUM($G900:AT900)-SUM($G901:AT901)+IF(AND($B898=1,AT$2&gt;1),SUM($F903:AS903)-SUM($F904:AS904),0)), 0) * AT896/12*Параметры!AT$31</f>
        <v>0</v>
      </c>
      <c r="AU903" s="163">
        <f>MAX((SUM($G900:AU900)-SUM($G901:AU901)+IF(AND($B898=1,AU$2&gt;1),SUM($F903:AT903)-SUM($F904:AT904),0)), 0) * AU896/12*Параметры!AU$31</f>
        <v>0</v>
      </c>
      <c r="AV903" s="163">
        <f>MAX((SUM($G900:AV900)-SUM($G901:AV901)+IF(AND($B898=1,AV$2&gt;1),SUM($F903:AU903)-SUM($F904:AU904),0)), 0) * AV896/12*Параметры!AV$31</f>
        <v>0</v>
      </c>
      <c r="AW903" s="164"/>
      <c r="AX903" s="165">
        <f>SUM(G903:AW903)</f>
        <v>1915811.8921648464</v>
      </c>
    </row>
    <row r="904" spans="1:50" hidden="1" outlineLevel="1" x14ac:dyDescent="0.2">
      <c r="A904" s="167" t="str">
        <f ca="1">Language!A$1098</f>
        <v>выплаченные проценты</v>
      </c>
      <c r="B904" s="100"/>
      <c r="C904" s="82" t="str">
        <f t="shared" ca="1" si="3570"/>
        <v>тыс. руб.</v>
      </c>
      <c r="D904" s="155">
        <f>D895</f>
        <v>1</v>
      </c>
      <c r="E904" s="57" t="s">
        <v>1459</v>
      </c>
      <c r="F904" s="57" t="s">
        <v>753</v>
      </c>
      <c r="G904" s="316">
        <f t="shared" ref="G904:AV904" si="3571">IF(G$2&gt;=G905+$B897,G903,0)</f>
        <v>0</v>
      </c>
      <c r="H904" s="316">
        <f t="shared" si="3571"/>
        <v>81623.7</v>
      </c>
      <c r="I904" s="316">
        <f t="shared" si="3571"/>
        <v>81623.7</v>
      </c>
      <c r="J904" s="316">
        <f t="shared" si="3571"/>
        <v>81623.7</v>
      </c>
      <c r="K904" s="316">
        <f t="shared" si="3571"/>
        <v>81623.7</v>
      </c>
      <c r="L904" s="316">
        <f t="shared" si="3571"/>
        <v>81623.7</v>
      </c>
      <c r="M904" s="316">
        <f t="shared" si="3571"/>
        <v>81623.7</v>
      </c>
      <c r="N904" s="316">
        <f t="shared" si="3571"/>
        <v>81623.7</v>
      </c>
      <c r="O904" s="316">
        <f t="shared" si="3571"/>
        <v>81623.7</v>
      </c>
      <c r="P904" s="316">
        <f t="shared" si="3571"/>
        <v>81623.7</v>
      </c>
      <c r="Q904" s="316">
        <f t="shared" si="3571"/>
        <v>81623.7</v>
      </c>
      <c r="R904" s="316">
        <f t="shared" si="3571"/>
        <v>81623.7</v>
      </c>
      <c r="S904" s="316">
        <f t="shared" si="3571"/>
        <v>81623.7</v>
      </c>
      <c r="T904" s="316">
        <f t="shared" si="3571"/>
        <v>81623.7</v>
      </c>
      <c r="U904" s="316">
        <f t="shared" si="3571"/>
        <v>81623.7</v>
      </c>
      <c r="V904" s="316">
        <f t="shared" si="3571"/>
        <v>80563.581685216413</v>
      </c>
      <c r="W904" s="316">
        <f t="shared" si="3571"/>
        <v>76203.374461217376</v>
      </c>
      <c r="X904" s="316">
        <f t="shared" si="3571"/>
        <v>72910.176888258356</v>
      </c>
      <c r="Y904" s="316">
        <f t="shared" si="3571"/>
        <v>72444.632728106153</v>
      </c>
      <c r="Z904" s="316">
        <f t="shared" si="3571"/>
        <v>70340.814062279576</v>
      </c>
      <c r="AA904" s="316">
        <f t="shared" si="3571"/>
        <v>63309.383172896283</v>
      </c>
      <c r="AB904" s="316">
        <f t="shared" si="3571"/>
        <v>57381.179811790062</v>
      </c>
      <c r="AC904" s="316">
        <f t="shared" si="3571"/>
        <v>54475.256799968745</v>
      </c>
      <c r="AD904" s="316">
        <f t="shared" si="3571"/>
        <v>50332.244897342818</v>
      </c>
      <c r="AE904" s="316">
        <f t="shared" si="3571"/>
        <v>42385.777619985973</v>
      </c>
      <c r="AF904" s="316">
        <f t="shared" si="3571"/>
        <v>35599.753111931474</v>
      </c>
      <c r="AG904" s="316">
        <f t="shared" si="3571"/>
        <v>32080.009716452128</v>
      </c>
      <c r="AH904" s="316">
        <f t="shared" si="3571"/>
        <v>27310.067962892499</v>
      </c>
      <c r="AI904" s="316">
        <f t="shared" si="3571"/>
        <v>18502.88935820261</v>
      </c>
      <c r="AJ904" s="316">
        <f t="shared" si="3571"/>
        <v>10920.123858288463</v>
      </c>
      <c r="AK904" s="316">
        <f t="shared" si="3571"/>
        <v>6846.0433318781834</v>
      </c>
      <c r="AL904" s="316">
        <f t="shared" si="3571"/>
        <v>1474.7826981396122</v>
      </c>
      <c r="AM904" s="316">
        <f t="shared" si="3571"/>
        <v>0</v>
      </c>
      <c r="AN904" s="316">
        <f t="shared" si="3571"/>
        <v>0</v>
      </c>
      <c r="AO904" s="316">
        <f t="shared" si="3571"/>
        <v>0</v>
      </c>
      <c r="AP904" s="316">
        <f t="shared" si="3571"/>
        <v>0</v>
      </c>
      <c r="AQ904" s="316">
        <f t="shared" si="3571"/>
        <v>0</v>
      </c>
      <c r="AR904" s="316">
        <f t="shared" si="3571"/>
        <v>0</v>
      </c>
      <c r="AS904" s="316">
        <f t="shared" si="3571"/>
        <v>0</v>
      </c>
      <c r="AT904" s="316">
        <f t="shared" si="3571"/>
        <v>0</v>
      </c>
      <c r="AU904" s="316">
        <f t="shared" si="3571"/>
        <v>0</v>
      </c>
      <c r="AV904" s="316">
        <f t="shared" si="3571"/>
        <v>0</v>
      </c>
      <c r="AW904" s="168"/>
      <c r="AX904" s="169">
        <f>SUM(G904:AW904)</f>
        <v>1915811.8921648464</v>
      </c>
    </row>
    <row r="905" spans="1:50" hidden="1" outlineLevel="1" x14ac:dyDescent="0.2">
      <c r="A905" s="167" t="str">
        <f ca="1">Language!A$1099</f>
        <v>период начала кредитования</v>
      </c>
      <c r="B905" s="100"/>
      <c r="C905" s="82" t="str">
        <f ca="1">Language!$A$1452</f>
        <v>период</v>
      </c>
      <c r="D905" s="100"/>
      <c r="F905" s="57" t="s">
        <v>1534</v>
      </c>
      <c r="G905" s="232">
        <f>IF(AND(G$2=1,G900&gt;0),1,IF(AND(F905=0,G900&lt;&gt;0,SUM($E900:F900)=0),G$2,IF(G$2=1,0,F905)))</f>
        <v>0</v>
      </c>
      <c r="H905" s="232">
        <f>IF(AND(H$2=1,H900&gt;0),1,IF(AND(G905=0,H900&lt;&gt;0,SUM($E900:G900)=0),H$2,IF(H$2=1,0,G905)))</f>
        <v>2</v>
      </c>
      <c r="I905" s="232">
        <f>IF(AND(I$2=1,I900&gt;0),1,IF(AND(H905=0,I900&lt;&gt;0,SUM($E900:H900)=0),I$2,IF(I$2=1,0,H905)))</f>
        <v>2</v>
      </c>
      <c r="J905" s="232">
        <f>IF(AND(J$2=1,J900&gt;0),1,IF(AND(I905=0,J900&lt;&gt;0,SUM($E900:I900)=0),J$2,IF(J$2=1,0,I905)))</f>
        <v>2</v>
      </c>
      <c r="K905" s="232">
        <f>IF(AND(K$2=1,K900&gt;0),1,IF(AND(J905=0,K900&lt;&gt;0,SUM($E900:J900)=0),K$2,IF(K$2=1,0,J905)))</f>
        <v>2</v>
      </c>
      <c r="L905" s="232">
        <f>IF(AND(L$2=1,L900&gt;0),1,IF(AND(K905=0,L900&lt;&gt;0,SUM($E900:K900)=0),L$2,IF(L$2=1,0,K905)))</f>
        <v>2</v>
      </c>
      <c r="M905" s="232">
        <f>IF(AND(M$2=1,M900&gt;0),1,IF(AND(L905=0,M900&lt;&gt;0,SUM($E900:L900)=0),M$2,IF(M$2=1,0,L905)))</f>
        <v>2</v>
      </c>
      <c r="N905" s="232">
        <f>IF(AND(N$2=1,N900&gt;0),1,IF(AND(M905=0,N900&lt;&gt;0,SUM($E900:M900)=0),N$2,IF(N$2=1,0,M905)))</f>
        <v>2</v>
      </c>
      <c r="O905" s="232">
        <f>IF(AND(O$2=1,O900&gt;0),1,IF(AND(N905=0,O900&lt;&gt;0,SUM($E900:N900)=0),O$2,IF(O$2=1,0,N905)))</f>
        <v>2</v>
      </c>
      <c r="P905" s="232">
        <f>IF(AND(P$2=1,P900&gt;0),1,IF(AND(O905=0,P900&lt;&gt;0,SUM($E900:O900)=0),P$2,IF(P$2=1,0,O905)))</f>
        <v>2</v>
      </c>
      <c r="Q905" s="232">
        <f>IF(AND(Q$2=1,Q900&gt;0),1,IF(AND(P905=0,Q900&lt;&gt;0,SUM($E900:P900)=0),Q$2,IF(Q$2=1,0,P905)))</f>
        <v>2</v>
      </c>
      <c r="R905" s="232">
        <f>IF(AND(R$2=1,R900&gt;0),1,IF(AND(Q905=0,R900&lt;&gt;0,SUM($E900:Q900)=0),R$2,IF(R$2=1,0,Q905)))</f>
        <v>2</v>
      </c>
      <c r="S905" s="232">
        <f>IF(AND(S$2=1,S900&gt;0),1,IF(AND(R905=0,S900&lt;&gt;0,SUM($E900:R900)=0),S$2,IF(S$2=1,0,R905)))</f>
        <v>2</v>
      </c>
      <c r="T905" s="232">
        <f>IF(AND(T$2=1,T900&gt;0),1,IF(AND(S905=0,T900&lt;&gt;0,SUM($E900:S900)=0),T$2,IF(T$2=1,0,S905)))</f>
        <v>2</v>
      </c>
      <c r="U905" s="232">
        <f>IF(AND(U$2=1,U900&gt;0),1,IF(AND(T905=0,U900&lt;&gt;0,SUM($E900:T900)=0),U$2,IF(U$2=1,0,T905)))</f>
        <v>2</v>
      </c>
      <c r="V905" s="232">
        <f>IF(AND(V$2=1,V900&gt;0),1,IF(AND(U905=0,V900&lt;&gt;0,SUM($E900:U900)=0),V$2,IF(V$2=1,0,U905)))</f>
        <v>2</v>
      </c>
      <c r="W905" s="232">
        <f>IF(AND(W$2=1,W900&gt;0),1,IF(AND(V905=0,W900&lt;&gt;0,SUM($E900:V900)=0),W$2,IF(W$2=1,0,V905)))</f>
        <v>2</v>
      </c>
      <c r="X905" s="232">
        <f>IF(AND(X$2=1,X900&gt;0),1,IF(AND(W905=0,X900&lt;&gt;0,SUM($E900:W900)=0),X$2,IF(X$2=1,0,W905)))</f>
        <v>2</v>
      </c>
      <c r="Y905" s="232">
        <f>IF(AND(Y$2=1,Y900&gt;0),1,IF(AND(X905=0,Y900&lt;&gt;0,SUM($E900:X900)=0),Y$2,IF(Y$2=1,0,X905)))</f>
        <v>2</v>
      </c>
      <c r="Z905" s="232">
        <f>IF(AND(Z$2=1,Z900&gt;0),1,IF(AND(Y905=0,Z900&lt;&gt;0,SUM($E900:Y900)=0),Z$2,IF(Z$2=1,0,Y905)))</f>
        <v>2</v>
      </c>
      <c r="AA905" s="232">
        <f>IF(AND(AA$2=1,AA900&gt;0),1,IF(AND(Z905=0,AA900&lt;&gt;0,SUM($E900:Z900)=0),AA$2,IF(AA$2=1,0,Z905)))</f>
        <v>2</v>
      </c>
      <c r="AB905" s="232">
        <f>IF(AND(AB$2=1,AB900&gt;0),1,IF(AND(AA905=0,AB900&lt;&gt;0,SUM($E900:AA900)=0),AB$2,IF(AB$2=1,0,AA905)))</f>
        <v>2</v>
      </c>
      <c r="AC905" s="232">
        <f>IF(AND(AC$2=1,AC900&gt;0),1,IF(AND(AB905=0,AC900&lt;&gt;0,SUM($E900:AB900)=0),AC$2,IF(AC$2=1,0,AB905)))</f>
        <v>2</v>
      </c>
      <c r="AD905" s="232">
        <f>IF(AND(AD$2=1,AD900&gt;0),1,IF(AND(AC905=0,AD900&lt;&gt;0,SUM($E900:AC900)=0),AD$2,IF(AD$2=1,0,AC905)))</f>
        <v>2</v>
      </c>
      <c r="AE905" s="232">
        <f>IF(AND(AE$2=1,AE900&gt;0),1,IF(AND(AD905=0,AE900&lt;&gt;0,SUM($E900:AD900)=0),AE$2,IF(AE$2=1,0,AD905)))</f>
        <v>2</v>
      </c>
      <c r="AF905" s="232">
        <f>IF(AND(AF$2=1,AF900&gt;0),1,IF(AND(AE905=0,AF900&lt;&gt;0,SUM($E900:AE900)=0),AF$2,IF(AF$2=1,0,AE905)))</f>
        <v>2</v>
      </c>
      <c r="AG905" s="232">
        <f>IF(AND(AG$2=1,AG900&gt;0),1,IF(AND(AF905=0,AG900&lt;&gt;0,SUM($E900:AF900)=0),AG$2,IF(AG$2=1,0,AF905)))</f>
        <v>2</v>
      </c>
      <c r="AH905" s="232">
        <f>IF(AND(AH$2=1,AH900&gt;0),1,IF(AND(AG905=0,AH900&lt;&gt;0,SUM($E900:AG900)=0),AH$2,IF(AH$2=1,0,AG905)))</f>
        <v>2</v>
      </c>
      <c r="AI905" s="232">
        <f>IF(AND(AI$2=1,AI900&gt;0),1,IF(AND(AH905=0,AI900&lt;&gt;0,SUM($E900:AH900)=0),AI$2,IF(AI$2=1,0,AH905)))</f>
        <v>2</v>
      </c>
      <c r="AJ905" s="232">
        <f>IF(AND(AJ$2=1,AJ900&gt;0),1,IF(AND(AI905=0,AJ900&lt;&gt;0,SUM($E900:AI900)=0),AJ$2,IF(AJ$2=1,0,AI905)))</f>
        <v>2</v>
      </c>
      <c r="AK905" s="232">
        <f>IF(AND(AK$2=1,AK900&gt;0),1,IF(AND(AJ905=0,AK900&lt;&gt;0,SUM($E900:AJ900)=0),AK$2,IF(AK$2=1,0,AJ905)))</f>
        <v>2</v>
      </c>
      <c r="AL905" s="232">
        <f>IF(AND(AL$2=1,AL900&gt;0),1,IF(AND(AK905=0,AL900&lt;&gt;0,SUM($E900:AK900)=0),AL$2,IF(AL$2=1,0,AK905)))</f>
        <v>2</v>
      </c>
      <c r="AM905" s="232">
        <f>IF(AND(AM$2=1,AM900&gt;0),1,IF(AND(AL905=0,AM900&lt;&gt;0,SUM($E900:AL900)=0),AM$2,IF(AM$2=1,0,AL905)))</f>
        <v>2</v>
      </c>
      <c r="AN905" s="232">
        <f>IF(AND(AN$2=1,AN900&gt;0),1,IF(AND(AM905=0,AN900&lt;&gt;0,SUM($E900:AM900)=0),AN$2,IF(AN$2=1,0,AM905)))</f>
        <v>2</v>
      </c>
      <c r="AO905" s="232">
        <f>IF(AND(AO$2=1,AO900&gt;0),1,IF(AND(AN905=0,AO900&lt;&gt;0,SUM($E900:AN900)=0),AO$2,IF(AO$2=1,0,AN905)))</f>
        <v>2</v>
      </c>
      <c r="AP905" s="232">
        <f>IF(AND(AP$2=1,AP900&gt;0),1,IF(AND(AO905=0,AP900&lt;&gt;0,SUM($E900:AO900)=0),AP$2,IF(AP$2=1,0,AO905)))</f>
        <v>2</v>
      </c>
      <c r="AQ905" s="232">
        <f>IF(AND(AQ$2=1,AQ900&gt;0),1,IF(AND(AP905=0,AQ900&lt;&gt;0,SUM($E900:AP900)=0),AQ$2,IF(AQ$2=1,0,AP905)))</f>
        <v>2</v>
      </c>
      <c r="AR905" s="232">
        <f>IF(AND(AR$2=1,AR900&gt;0),1,IF(AND(AQ905=0,AR900&lt;&gt;0,SUM($E900:AQ900)=0),AR$2,IF(AR$2=1,0,AQ905)))</f>
        <v>2</v>
      </c>
      <c r="AS905" s="232">
        <f>IF(AND(AS$2=1,AS900&gt;0),1,IF(AND(AR905=0,AS900&lt;&gt;0,SUM($E900:AR900)=0),AS$2,IF(AS$2=1,0,AR905)))</f>
        <v>2</v>
      </c>
      <c r="AT905" s="232">
        <f>IF(AND(AT$2=1,AT900&gt;0),1,IF(AND(AS905=0,AT900&lt;&gt;0,SUM($E900:AS900)=0),AT$2,IF(AT$2=1,0,AS905)))</f>
        <v>2</v>
      </c>
      <c r="AU905" s="232">
        <f>IF(AND(AU$2=1,AU900&gt;0),1,IF(AND(AT905=0,AU900&lt;&gt;0,SUM($E900:AT900)=0),AU$2,IF(AU$2=1,0,AT905)))</f>
        <v>2</v>
      </c>
      <c r="AV905" s="232">
        <f>IF(AND(AV$2=1,AV900&gt;0),1,IF(AND(AU905=0,AV900&lt;&gt;0,SUM($E900:AU900)=0),AV$2,IF(AV$2=1,0,AU905)))</f>
        <v>2</v>
      </c>
      <c r="AW905" s="194"/>
      <c r="AX905" s="169"/>
    </row>
    <row r="906" spans="1:50" hidden="1" outlineLevel="1" x14ac:dyDescent="0.2">
      <c r="A906" s="167" t="str">
        <f ca="1">Language!A$1093</f>
        <v>срок кредитования</v>
      </c>
      <c r="B906" s="100"/>
      <c r="C906" s="82" t="str">
        <f ca="1">Language!A$46</f>
        <v>мес.</v>
      </c>
      <c r="D906" s="100"/>
      <c r="F906" s="57" t="s">
        <v>753</v>
      </c>
      <c r="G906" s="232">
        <f ca="1">IF(G905=0,0,IF(SUM(OFFSET(G902,0,-1):OFFSET(G902,0,Prj_Len-G$2))=0,0,Параметры!G$31))</f>
        <v>0</v>
      </c>
      <c r="H906" s="232">
        <f ca="1">IF(H905=0,0,IF(SUM(OFFSET(H902,0,-1):OFFSET(H902,0,Prj_Len-H$2))=0,0,Параметры!H$31))</f>
        <v>3</v>
      </c>
      <c r="I906" s="232">
        <f ca="1">IF(I905=0,0,IF(SUM(OFFSET(I902,0,-1):OFFSET(I902,0,Prj_Len-I$2))=0,0,Параметры!I$31))</f>
        <v>3</v>
      </c>
      <c r="J906" s="232">
        <f ca="1">IF(J905=0,0,IF(SUM(OFFSET(J902,0,-1):OFFSET(J902,0,Prj_Len-J$2))=0,0,Параметры!J$31))</f>
        <v>3</v>
      </c>
      <c r="K906" s="232">
        <f ca="1">IF(K905=0,0,IF(SUM(OFFSET(K902,0,-1):OFFSET(K902,0,Prj_Len-K$2))=0,0,Параметры!K$31))</f>
        <v>3</v>
      </c>
      <c r="L906" s="232">
        <f ca="1">IF(L905=0,0,IF(SUM(OFFSET(L902,0,-1):OFFSET(L902,0,Prj_Len-L$2))=0,0,Параметры!L$31))</f>
        <v>3</v>
      </c>
      <c r="M906" s="232">
        <f ca="1">IF(M905=0,0,IF(SUM(OFFSET(M902,0,-1):OFFSET(M902,0,Prj_Len-M$2))=0,0,Параметры!M$31))</f>
        <v>3</v>
      </c>
      <c r="N906" s="232">
        <f ca="1">IF(N905=0,0,IF(SUM(OFFSET(N902,0,-1):OFFSET(N902,0,Prj_Len-N$2))=0,0,Параметры!N$31))</f>
        <v>3</v>
      </c>
      <c r="O906" s="232">
        <f ca="1">IF(O905=0,0,IF(SUM(OFFSET(O902,0,-1):OFFSET(O902,0,Prj_Len-O$2))=0,0,Параметры!O$31))</f>
        <v>3</v>
      </c>
      <c r="P906" s="232">
        <f ca="1">IF(P905=0,0,IF(SUM(OFFSET(P902,0,-1):OFFSET(P902,0,Prj_Len-P$2))=0,0,Параметры!P$31))</f>
        <v>3</v>
      </c>
      <c r="Q906" s="232">
        <f ca="1">IF(Q905=0,0,IF(SUM(OFFSET(Q902,0,-1):OFFSET(Q902,0,Prj_Len-Q$2))=0,0,Параметры!Q$31))</f>
        <v>3</v>
      </c>
      <c r="R906" s="232">
        <f ca="1">IF(R905=0,0,IF(SUM(OFFSET(R902,0,-1):OFFSET(R902,0,Prj_Len-R$2))=0,0,Параметры!R$31))</f>
        <v>3</v>
      </c>
      <c r="S906" s="232">
        <f ca="1">IF(S905=0,0,IF(SUM(OFFSET(S902,0,-1):OFFSET(S902,0,Prj_Len-S$2))=0,0,Параметры!S$31))</f>
        <v>3</v>
      </c>
      <c r="T906" s="232">
        <f ca="1">IF(T905=0,0,IF(SUM(OFFSET(T902,0,-1):OFFSET(T902,0,Prj_Len-T$2))=0,0,Параметры!T$31))</f>
        <v>3</v>
      </c>
      <c r="U906" s="232">
        <f ca="1">IF(U905=0,0,IF(SUM(OFFSET(U902,0,-1):OFFSET(U902,0,Prj_Len-U$2))=0,0,Параметры!U$31))</f>
        <v>3</v>
      </c>
      <c r="V906" s="232">
        <f ca="1">IF(V905=0,0,IF(SUM(OFFSET(V902,0,-1):OFFSET(V902,0,Prj_Len-V$2))=0,0,Параметры!V$31))</f>
        <v>3</v>
      </c>
      <c r="W906" s="232">
        <f ca="1">IF(W905=0,0,IF(SUM(OFFSET(W902,0,-1):OFFSET(W902,0,Prj_Len-W$2))=0,0,Параметры!W$31))</f>
        <v>3</v>
      </c>
      <c r="X906" s="232">
        <f ca="1">IF(X905=0,0,IF(SUM(OFFSET(X902,0,-1):OFFSET(X902,0,Prj_Len-X$2))=0,0,Параметры!X$31))</f>
        <v>3</v>
      </c>
      <c r="Y906" s="232">
        <f ca="1">IF(Y905=0,0,IF(SUM(OFFSET(Y902,0,-1):OFFSET(Y902,0,Prj_Len-Y$2))=0,0,Параметры!Y$31))</f>
        <v>3</v>
      </c>
      <c r="Z906" s="232">
        <f ca="1">IF(Z905=0,0,IF(SUM(OFFSET(Z902,0,-1):OFFSET(Z902,0,Prj_Len-Z$2))=0,0,Параметры!Z$31))</f>
        <v>3</v>
      </c>
      <c r="AA906" s="232">
        <f ca="1">IF(AA905=0,0,IF(SUM(OFFSET(AA902,0,-1):OFFSET(AA902,0,Prj_Len-AA$2))=0,0,Параметры!AA$31))</f>
        <v>3</v>
      </c>
      <c r="AB906" s="232">
        <f ca="1">IF(AB905=0,0,IF(SUM(OFFSET(AB902,0,-1):OFFSET(AB902,0,Prj_Len-AB$2))=0,0,Параметры!AB$31))</f>
        <v>3</v>
      </c>
      <c r="AC906" s="232">
        <f ca="1">IF(AC905=0,0,IF(SUM(OFFSET(AC902,0,-1):OFFSET(AC902,0,Prj_Len-AC$2))=0,0,Параметры!AC$31))</f>
        <v>3</v>
      </c>
      <c r="AD906" s="232">
        <f ca="1">IF(AD905=0,0,IF(SUM(OFFSET(AD902,0,-1):OFFSET(AD902,0,Prj_Len-AD$2))=0,0,Параметры!AD$31))</f>
        <v>3</v>
      </c>
      <c r="AE906" s="232">
        <f ca="1">IF(AE905=0,0,IF(SUM(OFFSET(AE902,0,-1):OFFSET(AE902,0,Prj_Len-AE$2))=0,0,Параметры!AE$31))</f>
        <v>3</v>
      </c>
      <c r="AF906" s="232">
        <f ca="1">IF(AF905=0,0,IF(SUM(OFFSET(AF902,0,-1):OFFSET(AF902,0,Prj_Len-AF$2))=0,0,Параметры!AF$31))</f>
        <v>3</v>
      </c>
      <c r="AG906" s="232">
        <f ca="1">IF(AG905=0,0,IF(SUM(OFFSET(AG902,0,-1):OFFSET(AG902,0,Prj_Len-AG$2))=0,0,Параметры!AG$31))</f>
        <v>3</v>
      </c>
      <c r="AH906" s="232">
        <f ca="1">IF(AH905=0,0,IF(SUM(OFFSET(AH902,0,-1):OFFSET(AH902,0,Prj_Len-AH$2))=0,0,Параметры!AH$31))</f>
        <v>3</v>
      </c>
      <c r="AI906" s="232">
        <f ca="1">IF(AI905=0,0,IF(SUM(OFFSET(AI902,0,-1):OFFSET(AI902,0,Prj_Len-AI$2))=0,0,Параметры!AI$31))</f>
        <v>3</v>
      </c>
      <c r="AJ906" s="232">
        <f ca="1">IF(AJ905=0,0,IF(SUM(OFFSET(AJ902,0,-1):OFFSET(AJ902,0,Prj_Len-AJ$2))=0,0,Параметры!AJ$31))</f>
        <v>3</v>
      </c>
      <c r="AK906" s="232">
        <f ca="1">IF(AK905=0,0,IF(SUM(OFFSET(AK902,0,-1):OFFSET(AK902,0,Prj_Len-AK$2))=0,0,Параметры!AK$31))</f>
        <v>3</v>
      </c>
      <c r="AL906" s="232">
        <f ca="1">IF(AL905=0,0,IF(SUM(OFFSET(AL902,0,-1):OFFSET(AL902,0,Prj_Len-AL$2))=0,0,Параметры!AL$31))</f>
        <v>3</v>
      </c>
      <c r="AM906" s="232">
        <f ca="1">IF(AM905=0,0,IF(SUM(OFFSET(AM902,0,-1):OFFSET(AM902,0,Prj_Len-AM$2))=0,0,Параметры!AM$31))</f>
        <v>3</v>
      </c>
      <c r="AN906" s="232">
        <f ca="1">IF(AN905=0,0,IF(SUM(OFFSET(AN902,0,-1):OFFSET(AN902,0,Prj_Len-AN$2))=0,0,Параметры!AN$31))</f>
        <v>0</v>
      </c>
      <c r="AO906" s="232">
        <f ca="1">IF(AO905=0,0,IF(SUM(OFFSET(AO902,0,-1):OFFSET(AO902,0,Prj_Len-AO$2))=0,0,Параметры!AO$31))</f>
        <v>0</v>
      </c>
      <c r="AP906" s="232">
        <f ca="1">IF(AP905=0,0,IF(SUM(OFFSET(AP902,0,-1):OFFSET(AP902,0,Prj_Len-AP$2))=0,0,Параметры!AP$31))</f>
        <v>0</v>
      </c>
      <c r="AQ906" s="232">
        <f ca="1">IF(AQ905=0,0,IF(SUM(OFFSET(AQ902,0,-1):OFFSET(AQ902,0,Prj_Len-AQ$2))=0,0,Параметры!AQ$31))</f>
        <v>0</v>
      </c>
      <c r="AR906" s="232">
        <f ca="1">IF(AR905=0,0,IF(SUM(OFFSET(AR902,0,-1):OFFSET(AR902,0,Prj_Len-AR$2))=0,0,Параметры!AR$31))</f>
        <v>0</v>
      </c>
      <c r="AS906" s="232">
        <f ca="1">IF(AS905=0,0,IF(SUM(OFFSET(AS902,0,-1):OFFSET(AS902,0,Prj_Len-AS$2))=0,0,Параметры!AS$31))</f>
        <v>0</v>
      </c>
      <c r="AT906" s="232">
        <f ca="1">IF(AT905=0,0,IF(SUM(OFFSET(AT902,0,-1):OFFSET(AT902,0,Prj_Len-AT$2))=0,0,Параметры!AT$31))</f>
        <v>0</v>
      </c>
      <c r="AU906" s="232">
        <f ca="1">IF(AU905=0,0,IF(SUM(OFFSET(AU902,0,-1):OFFSET(AU902,0,Prj_Len-AU$2))=0,0,Параметры!AU$31))</f>
        <v>0</v>
      </c>
      <c r="AV906" s="232">
        <f ca="1">IF(AV905=0,0,IF(SUM(OFFSET(AV902,0,-1):OFFSET(AV902,0,Prj_Len-AV$2))=0,0,Параметры!AV$31))</f>
        <v>0</v>
      </c>
      <c r="AW906" s="194"/>
      <c r="AX906" s="169">
        <f ca="1">SUM(G906:AW906)</f>
        <v>96</v>
      </c>
    </row>
    <row r="907" spans="1:50" hidden="1" outlineLevel="1" x14ac:dyDescent="0.2">
      <c r="A907" s="167" t="str">
        <f ca="1">Language!A$1100</f>
        <v>отнесение процентов на стоимость основных средств</v>
      </c>
      <c r="B907" s="330">
        <v>0</v>
      </c>
      <c r="C907" s="82" t="str">
        <f ca="1">IF(B907=1,Language!$A$1447,Language!$A$1448)</f>
        <v>Нет</v>
      </c>
      <c r="D907" s="155">
        <v>1</v>
      </c>
      <c r="E907" s="57" t="s">
        <v>1546</v>
      </c>
      <c r="F907" s="57" t="s">
        <v>753</v>
      </c>
      <c r="G907" s="232">
        <f>IF($B907=1,IF(G$2&lt;$B910,G903,0),0)*CHOOSE($D895,1,Параметры!G$53,Параметры!G$59)</f>
        <v>0</v>
      </c>
      <c r="H907" s="232">
        <f>IF($B907=1,IF(H$2&lt;$B910,H903,0),0)*CHOOSE($D895,1,Параметры!H$53,Параметры!H$59)</f>
        <v>0</v>
      </c>
      <c r="I907" s="232">
        <f>IF($B907=1,IF(I$2&lt;$B910,I903,0),0)*CHOOSE($D895,1,Параметры!I$53,Параметры!I$59)</f>
        <v>0</v>
      </c>
      <c r="J907" s="232">
        <f>IF($B907=1,IF(J$2&lt;$B910,J903,0),0)*CHOOSE($D895,1,Параметры!J$53,Параметры!J$59)</f>
        <v>0</v>
      </c>
      <c r="K907" s="232">
        <f>IF($B907=1,IF(K$2&lt;$B910,K903,0),0)*CHOOSE($D895,1,Параметры!K$53,Параметры!K$59)</f>
        <v>0</v>
      </c>
      <c r="L907" s="232">
        <f>IF($B907=1,IF(L$2&lt;$B910,L903,0),0)*CHOOSE($D895,1,Параметры!L$53,Параметры!L$59)</f>
        <v>0</v>
      </c>
      <c r="M907" s="232">
        <f>IF($B907=1,IF(M$2&lt;$B910,M903,0),0)*CHOOSE($D895,1,Параметры!M$53,Параметры!M$59)</f>
        <v>0</v>
      </c>
      <c r="N907" s="232">
        <f>IF($B907=1,IF(N$2&lt;$B910,N903,0),0)*CHOOSE($D895,1,Параметры!N$53,Параметры!N$59)</f>
        <v>0</v>
      </c>
      <c r="O907" s="232">
        <f>IF($B907=1,IF(O$2&lt;$B910,O903,0),0)*CHOOSE($D895,1,Параметры!O$53,Параметры!O$59)</f>
        <v>0</v>
      </c>
      <c r="P907" s="232">
        <f>IF($B907=1,IF(P$2&lt;$B910,P903,0),0)*CHOOSE($D895,1,Параметры!P$53,Параметры!P$59)</f>
        <v>0</v>
      </c>
      <c r="Q907" s="232">
        <f>IF($B907=1,IF(Q$2&lt;$B910,Q903,0),0)*CHOOSE($D895,1,Параметры!Q$53,Параметры!Q$59)</f>
        <v>0</v>
      </c>
      <c r="R907" s="232">
        <f>IF($B907=1,IF(R$2&lt;$B910,R903,0),0)*CHOOSE($D895,1,Параметры!R$53,Параметры!R$59)</f>
        <v>0</v>
      </c>
      <c r="S907" s="232">
        <f>IF($B907=1,IF(S$2&lt;$B910,S903,0),0)*CHOOSE($D895,1,Параметры!S$53,Параметры!S$59)</f>
        <v>0</v>
      </c>
      <c r="T907" s="232">
        <f>IF($B907=1,IF(T$2&lt;$B910,T903,0),0)*CHOOSE($D895,1,Параметры!T$53,Параметры!T$59)</f>
        <v>0</v>
      </c>
      <c r="U907" s="232">
        <f>IF($B907=1,IF(U$2&lt;$B910,U903,0),0)*CHOOSE($D895,1,Параметры!U$53,Параметры!U$59)</f>
        <v>0</v>
      </c>
      <c r="V907" s="232">
        <f>IF($B907=1,IF(V$2&lt;$B910,V903,0),0)*CHOOSE($D895,1,Параметры!V$53,Параметры!V$59)</f>
        <v>0</v>
      </c>
      <c r="W907" s="232">
        <f>IF($B907=1,IF(W$2&lt;$B910,W903,0),0)*CHOOSE($D895,1,Параметры!W$53,Параметры!W$59)</f>
        <v>0</v>
      </c>
      <c r="X907" s="232">
        <f>IF($B907=1,IF(X$2&lt;$B910,X903,0),0)*CHOOSE($D895,1,Параметры!X$53,Параметры!X$59)</f>
        <v>0</v>
      </c>
      <c r="Y907" s="232">
        <f>IF($B907=1,IF(Y$2&lt;$B910,Y903,0),0)*CHOOSE($D895,1,Параметры!Y$53,Параметры!Y$59)</f>
        <v>0</v>
      </c>
      <c r="Z907" s="232">
        <f>IF($B907=1,IF(Z$2&lt;$B910,Z903,0),0)*CHOOSE($D895,1,Параметры!Z$53,Параметры!Z$59)</f>
        <v>0</v>
      </c>
      <c r="AA907" s="232">
        <f>IF($B907=1,IF(AA$2&lt;$B910,AA903,0),0)*CHOOSE($D895,1,Параметры!AA$53,Параметры!AA$59)</f>
        <v>0</v>
      </c>
      <c r="AB907" s="232">
        <f>IF($B907=1,IF(AB$2&lt;$B910,AB903,0),0)*CHOOSE($D895,1,Параметры!AB$53,Параметры!AB$59)</f>
        <v>0</v>
      </c>
      <c r="AC907" s="232">
        <f>IF($B907=1,IF(AC$2&lt;$B910,AC903,0),0)*CHOOSE($D895,1,Параметры!AC$53,Параметры!AC$59)</f>
        <v>0</v>
      </c>
      <c r="AD907" s="232">
        <f>IF($B907=1,IF(AD$2&lt;$B910,AD903,0),0)*CHOOSE($D895,1,Параметры!AD$53,Параметры!AD$59)</f>
        <v>0</v>
      </c>
      <c r="AE907" s="232">
        <f>IF($B907=1,IF(AE$2&lt;$B910,AE903,0),0)*CHOOSE($D895,1,Параметры!AE$53,Параметры!AE$59)</f>
        <v>0</v>
      </c>
      <c r="AF907" s="232">
        <f>IF($B907=1,IF(AF$2&lt;$B910,AF903,0),0)*CHOOSE($D895,1,Параметры!AF$53,Параметры!AF$59)</f>
        <v>0</v>
      </c>
      <c r="AG907" s="232">
        <f>IF($B907=1,IF(AG$2&lt;$B910,AG903,0),0)*CHOOSE($D895,1,Параметры!AG$53,Параметры!AG$59)</f>
        <v>0</v>
      </c>
      <c r="AH907" s="232">
        <f>IF($B907=1,IF(AH$2&lt;$B910,AH903,0),0)*CHOOSE($D895,1,Параметры!AH$53,Параметры!AH$59)</f>
        <v>0</v>
      </c>
      <c r="AI907" s="232">
        <f>IF($B907=1,IF(AI$2&lt;$B910,AI903,0),0)*CHOOSE($D895,1,Параметры!AI$53,Параметры!AI$59)</f>
        <v>0</v>
      </c>
      <c r="AJ907" s="232">
        <f>IF($B907=1,IF(AJ$2&lt;$B910,AJ903,0),0)*CHOOSE($D895,1,Параметры!AJ$53,Параметры!AJ$59)</f>
        <v>0</v>
      </c>
      <c r="AK907" s="232">
        <f>IF($B907=1,IF(AK$2&lt;$B910,AK903,0),0)*CHOOSE($D895,1,Параметры!AK$53,Параметры!AK$59)</f>
        <v>0</v>
      </c>
      <c r="AL907" s="232">
        <f>IF($B907=1,IF(AL$2&lt;$B910,AL903,0),0)*CHOOSE($D895,1,Параметры!AL$53,Параметры!AL$59)</f>
        <v>0</v>
      </c>
      <c r="AM907" s="232">
        <f>IF($B907=1,IF(AM$2&lt;$B910,AM903,0),0)*CHOOSE($D895,1,Параметры!AM$53,Параметры!AM$59)</f>
        <v>0</v>
      </c>
      <c r="AN907" s="232">
        <f>IF($B907=1,IF(AN$2&lt;$B910,AN903,0),0)*CHOOSE($D895,1,Параметры!AN$53,Параметры!AN$59)</f>
        <v>0</v>
      </c>
      <c r="AO907" s="232">
        <f>IF($B907=1,IF(AO$2&lt;$B910,AO903,0),0)*CHOOSE($D895,1,Параметры!AO$53,Параметры!AO$59)</f>
        <v>0</v>
      </c>
      <c r="AP907" s="232">
        <f>IF($B907=1,IF(AP$2&lt;$B910,AP903,0),0)*CHOOSE($D895,1,Параметры!AP$53,Параметры!AP$59)</f>
        <v>0</v>
      </c>
      <c r="AQ907" s="232">
        <f>IF($B907=1,IF(AQ$2&lt;$B910,AQ903,0),0)*CHOOSE($D895,1,Параметры!AQ$53,Параметры!AQ$59)</f>
        <v>0</v>
      </c>
      <c r="AR907" s="232">
        <f>IF($B907=1,IF(AR$2&lt;$B910,AR903,0),0)*CHOOSE($D895,1,Параметры!AR$53,Параметры!AR$59)</f>
        <v>0</v>
      </c>
      <c r="AS907" s="232">
        <f>IF($B907=1,IF(AS$2&lt;$B910,AS903,0),0)*CHOOSE($D895,1,Параметры!AS$53,Параметры!AS$59)</f>
        <v>0</v>
      </c>
      <c r="AT907" s="232">
        <f>IF($B907=1,IF(AT$2&lt;$B910,AT903,0),0)*CHOOSE($D895,1,Параметры!AT$53,Параметры!AT$59)</f>
        <v>0</v>
      </c>
      <c r="AU907" s="232">
        <f>IF($B907=1,IF(AU$2&lt;$B910,AU903,0),0)*CHOOSE($D895,1,Параметры!AU$53,Параметры!AU$59)</f>
        <v>0</v>
      </c>
      <c r="AV907" s="232">
        <f>IF($B907=1,IF(AV$2&lt;$B910,AV903,0),0)*CHOOSE($D895,1,Параметры!AV$53,Параметры!AV$59)</f>
        <v>0</v>
      </c>
      <c r="AW907" s="194"/>
      <c r="AX907" s="169">
        <f>SUM(G907:AW907)</f>
        <v>0</v>
      </c>
    </row>
    <row r="908" spans="1:50" hidden="1" outlineLevel="1" x14ac:dyDescent="0.2">
      <c r="A908" s="167" t="str">
        <f ca="1">Language!A$1101</f>
        <v>незавершенные инвестиции</v>
      </c>
      <c r="B908" s="214"/>
      <c r="C908" s="82" t="str">
        <f ca="1">CurName1</f>
        <v>тыс. руб.</v>
      </c>
      <c r="D908" s="155">
        <v>1</v>
      </c>
      <c r="E908" s="57" t="s">
        <v>1550</v>
      </c>
      <c r="F908" s="57" t="s">
        <v>754</v>
      </c>
      <c r="G908" s="232">
        <f>SUM($G907:G907)-G909</f>
        <v>0</v>
      </c>
      <c r="H908" s="232">
        <f>SUM($G907:H907)-H909</f>
        <v>0</v>
      </c>
      <c r="I908" s="232">
        <f>SUM($G907:I907)-I909</f>
        <v>0</v>
      </c>
      <c r="J908" s="232">
        <f>SUM($G907:J907)-J909</f>
        <v>0</v>
      </c>
      <c r="K908" s="232">
        <f>SUM($G907:K907)-K909</f>
        <v>0</v>
      </c>
      <c r="L908" s="232">
        <f>SUM($G907:L907)-L909</f>
        <v>0</v>
      </c>
      <c r="M908" s="232">
        <f>SUM($G907:M907)-M909</f>
        <v>0</v>
      </c>
      <c r="N908" s="232">
        <f>SUM($G907:N907)-N909</f>
        <v>0</v>
      </c>
      <c r="O908" s="232">
        <f>SUM($G907:O907)-O909</f>
        <v>0</v>
      </c>
      <c r="P908" s="232">
        <f>SUM($G907:P907)-P909</f>
        <v>0</v>
      </c>
      <c r="Q908" s="232">
        <f>SUM($G907:Q907)-Q909</f>
        <v>0</v>
      </c>
      <c r="R908" s="232">
        <f>SUM($G907:R907)-R909</f>
        <v>0</v>
      </c>
      <c r="S908" s="232">
        <f>SUM($G907:S907)-S909</f>
        <v>0</v>
      </c>
      <c r="T908" s="232">
        <f>SUM($G907:T907)-T909</f>
        <v>0</v>
      </c>
      <c r="U908" s="232">
        <f>SUM($G907:U907)-U909</f>
        <v>0</v>
      </c>
      <c r="V908" s="232">
        <f>SUM($G907:V907)-V909</f>
        <v>0</v>
      </c>
      <c r="W908" s="232">
        <f>SUM($G907:W907)-W909</f>
        <v>0</v>
      </c>
      <c r="X908" s="232">
        <f>SUM($G907:X907)-X909</f>
        <v>0</v>
      </c>
      <c r="Y908" s="232">
        <f>SUM($G907:Y907)-Y909</f>
        <v>0</v>
      </c>
      <c r="Z908" s="232">
        <f>SUM($G907:Z907)-Z909</f>
        <v>0</v>
      </c>
      <c r="AA908" s="232">
        <f>SUM($G907:AA907)-AA909</f>
        <v>0</v>
      </c>
      <c r="AB908" s="232">
        <f>SUM($G907:AB907)-AB909</f>
        <v>0</v>
      </c>
      <c r="AC908" s="232">
        <f>SUM($G907:AC907)-AC909</f>
        <v>0</v>
      </c>
      <c r="AD908" s="232">
        <f>SUM($G907:AD907)-AD909</f>
        <v>0</v>
      </c>
      <c r="AE908" s="232">
        <f>SUM($G907:AE907)-AE909</f>
        <v>0</v>
      </c>
      <c r="AF908" s="232">
        <f>SUM($G907:AF907)-AF909</f>
        <v>0</v>
      </c>
      <c r="AG908" s="232">
        <f>SUM($G907:AG907)-AG909</f>
        <v>0</v>
      </c>
      <c r="AH908" s="232">
        <f>SUM($G907:AH907)-AH909</f>
        <v>0</v>
      </c>
      <c r="AI908" s="232">
        <f>SUM($G907:AI907)-AI909</f>
        <v>0</v>
      </c>
      <c r="AJ908" s="232">
        <f>SUM($G907:AJ907)-AJ909</f>
        <v>0</v>
      </c>
      <c r="AK908" s="232">
        <f>SUM($G907:AK907)-AK909</f>
        <v>0</v>
      </c>
      <c r="AL908" s="232">
        <f>SUM($G907:AL907)-AL909</f>
        <v>0</v>
      </c>
      <c r="AM908" s="232">
        <f>SUM($G907:AM907)-AM909</f>
        <v>0</v>
      </c>
      <c r="AN908" s="232">
        <f>SUM($G907:AN907)-AN909</f>
        <v>0</v>
      </c>
      <c r="AO908" s="232">
        <f>SUM($G907:AO907)-AO909</f>
        <v>0</v>
      </c>
      <c r="AP908" s="232">
        <f>SUM($G907:AP907)-AP909</f>
        <v>0</v>
      </c>
      <c r="AQ908" s="232">
        <f>SUM($G907:AQ907)-AQ909</f>
        <v>0</v>
      </c>
      <c r="AR908" s="232">
        <f>SUM($G907:AR907)-AR909</f>
        <v>0</v>
      </c>
      <c r="AS908" s="232">
        <f>SUM($G907:AS907)-AS909</f>
        <v>0</v>
      </c>
      <c r="AT908" s="232">
        <f>SUM($G907:AT907)-AT909</f>
        <v>0</v>
      </c>
      <c r="AU908" s="232">
        <f>SUM($G907:AU907)-AU909</f>
        <v>0</v>
      </c>
      <c r="AV908" s="232">
        <f>SUM($G907:AV907)-AV909</f>
        <v>0</v>
      </c>
      <c r="AW908" s="194"/>
      <c r="AX908" s="169"/>
    </row>
    <row r="909" spans="1:50" hidden="1" outlineLevel="1" x14ac:dyDescent="0.2">
      <c r="A909" s="167" t="str">
        <f ca="1">Language!A$1102</f>
        <v>проценты в стоимости основных средств</v>
      </c>
      <c r="B909" s="214"/>
      <c r="C909" s="82" t="str">
        <f ca="1">CurName1</f>
        <v>тыс. руб.</v>
      </c>
      <c r="D909" s="100"/>
      <c r="F909" s="57" t="s">
        <v>754</v>
      </c>
      <c r="G909" s="232">
        <f>IF($B907=1,IF(G$2&gt;=$B910,SUM($F907:F907),0),0)</f>
        <v>0</v>
      </c>
      <c r="H909" s="232">
        <f>IF($B907=1,IF(H$2&gt;=$B910,SUM($F907:G907),0),0)</f>
        <v>0</v>
      </c>
      <c r="I909" s="232">
        <f>IF($B907=1,IF(I$2&gt;=$B910,SUM($F907:H907),0),0)</f>
        <v>0</v>
      </c>
      <c r="J909" s="232">
        <f>IF($B907=1,IF(J$2&gt;=$B910,SUM($F907:I907),0),0)</f>
        <v>0</v>
      </c>
      <c r="K909" s="232">
        <f>IF($B907=1,IF(K$2&gt;=$B910,SUM($F907:J907),0),0)</f>
        <v>0</v>
      </c>
      <c r="L909" s="232">
        <f>IF($B907=1,IF(L$2&gt;=$B910,SUM($F907:K907),0),0)</f>
        <v>0</v>
      </c>
      <c r="M909" s="232">
        <f>IF($B907=1,IF(M$2&gt;=$B910,SUM($F907:L907),0),0)</f>
        <v>0</v>
      </c>
      <c r="N909" s="232">
        <f>IF($B907=1,IF(N$2&gt;=$B910,SUM($F907:M907),0),0)</f>
        <v>0</v>
      </c>
      <c r="O909" s="232">
        <f>IF($B907=1,IF(O$2&gt;=$B910,SUM($F907:N907),0),0)</f>
        <v>0</v>
      </c>
      <c r="P909" s="232">
        <f>IF($B907=1,IF(P$2&gt;=$B910,SUM($F907:O907),0),0)</f>
        <v>0</v>
      </c>
      <c r="Q909" s="232">
        <f>IF($B907=1,IF(Q$2&gt;=$B910,SUM($F907:P907),0),0)</f>
        <v>0</v>
      </c>
      <c r="R909" s="232">
        <f>IF($B907=1,IF(R$2&gt;=$B910,SUM($F907:Q907),0),0)</f>
        <v>0</v>
      </c>
      <c r="S909" s="232">
        <f>IF($B907=1,IF(S$2&gt;=$B910,SUM($F907:R907),0),0)</f>
        <v>0</v>
      </c>
      <c r="T909" s="232">
        <f>IF($B907=1,IF(T$2&gt;=$B910,SUM($F907:S907),0),0)</f>
        <v>0</v>
      </c>
      <c r="U909" s="232">
        <f>IF($B907=1,IF(U$2&gt;=$B910,SUM($F907:T907),0),0)</f>
        <v>0</v>
      </c>
      <c r="V909" s="232">
        <f>IF($B907=1,IF(V$2&gt;=$B910,SUM($F907:U907),0),0)</f>
        <v>0</v>
      </c>
      <c r="W909" s="232">
        <f>IF($B907=1,IF(W$2&gt;=$B910,SUM($F907:V907),0),0)</f>
        <v>0</v>
      </c>
      <c r="X909" s="232">
        <f>IF($B907=1,IF(X$2&gt;=$B910,SUM($F907:W907),0),0)</f>
        <v>0</v>
      </c>
      <c r="Y909" s="232">
        <f>IF($B907=1,IF(Y$2&gt;=$B910,SUM($F907:X907),0),0)</f>
        <v>0</v>
      </c>
      <c r="Z909" s="232">
        <f>IF($B907=1,IF(Z$2&gt;=$B910,SUM($F907:Y907),0),0)</f>
        <v>0</v>
      </c>
      <c r="AA909" s="232">
        <f>IF($B907=1,IF(AA$2&gt;=$B910,SUM($F907:Z907),0),0)</f>
        <v>0</v>
      </c>
      <c r="AB909" s="232">
        <f>IF($B907=1,IF(AB$2&gt;=$B910,SUM($F907:AA907),0),0)</f>
        <v>0</v>
      </c>
      <c r="AC909" s="232">
        <f>IF($B907=1,IF(AC$2&gt;=$B910,SUM($F907:AB907),0),0)</f>
        <v>0</v>
      </c>
      <c r="AD909" s="232">
        <f>IF($B907=1,IF(AD$2&gt;=$B910,SUM($F907:AC907),0),0)</f>
        <v>0</v>
      </c>
      <c r="AE909" s="232">
        <f>IF($B907=1,IF(AE$2&gt;=$B910,SUM($F907:AD907),0),0)</f>
        <v>0</v>
      </c>
      <c r="AF909" s="232">
        <f>IF($B907=1,IF(AF$2&gt;=$B910,SUM($F907:AE907),0),0)</f>
        <v>0</v>
      </c>
      <c r="AG909" s="232">
        <f>IF($B907=1,IF(AG$2&gt;=$B910,SUM($F907:AF907),0),0)</f>
        <v>0</v>
      </c>
      <c r="AH909" s="232">
        <f>IF($B907=1,IF(AH$2&gt;=$B910,SUM($F907:AG907),0),0)</f>
        <v>0</v>
      </c>
      <c r="AI909" s="232">
        <f>IF($B907=1,IF(AI$2&gt;=$B910,SUM($F907:AH907),0),0)</f>
        <v>0</v>
      </c>
      <c r="AJ909" s="232">
        <f>IF($B907=1,IF(AJ$2&gt;=$B910,SUM($F907:AI907),0),0)</f>
        <v>0</v>
      </c>
      <c r="AK909" s="232">
        <f>IF($B907=1,IF(AK$2&gt;=$B910,SUM($F907:AJ907),0),0)</f>
        <v>0</v>
      </c>
      <c r="AL909" s="232">
        <f>IF($B907=1,IF(AL$2&gt;=$B910,SUM($F907:AK907),0),0)</f>
        <v>0</v>
      </c>
      <c r="AM909" s="232">
        <f>IF($B907=1,IF(AM$2&gt;=$B910,SUM($F907:AL907),0),0)</f>
        <v>0</v>
      </c>
      <c r="AN909" s="232">
        <f>IF($B907=1,IF(AN$2&gt;=$B910,SUM($F907:AM907),0),0)</f>
        <v>0</v>
      </c>
      <c r="AO909" s="232">
        <f>IF($B907=1,IF(AO$2&gt;=$B910,SUM($F907:AN907),0),0)</f>
        <v>0</v>
      </c>
      <c r="AP909" s="232">
        <f>IF($B907=1,IF(AP$2&gt;=$B910,SUM($F907:AO907),0),0)</f>
        <v>0</v>
      </c>
      <c r="AQ909" s="232">
        <f>IF($B907=1,IF(AQ$2&gt;=$B910,SUM($F907:AP907),0),0)</f>
        <v>0</v>
      </c>
      <c r="AR909" s="232">
        <f>IF($B907=1,IF(AR$2&gt;=$B910,SUM($F907:AQ907),0),0)</f>
        <v>0</v>
      </c>
      <c r="AS909" s="232">
        <f>IF($B907=1,IF(AS$2&gt;=$B910,SUM($F907:AR907),0),0)</f>
        <v>0</v>
      </c>
      <c r="AT909" s="232">
        <f>IF($B907=1,IF(AT$2&gt;=$B910,SUM($F907:AS907),0),0)</f>
        <v>0</v>
      </c>
      <c r="AU909" s="232">
        <f>IF($B907=1,IF(AU$2&gt;=$B910,SUM($F907:AT907),0),0)</f>
        <v>0</v>
      </c>
      <c r="AV909" s="232">
        <f>IF($B907=1,IF(AV$2&gt;=$B910,SUM($F907:AU907),0),0)</f>
        <v>0</v>
      </c>
      <c r="AW909" s="194"/>
      <c r="AX909" s="169"/>
    </row>
    <row r="910" spans="1:50" hidden="1" outlineLevel="1" x14ac:dyDescent="0.2">
      <c r="A910" s="167" t="str">
        <f ca="1">Language!A$1103</f>
        <v>период ввода основных средств</v>
      </c>
      <c r="B910" s="330">
        <f>Prj_Invest+1</f>
        <v>1</v>
      </c>
      <c r="C910" s="82" t="str">
        <f ca="1">Language!$A$1452</f>
        <v>период</v>
      </c>
      <c r="D910" s="100"/>
      <c r="G910" s="232"/>
      <c r="H910" s="232"/>
      <c r="I910" s="232"/>
      <c r="J910" s="232"/>
      <c r="K910" s="232"/>
      <c r="L910" s="232"/>
      <c r="M910" s="232"/>
      <c r="N910" s="232"/>
      <c r="O910" s="232"/>
      <c r="P910" s="232"/>
      <c r="Q910" s="232"/>
      <c r="R910" s="232"/>
      <c r="S910" s="232"/>
      <c r="T910" s="232"/>
      <c r="U910" s="232"/>
      <c r="V910" s="232"/>
      <c r="W910" s="232"/>
      <c r="X910" s="232"/>
      <c r="Y910" s="232"/>
      <c r="Z910" s="232"/>
      <c r="AA910" s="232"/>
      <c r="AB910" s="232"/>
      <c r="AC910" s="232"/>
      <c r="AD910" s="232"/>
      <c r="AE910" s="232"/>
      <c r="AF910" s="232"/>
      <c r="AG910" s="232"/>
      <c r="AH910" s="232"/>
      <c r="AI910" s="232"/>
      <c r="AJ910" s="232"/>
      <c r="AK910" s="232"/>
      <c r="AL910" s="232"/>
      <c r="AM910" s="232"/>
      <c r="AN910" s="232"/>
      <c r="AO910" s="232"/>
      <c r="AP910" s="232"/>
      <c r="AQ910" s="232"/>
      <c r="AR910" s="232"/>
      <c r="AS910" s="232"/>
      <c r="AT910" s="232"/>
      <c r="AU910" s="232"/>
      <c r="AV910" s="232"/>
      <c r="AW910" s="194"/>
      <c r="AX910" s="169"/>
    </row>
    <row r="911" spans="1:50" hidden="1" outlineLevel="1" x14ac:dyDescent="0.2">
      <c r="A911" s="167" t="str">
        <f ca="1">Language!A$1104</f>
        <v>срок амортизации основных средств</v>
      </c>
      <c r="B911" s="330">
        <v>10</v>
      </c>
      <c r="C911" s="82" t="str">
        <f ca="1">Language!A$48</f>
        <v>лет</v>
      </c>
      <c r="D911" s="100"/>
      <c r="G911" s="232"/>
      <c r="H911" s="232"/>
      <c r="I911" s="232"/>
      <c r="J911" s="232"/>
      <c r="K911" s="232"/>
      <c r="L911" s="232"/>
      <c r="M911" s="232"/>
      <c r="N911" s="232"/>
      <c r="O911" s="232"/>
      <c r="P911" s="232"/>
      <c r="Q911" s="232"/>
      <c r="R911" s="232"/>
      <c r="S911" s="232"/>
      <c r="T911" s="232"/>
      <c r="U911" s="232"/>
      <c r="V911" s="232"/>
      <c r="W911" s="232"/>
      <c r="X911" s="232"/>
      <c r="Y911" s="232"/>
      <c r="Z911" s="232"/>
      <c r="AA911" s="232"/>
      <c r="AB911" s="232"/>
      <c r="AC911" s="232"/>
      <c r="AD911" s="232"/>
      <c r="AE911" s="232"/>
      <c r="AF911" s="232"/>
      <c r="AG911" s="232"/>
      <c r="AH911" s="232"/>
      <c r="AI911" s="232"/>
      <c r="AJ911" s="232"/>
      <c r="AK911" s="232"/>
      <c r="AL911" s="232"/>
      <c r="AM911" s="232"/>
      <c r="AN911" s="232"/>
      <c r="AO911" s="232"/>
      <c r="AP911" s="232"/>
      <c r="AQ911" s="232"/>
      <c r="AR911" s="232"/>
      <c r="AS911" s="232"/>
      <c r="AT911" s="232"/>
      <c r="AU911" s="232"/>
      <c r="AV911" s="232"/>
      <c r="AW911" s="194"/>
      <c r="AX911" s="169"/>
    </row>
    <row r="912" spans="1:50" hidden="1" outlineLevel="1" x14ac:dyDescent="0.2">
      <c r="A912" s="167" t="str">
        <f ca="1">Language!A$1105</f>
        <v>списание процентов на затраты</v>
      </c>
      <c r="B912" s="214"/>
      <c r="C912" s="82" t="str">
        <f ca="1">CurName1</f>
        <v>тыс. руб.</v>
      </c>
      <c r="D912" s="155">
        <v>1</v>
      </c>
      <c r="E912" s="57" t="s">
        <v>1044</v>
      </c>
      <c r="F912" s="57" t="s">
        <v>753</v>
      </c>
      <c r="G912" s="185">
        <f>IF($B911=0,0,MIN(G909/$B911/12*Параметры!G$31,IF(G$2&gt;1,F913+G909-F907,G909)))</f>
        <v>0</v>
      </c>
      <c r="H912" s="185">
        <f>IF($B911=0,0,MIN(H909/$B911/12*Параметры!H$31,IF(H$2&gt;1,G913+H909-G909,H909)))</f>
        <v>0</v>
      </c>
      <c r="I912" s="185">
        <f>IF($B911=0,0,MIN(I909/$B911/12*Параметры!I$31,IF(I$2&gt;1,H913+I909-H909,I909)))</f>
        <v>0</v>
      </c>
      <c r="J912" s="185">
        <f>IF($B911=0,0,MIN(J909/$B911/12*Параметры!J$31,IF(J$2&gt;1,I913+J909-I909,J909)))</f>
        <v>0</v>
      </c>
      <c r="K912" s="185">
        <f>IF($B911=0,0,MIN(K909/$B911/12*Параметры!K$31,IF(K$2&gt;1,J913+K909-J909,K909)))</f>
        <v>0</v>
      </c>
      <c r="L912" s="185">
        <f>IF($B911=0,0,MIN(L909/$B911/12*Параметры!L$31,IF(L$2&gt;1,K913+L909-K909,L909)))</f>
        <v>0</v>
      </c>
      <c r="M912" s="185">
        <f>IF($B911=0,0,MIN(M909/$B911/12*Параметры!M$31,IF(M$2&gt;1,L913+M909-L909,M909)))</f>
        <v>0</v>
      </c>
      <c r="N912" s="185">
        <f>IF($B911=0,0,MIN(N909/$B911/12*Параметры!N$31,IF(N$2&gt;1,M913+N909-M909,N909)))</f>
        <v>0</v>
      </c>
      <c r="O912" s="185">
        <f>IF($B911=0,0,MIN(O909/$B911/12*Параметры!O$31,IF(O$2&gt;1,N913+O909-N909,O909)))</f>
        <v>0</v>
      </c>
      <c r="P912" s="185">
        <f>IF($B911=0,0,MIN(P909/$B911/12*Параметры!P$31,IF(P$2&gt;1,O913+P909-O909,P909)))</f>
        <v>0</v>
      </c>
      <c r="Q912" s="185">
        <f>IF($B911=0,0,MIN(Q909/$B911/12*Параметры!Q$31,IF(Q$2&gt;1,P913+Q909-P909,Q909)))</f>
        <v>0</v>
      </c>
      <c r="R912" s="185">
        <f>IF($B911=0,0,MIN(R909/$B911/12*Параметры!R$31,IF(R$2&gt;1,Q913+R909-Q909,R909)))</f>
        <v>0</v>
      </c>
      <c r="S912" s="185">
        <f>IF($B911=0,0,MIN(S909/$B911/12*Параметры!S$31,IF(S$2&gt;1,R913+S909-R909,S909)))</f>
        <v>0</v>
      </c>
      <c r="T912" s="185">
        <f>IF($B911=0,0,MIN(T909/$B911/12*Параметры!T$31,IF(T$2&gt;1,S913+T909-S909,T909)))</f>
        <v>0</v>
      </c>
      <c r="U912" s="185">
        <f>IF($B911=0,0,MIN(U909/$B911/12*Параметры!U$31,IF(U$2&gt;1,T913+U909-T909,U909)))</f>
        <v>0</v>
      </c>
      <c r="V912" s="185">
        <f>IF($B911=0,0,MIN(V909/$B911/12*Параметры!V$31,IF(V$2&gt;1,U913+V909-U909,V909)))</f>
        <v>0</v>
      </c>
      <c r="W912" s="185">
        <f>IF($B911=0,0,MIN(W909/$B911/12*Параметры!W$31,IF(W$2&gt;1,V913+W909-V909,W909)))</f>
        <v>0</v>
      </c>
      <c r="X912" s="185">
        <f>IF($B911=0,0,MIN(X909/$B911/12*Параметры!X$31,IF(X$2&gt;1,W913+X909-W909,X909)))</f>
        <v>0</v>
      </c>
      <c r="Y912" s="185">
        <f>IF($B911=0,0,MIN(Y909/$B911/12*Параметры!Y$31,IF(Y$2&gt;1,X913+Y909-X909,Y909)))</f>
        <v>0</v>
      </c>
      <c r="Z912" s="185">
        <f>IF($B911=0,0,MIN(Z909/$B911/12*Параметры!Z$31,IF(Z$2&gt;1,Y913+Z909-Y909,Z909)))</f>
        <v>0</v>
      </c>
      <c r="AA912" s="185">
        <f>IF($B911=0,0,MIN(AA909/$B911/12*Параметры!AA$31,IF(AA$2&gt;1,Z913+AA909-Z909,AA909)))</f>
        <v>0</v>
      </c>
      <c r="AB912" s="185">
        <f>IF($B911=0,0,MIN(AB909/$B911/12*Параметры!AB$31,IF(AB$2&gt;1,AA913+AB909-AA909,AB909)))</f>
        <v>0</v>
      </c>
      <c r="AC912" s="185">
        <f>IF($B911=0,0,MIN(AC909/$B911/12*Параметры!AC$31,IF(AC$2&gt;1,AB913+AC909-AB909,AC909)))</f>
        <v>0</v>
      </c>
      <c r="AD912" s="185">
        <f>IF($B911=0,0,MIN(AD909/$B911/12*Параметры!AD$31,IF(AD$2&gt;1,AC913+AD909-AC909,AD909)))</f>
        <v>0</v>
      </c>
      <c r="AE912" s="185">
        <f>IF($B911=0,0,MIN(AE909/$B911/12*Параметры!AE$31,IF(AE$2&gt;1,AD913+AE909-AD909,AE909)))</f>
        <v>0</v>
      </c>
      <c r="AF912" s="185">
        <f>IF($B911=0,0,MIN(AF909/$B911/12*Параметры!AF$31,IF(AF$2&gt;1,AE913+AF909-AE909,AF909)))</f>
        <v>0</v>
      </c>
      <c r="AG912" s="185">
        <f>IF($B911=0,0,MIN(AG909/$B911/12*Параметры!AG$31,IF(AG$2&gt;1,AF913+AG909-AF909,AG909)))</f>
        <v>0</v>
      </c>
      <c r="AH912" s="185">
        <f>IF($B911=0,0,MIN(AH909/$B911/12*Параметры!AH$31,IF(AH$2&gt;1,AG913+AH909-AG909,AH909)))</f>
        <v>0</v>
      </c>
      <c r="AI912" s="185">
        <f>IF($B911=0,0,MIN(AI909/$B911/12*Параметры!AI$31,IF(AI$2&gt;1,AH913+AI909-AH909,AI909)))</f>
        <v>0</v>
      </c>
      <c r="AJ912" s="185">
        <f>IF($B911=0,0,MIN(AJ909/$B911/12*Параметры!AJ$31,IF(AJ$2&gt;1,AI913+AJ909-AI909,AJ909)))</f>
        <v>0</v>
      </c>
      <c r="AK912" s="185">
        <f>IF($B911=0,0,MIN(AK909/$B911/12*Параметры!AK$31,IF(AK$2&gt;1,AJ913+AK909-AJ909,AK909)))</f>
        <v>0</v>
      </c>
      <c r="AL912" s="185">
        <f>IF($B911=0,0,MIN(AL909/$B911/12*Параметры!AL$31,IF(AL$2&gt;1,AK913+AL909-AK909,AL909)))</f>
        <v>0</v>
      </c>
      <c r="AM912" s="185">
        <f>IF($B911=0,0,MIN(AM909/$B911/12*Параметры!AM$31,IF(AM$2&gt;1,AL913+AM909-AL909,AM909)))</f>
        <v>0</v>
      </c>
      <c r="AN912" s="185">
        <f>IF($B911=0,0,MIN(AN909/$B911/12*Параметры!AN$31,IF(AN$2&gt;1,AM913+AN909-AM909,AN909)))</f>
        <v>0</v>
      </c>
      <c r="AO912" s="185">
        <f>IF($B911=0,0,MIN(AO909/$B911/12*Параметры!AO$31,IF(AO$2&gt;1,AN913+AO909-AN909,AO909)))</f>
        <v>0</v>
      </c>
      <c r="AP912" s="185">
        <f>IF($B911=0,0,MIN(AP909/$B911/12*Параметры!AP$31,IF(AP$2&gt;1,AO913+AP909-AO909,AP909)))</f>
        <v>0</v>
      </c>
      <c r="AQ912" s="185">
        <f>IF($B911=0,0,MIN(AQ909/$B911/12*Параметры!AQ$31,IF(AQ$2&gt;1,AP913+AQ909-AP909,AQ909)))</f>
        <v>0</v>
      </c>
      <c r="AR912" s="185">
        <f>IF($B911=0,0,MIN(AR909/$B911/12*Параметры!AR$31,IF(AR$2&gt;1,AQ913+AR909-AQ909,AR909)))</f>
        <v>0</v>
      </c>
      <c r="AS912" s="185">
        <f>IF($B911=0,0,MIN(AS909/$B911/12*Параметры!AS$31,IF(AS$2&gt;1,AR913+AS909-AR909,AS909)))</f>
        <v>0</v>
      </c>
      <c r="AT912" s="185">
        <f>IF($B911=0,0,MIN(AT909/$B911/12*Параметры!AT$31,IF(AT$2&gt;1,AS913+AT909-AS909,AT909)))</f>
        <v>0</v>
      </c>
      <c r="AU912" s="185">
        <f>IF($B911=0,0,MIN(AU909/$B911/12*Параметры!AU$31,IF(AU$2&gt;1,AT913+AU909-AT909,AU909)))</f>
        <v>0</v>
      </c>
      <c r="AV912" s="185">
        <f>IF($B911=0,0,MIN(AV909/$B911/12*Параметры!AV$31,IF(AV$2&gt;1,AU913+AV909-AU909,AV909)))</f>
        <v>0</v>
      </c>
      <c r="AW912" s="180"/>
      <c r="AX912" s="169">
        <f>SUM(G912:AW912)</f>
        <v>0</v>
      </c>
    </row>
    <row r="913" spans="1:50" hidden="1" outlineLevel="1" x14ac:dyDescent="0.2">
      <c r="A913" s="167" t="str">
        <f ca="1">Language!A$1106</f>
        <v>балансовая стоимость</v>
      </c>
      <c r="B913" s="214"/>
      <c r="C913" s="82" t="str">
        <f ca="1">CurName1</f>
        <v>тыс. руб.</v>
      </c>
      <c r="D913" s="66">
        <v>1</v>
      </c>
      <c r="E913" s="57" t="s">
        <v>1042</v>
      </c>
      <c r="F913" s="57" t="s">
        <v>754</v>
      </c>
      <c r="G913" s="194">
        <f>IF(G$2&gt;=$B910,G909-SUM($G912:G912),0)</f>
        <v>0</v>
      </c>
      <c r="H913" s="194">
        <f>IF(H$2&gt;=$B910,H909-SUM($G912:H912),0)</f>
        <v>0</v>
      </c>
      <c r="I913" s="194">
        <f>IF(I$2&gt;=$B910,I909-SUM($G912:I912),0)</f>
        <v>0</v>
      </c>
      <c r="J913" s="194">
        <f>IF(J$2&gt;=$B910,J909-SUM($G912:J912),0)</f>
        <v>0</v>
      </c>
      <c r="K913" s="194">
        <f>IF(K$2&gt;=$B910,K909-SUM($G912:K912),0)</f>
        <v>0</v>
      </c>
      <c r="L913" s="194">
        <f>IF(L$2&gt;=$B910,L909-SUM($G912:L912),0)</f>
        <v>0</v>
      </c>
      <c r="M913" s="194">
        <f>IF(M$2&gt;=$B910,M909-SUM($G912:M912),0)</f>
        <v>0</v>
      </c>
      <c r="N913" s="194">
        <f>IF(N$2&gt;=$B910,N909-SUM($G912:N912),0)</f>
        <v>0</v>
      </c>
      <c r="O913" s="194">
        <f>IF(O$2&gt;=$B910,O909-SUM($G912:O912),0)</f>
        <v>0</v>
      </c>
      <c r="P913" s="194">
        <f>IF(P$2&gt;=$B910,P909-SUM($G912:P912),0)</f>
        <v>0</v>
      </c>
      <c r="Q913" s="194">
        <f>IF(Q$2&gt;=$B910,Q909-SUM($G912:Q912),0)</f>
        <v>0</v>
      </c>
      <c r="R913" s="194">
        <f>IF(R$2&gt;=$B910,R909-SUM($G912:R912),0)</f>
        <v>0</v>
      </c>
      <c r="S913" s="194">
        <f>IF(S$2&gt;=$B910,S909-SUM($G912:S912),0)</f>
        <v>0</v>
      </c>
      <c r="T913" s="194">
        <f>IF(T$2&gt;=$B910,T909-SUM($G912:T912),0)</f>
        <v>0</v>
      </c>
      <c r="U913" s="194">
        <f>IF(U$2&gt;=$B910,U909-SUM($G912:U912),0)</f>
        <v>0</v>
      </c>
      <c r="V913" s="194">
        <f>IF(V$2&gt;=$B910,V909-SUM($G912:V912),0)</f>
        <v>0</v>
      </c>
      <c r="W913" s="194">
        <f>IF(W$2&gt;=$B910,W909-SUM($G912:W912),0)</f>
        <v>0</v>
      </c>
      <c r="X913" s="194">
        <f>IF(X$2&gt;=$B910,X909-SUM($G912:X912),0)</f>
        <v>0</v>
      </c>
      <c r="Y913" s="194">
        <f>IF(Y$2&gt;=$B910,Y909-SUM($G912:Y912),0)</f>
        <v>0</v>
      </c>
      <c r="Z913" s="194">
        <f>IF(Z$2&gt;=$B910,Z909-SUM($G912:Z912),0)</f>
        <v>0</v>
      </c>
      <c r="AA913" s="194">
        <f>IF(AA$2&gt;=$B910,AA909-SUM($G912:AA912),0)</f>
        <v>0</v>
      </c>
      <c r="AB913" s="194">
        <f>IF(AB$2&gt;=$B910,AB909-SUM($G912:AB912),0)</f>
        <v>0</v>
      </c>
      <c r="AC913" s="194">
        <f>IF(AC$2&gt;=$B910,AC909-SUM($G912:AC912),0)</f>
        <v>0</v>
      </c>
      <c r="AD913" s="194">
        <f>IF(AD$2&gt;=$B910,AD909-SUM($G912:AD912),0)</f>
        <v>0</v>
      </c>
      <c r="AE913" s="194">
        <f>IF(AE$2&gt;=$B910,AE909-SUM($G912:AE912),0)</f>
        <v>0</v>
      </c>
      <c r="AF913" s="194">
        <f>IF(AF$2&gt;=$B910,AF909-SUM($G912:AF912),0)</f>
        <v>0</v>
      </c>
      <c r="AG913" s="194">
        <f>IF(AG$2&gt;=$B910,AG909-SUM($G912:AG912),0)</f>
        <v>0</v>
      </c>
      <c r="AH913" s="194">
        <f>IF(AH$2&gt;=$B910,AH909-SUM($G912:AH912),0)</f>
        <v>0</v>
      </c>
      <c r="AI913" s="194">
        <f>IF(AI$2&gt;=$B910,AI909-SUM($G912:AI912),0)</f>
        <v>0</v>
      </c>
      <c r="AJ913" s="194">
        <f>IF(AJ$2&gt;=$B910,AJ909-SUM($G912:AJ912),0)</f>
        <v>0</v>
      </c>
      <c r="AK913" s="194">
        <f>IF(AK$2&gt;=$B910,AK909-SUM($G912:AK912),0)</f>
        <v>0</v>
      </c>
      <c r="AL913" s="194">
        <f>IF(AL$2&gt;=$B910,AL909-SUM($G912:AL912),0)</f>
        <v>0</v>
      </c>
      <c r="AM913" s="194">
        <f>IF(AM$2&gt;=$B910,AM909-SUM($G912:AM912),0)</f>
        <v>0</v>
      </c>
      <c r="AN913" s="194">
        <f>IF(AN$2&gt;=$B910,AN909-SUM($G912:AN912),0)</f>
        <v>0</v>
      </c>
      <c r="AO913" s="194">
        <f>IF(AO$2&gt;=$B910,AO909-SUM($G912:AO912),0)</f>
        <v>0</v>
      </c>
      <c r="AP913" s="194">
        <f>IF(AP$2&gt;=$B910,AP909-SUM($G912:AP912),0)</f>
        <v>0</v>
      </c>
      <c r="AQ913" s="194">
        <f>IF(AQ$2&gt;=$B910,AQ909-SUM($G912:AQ912),0)</f>
        <v>0</v>
      </c>
      <c r="AR913" s="194">
        <f>IF(AR$2&gt;=$B910,AR909-SUM($G912:AR912),0)</f>
        <v>0</v>
      </c>
      <c r="AS913" s="194">
        <f>IF(AS$2&gt;=$B910,AS909-SUM($G912:AS912),0)</f>
        <v>0</v>
      </c>
      <c r="AT913" s="194">
        <f>IF(AT$2&gt;=$B910,AT909-SUM($G912:AT912),0)</f>
        <v>0</v>
      </c>
      <c r="AU913" s="194">
        <f>IF(AU$2&gt;=$B910,AU909-SUM($G912:AU912),0)</f>
        <v>0</v>
      </c>
      <c r="AV913" s="194">
        <f>IF(AV$2&gt;=$B910,AV909-SUM($G912:AV912),0)</f>
        <v>0</v>
      </c>
      <c r="AW913" s="194"/>
      <c r="AX913" s="196"/>
    </row>
    <row r="914" spans="1:50" x14ac:dyDescent="0.2">
      <c r="A914" s="317" t="s">
        <v>2343</v>
      </c>
      <c r="B914" s="151"/>
      <c r="C914" s="152" t="str">
        <f t="shared" ref="C914" ca="1" si="3572">CHOOSE(D914,CurName1,CurName2,CurName3)</f>
        <v>тыс. руб.</v>
      </c>
      <c r="D914" s="153">
        <v>1</v>
      </c>
      <c r="E914" s="100"/>
      <c r="F914" s="100" t="s">
        <v>2341</v>
      </c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58"/>
      <c r="AX914" s="150"/>
    </row>
    <row r="915" spans="1:50" x14ac:dyDescent="0.2">
      <c r="A915" s="154" t="str">
        <f ca="1">Language!A$1090</f>
        <v>ставка процентов по кредиту</v>
      </c>
      <c r="B915" s="314">
        <v>0.15</v>
      </c>
      <c r="C915" s="157" t="str">
        <f ca="1">Language!$A$471</f>
        <v>% в год</v>
      </c>
      <c r="D915" s="158"/>
      <c r="E915" s="57" t="s">
        <v>1527</v>
      </c>
      <c r="F915" s="57" t="s">
        <v>756</v>
      </c>
      <c r="G915" s="315">
        <f>B915</f>
        <v>0.15</v>
      </c>
      <c r="H915" s="315">
        <f t="shared" ref="H915" si="3573">G915</f>
        <v>0.15</v>
      </c>
      <c r="I915" s="315">
        <f t="shared" ref="I915" si="3574">H915</f>
        <v>0.15</v>
      </c>
      <c r="J915" s="315">
        <f t="shared" ref="J915" si="3575">I915</f>
        <v>0.15</v>
      </c>
      <c r="K915" s="315">
        <f t="shared" ref="K915" si="3576">J915</f>
        <v>0.15</v>
      </c>
      <c r="L915" s="315">
        <f t="shared" ref="L915" si="3577">K915</f>
        <v>0.15</v>
      </c>
      <c r="M915" s="315">
        <f t="shared" ref="M915" si="3578">L915</f>
        <v>0.15</v>
      </c>
      <c r="N915" s="315">
        <f t="shared" ref="N915" si="3579">M915</f>
        <v>0.15</v>
      </c>
      <c r="O915" s="315">
        <f t="shared" ref="O915" si="3580">N915</f>
        <v>0.15</v>
      </c>
      <c r="P915" s="315">
        <f t="shared" ref="P915" si="3581">O915</f>
        <v>0.15</v>
      </c>
      <c r="Q915" s="315">
        <f t="shared" ref="Q915" si="3582">P915</f>
        <v>0.15</v>
      </c>
      <c r="R915" s="315">
        <f t="shared" ref="R915" si="3583">Q915</f>
        <v>0.15</v>
      </c>
      <c r="S915" s="315">
        <f t="shared" ref="S915" si="3584">R915</f>
        <v>0.15</v>
      </c>
      <c r="T915" s="315">
        <f t="shared" ref="T915" si="3585">S915</f>
        <v>0.15</v>
      </c>
      <c r="U915" s="315">
        <f t="shared" ref="U915" si="3586">T915</f>
        <v>0.15</v>
      </c>
      <c r="V915" s="315">
        <f t="shared" ref="V915" si="3587">U915</f>
        <v>0.15</v>
      </c>
      <c r="W915" s="315">
        <f t="shared" ref="W915" si="3588">V915</f>
        <v>0.15</v>
      </c>
      <c r="X915" s="315">
        <f t="shared" ref="X915" si="3589">W915</f>
        <v>0.15</v>
      </c>
      <c r="Y915" s="315">
        <f t="shared" ref="Y915" si="3590">X915</f>
        <v>0.15</v>
      </c>
      <c r="Z915" s="315">
        <f t="shared" ref="Z915" si="3591">Y915</f>
        <v>0.15</v>
      </c>
      <c r="AA915" s="315">
        <f t="shared" ref="AA915" si="3592">Z915</f>
        <v>0.15</v>
      </c>
      <c r="AB915" s="315">
        <f t="shared" ref="AB915" si="3593">AA915</f>
        <v>0.15</v>
      </c>
      <c r="AC915" s="315">
        <f t="shared" ref="AC915" si="3594">AB915</f>
        <v>0.15</v>
      </c>
      <c r="AD915" s="315">
        <f t="shared" ref="AD915" si="3595">AC915</f>
        <v>0.15</v>
      </c>
      <c r="AE915" s="315">
        <f t="shared" ref="AE915" si="3596">AD915</f>
        <v>0.15</v>
      </c>
      <c r="AF915" s="315">
        <f t="shared" ref="AF915" si="3597">AE915</f>
        <v>0.15</v>
      </c>
      <c r="AG915" s="315">
        <f t="shared" ref="AG915" si="3598">AF915</f>
        <v>0.15</v>
      </c>
      <c r="AH915" s="315">
        <f t="shared" ref="AH915" si="3599">AG915</f>
        <v>0.15</v>
      </c>
      <c r="AI915" s="315">
        <f t="shared" ref="AI915" si="3600">AH915</f>
        <v>0.15</v>
      </c>
      <c r="AJ915" s="315">
        <f t="shared" ref="AJ915" si="3601">AI915</f>
        <v>0.15</v>
      </c>
      <c r="AK915" s="315">
        <f t="shared" ref="AK915" si="3602">AJ915</f>
        <v>0.15</v>
      </c>
      <c r="AL915" s="315">
        <f t="shared" ref="AL915" si="3603">AK915</f>
        <v>0.15</v>
      </c>
      <c r="AM915" s="315">
        <f t="shared" ref="AM915" si="3604">AL915</f>
        <v>0.15</v>
      </c>
      <c r="AN915" s="315">
        <f t="shared" ref="AN915" si="3605">AM915</f>
        <v>0.15</v>
      </c>
      <c r="AO915" s="315">
        <f t="shared" ref="AO915" si="3606">AN915</f>
        <v>0.15</v>
      </c>
      <c r="AP915" s="315">
        <f t="shared" ref="AP915" si="3607">AO915</f>
        <v>0.15</v>
      </c>
      <c r="AQ915" s="315">
        <f t="shared" ref="AQ915" si="3608">AP915</f>
        <v>0.15</v>
      </c>
      <c r="AR915" s="315">
        <f t="shared" ref="AR915" si="3609">AQ915</f>
        <v>0.15</v>
      </c>
      <c r="AS915" s="315">
        <f t="shared" ref="AS915" si="3610">AR915</f>
        <v>0.15</v>
      </c>
      <c r="AT915" s="315">
        <f t="shared" ref="AT915" si="3611">AS915</f>
        <v>0.15</v>
      </c>
      <c r="AU915" s="315">
        <f t="shared" ref="AU915" si="3612">AT915</f>
        <v>0.15</v>
      </c>
      <c r="AV915" s="315">
        <f t="shared" ref="AV915" si="3613">AU915</f>
        <v>0.15</v>
      </c>
      <c r="AW915" s="159"/>
      <c r="AX915" s="160"/>
    </row>
    <row r="916" spans="1:50" x14ac:dyDescent="0.2">
      <c r="A916" s="154" t="str">
        <f ca="1">Language!A$1091</f>
        <v>отсрочка выплаты процентов</v>
      </c>
      <c r="B916" s="326">
        <v>0</v>
      </c>
      <c r="C916" s="157" t="str">
        <f ca="1">Language!$A$1456</f>
        <v>периодов</v>
      </c>
      <c r="D916" s="158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  <c r="AN916" s="94"/>
      <c r="AO916" s="94"/>
      <c r="AP916" s="94"/>
      <c r="AQ916" s="94"/>
      <c r="AR916" s="94"/>
      <c r="AS916" s="94"/>
      <c r="AT916" s="94"/>
      <c r="AU916" s="94"/>
      <c r="AV916" s="94"/>
      <c r="AW916" s="94"/>
      <c r="AX916" s="160"/>
    </row>
    <row r="917" spans="1:50" x14ac:dyDescent="0.2">
      <c r="A917" s="154" t="str">
        <f ca="1">Language!A$1092</f>
        <v>капитализация невыплаченных процентов</v>
      </c>
      <c r="B917" s="328">
        <v>1</v>
      </c>
      <c r="C917" s="146" t="str">
        <f ca="1">IF(B917=1,Language!$A$1447,Language!$A$1448)</f>
        <v>Да</v>
      </c>
      <c r="D917" s="158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  <c r="AN917" s="94"/>
      <c r="AO917" s="94"/>
      <c r="AP917" s="94"/>
      <c r="AQ917" s="94"/>
      <c r="AR917" s="94"/>
      <c r="AS917" s="94"/>
      <c r="AT917" s="94"/>
      <c r="AU917" s="94"/>
      <c r="AV917" s="94"/>
      <c r="AW917" s="94"/>
      <c r="AX917" s="160"/>
    </row>
    <row r="918" spans="1:50" s="94" customFormat="1" x14ac:dyDescent="0.2">
      <c r="A918" s="154" t="str">
        <f ca="1">Language!A$1093</f>
        <v>срок кредитования</v>
      </c>
      <c r="B918" s="231">
        <f ca="1">IF(OFFSET(G921,0,Prj_Len-1)&gt;0,"-",AX925/12)</f>
        <v>4.75</v>
      </c>
      <c r="C918" s="130" t="str">
        <f ca="1">Language!A$48</f>
        <v>лет</v>
      </c>
      <c r="D918" s="158"/>
      <c r="E918" s="114"/>
      <c r="F918" s="57"/>
      <c r="AX918" s="160"/>
    </row>
    <row r="919" spans="1:50" x14ac:dyDescent="0.2">
      <c r="A919" s="154" t="str">
        <f ca="1">Language!A$1094</f>
        <v>поступление денег от кредита</v>
      </c>
      <c r="B919" s="44"/>
      <c r="C919" s="146" t="str">
        <f t="shared" ref="C919:C923" ca="1" si="3614">CHOOSE(D919,CurName1,CurName2,CurName3)</f>
        <v>тыс. руб.</v>
      </c>
      <c r="D919" s="155">
        <f>D914</f>
        <v>1</v>
      </c>
      <c r="E919" s="57" t="s">
        <v>1456</v>
      </c>
      <c r="F919" s="57" t="s">
        <v>753</v>
      </c>
      <c r="G919" s="310">
        <v>0</v>
      </c>
      <c r="H919" s="310">
        <v>50000</v>
      </c>
      <c r="I919" s="310">
        <v>150000</v>
      </c>
      <c r="J919" s="310">
        <v>100000</v>
      </c>
      <c r="K919" s="310">
        <v>0</v>
      </c>
      <c r="L919" s="310">
        <v>0</v>
      </c>
      <c r="M919" s="310">
        <v>0</v>
      </c>
      <c r="N919" s="310">
        <v>0</v>
      </c>
      <c r="O919" s="310">
        <v>0</v>
      </c>
      <c r="P919" s="310">
        <v>0</v>
      </c>
      <c r="Q919" s="310">
        <v>0</v>
      </c>
      <c r="R919" s="310">
        <v>0</v>
      </c>
      <c r="S919" s="310">
        <v>0</v>
      </c>
      <c r="T919" s="310">
        <v>0</v>
      </c>
      <c r="U919" s="310">
        <v>0</v>
      </c>
      <c r="V919" s="310">
        <v>0</v>
      </c>
      <c r="W919" s="310">
        <v>0</v>
      </c>
      <c r="X919" s="310">
        <v>0</v>
      </c>
      <c r="Y919" s="310">
        <v>0</v>
      </c>
      <c r="Z919" s="310">
        <v>0</v>
      </c>
      <c r="AA919" s="310">
        <v>0</v>
      </c>
      <c r="AB919" s="310">
        <v>0</v>
      </c>
      <c r="AC919" s="310">
        <v>0</v>
      </c>
      <c r="AD919" s="310">
        <v>0</v>
      </c>
      <c r="AE919" s="310">
        <v>0</v>
      </c>
      <c r="AF919" s="310">
        <v>0</v>
      </c>
      <c r="AG919" s="310">
        <v>0</v>
      </c>
      <c r="AH919" s="310">
        <v>0</v>
      </c>
      <c r="AI919" s="310">
        <v>0</v>
      </c>
      <c r="AJ919" s="310">
        <v>0</v>
      </c>
      <c r="AK919" s="310">
        <v>0</v>
      </c>
      <c r="AL919" s="310">
        <v>0</v>
      </c>
      <c r="AM919" s="310">
        <v>0</v>
      </c>
      <c r="AN919" s="310">
        <v>0</v>
      </c>
      <c r="AO919" s="310">
        <v>0</v>
      </c>
      <c r="AP919" s="310">
        <v>0</v>
      </c>
      <c r="AQ919" s="310">
        <v>0</v>
      </c>
      <c r="AR919" s="310">
        <v>0</v>
      </c>
      <c r="AS919" s="310">
        <v>0</v>
      </c>
      <c r="AT919" s="310">
        <v>0</v>
      </c>
      <c r="AU919" s="310">
        <v>0</v>
      </c>
      <c r="AV919" s="310">
        <v>0</v>
      </c>
      <c r="AW919" s="156"/>
      <c r="AX919" s="142">
        <f>SUM(G919:AW919)</f>
        <v>300000</v>
      </c>
    </row>
    <row r="920" spans="1:50" x14ac:dyDescent="0.2">
      <c r="A920" s="154" t="str">
        <f ca="1">Language!A$1095</f>
        <v>погашение кредита</v>
      </c>
      <c r="B920" s="44"/>
      <c r="C920" s="146" t="str">
        <f t="shared" ca="1" si="3614"/>
        <v>тыс. руб.</v>
      </c>
      <c r="D920" s="155">
        <f>D914</f>
        <v>1</v>
      </c>
      <c r="E920" s="57" t="s">
        <v>1457</v>
      </c>
      <c r="F920" s="57" t="s">
        <v>753</v>
      </c>
      <c r="G920" s="310">
        <v>0</v>
      </c>
      <c r="H920" s="310">
        <v>0</v>
      </c>
      <c r="I920" s="310">
        <v>0</v>
      </c>
      <c r="J920" s="310">
        <v>0</v>
      </c>
      <c r="K920" s="310">
        <v>0</v>
      </c>
      <c r="L920" s="310">
        <v>0</v>
      </c>
      <c r="M920" s="310">
        <v>0</v>
      </c>
      <c r="N920" s="310">
        <v>0</v>
      </c>
      <c r="O920" s="310">
        <v>0</v>
      </c>
      <c r="P920" s="310">
        <v>0</v>
      </c>
      <c r="Q920" s="310">
        <v>0</v>
      </c>
      <c r="R920" s="310">
        <v>0</v>
      </c>
      <c r="S920" s="310">
        <v>0</v>
      </c>
      <c r="T920" s="310">
        <v>0</v>
      </c>
      <c r="U920" s="310">
        <v>51939.39544417728</v>
      </c>
      <c r="V920" s="310">
        <v>52315.275157786265</v>
      </c>
      <c r="W920" s="310">
        <v>54306.522116906708</v>
      </c>
      <c r="X920" s="310">
        <v>54940.13943590835</v>
      </c>
      <c r="Y920" s="310">
        <v>50558.021536544911</v>
      </c>
      <c r="Z920" s="310">
        <v>35940.646308676514</v>
      </c>
      <c r="AA920" s="310">
        <v>0</v>
      </c>
      <c r="AB920" s="310">
        <v>0</v>
      </c>
      <c r="AC920" s="310">
        <v>0</v>
      </c>
      <c r="AD920" s="310">
        <v>0</v>
      </c>
      <c r="AE920" s="310">
        <v>0</v>
      </c>
      <c r="AF920" s="310">
        <v>0</v>
      </c>
      <c r="AG920" s="310">
        <v>0</v>
      </c>
      <c r="AH920" s="310">
        <v>0</v>
      </c>
      <c r="AI920" s="310">
        <v>0</v>
      </c>
      <c r="AJ920" s="310">
        <v>0</v>
      </c>
      <c r="AK920" s="310">
        <v>0</v>
      </c>
      <c r="AL920" s="310">
        <v>0</v>
      </c>
      <c r="AM920" s="310">
        <v>0</v>
      </c>
      <c r="AN920" s="310">
        <v>0</v>
      </c>
      <c r="AO920" s="310">
        <v>0</v>
      </c>
      <c r="AP920" s="310">
        <v>0</v>
      </c>
      <c r="AQ920" s="310">
        <v>0</v>
      </c>
      <c r="AR920" s="310">
        <v>0</v>
      </c>
      <c r="AS920" s="310">
        <v>0</v>
      </c>
      <c r="AT920" s="310">
        <v>0</v>
      </c>
      <c r="AU920" s="310">
        <v>0</v>
      </c>
      <c r="AV920" s="310">
        <v>0</v>
      </c>
      <c r="AW920" s="156"/>
      <c r="AX920" s="142">
        <f>SUM(G920:AW920)</f>
        <v>300000</v>
      </c>
    </row>
    <row r="921" spans="1:50" x14ac:dyDescent="0.2">
      <c r="A921" s="161" t="str">
        <f ca="1">Language!A$1096</f>
        <v>задолженность по кредиту</v>
      </c>
      <c r="B921" s="162"/>
      <c r="C921" s="146" t="str">
        <f t="shared" ca="1" si="3614"/>
        <v>тыс. руб.</v>
      </c>
      <c r="D921" s="155">
        <f>D914</f>
        <v>1</v>
      </c>
      <c r="E921" s="57" t="s">
        <v>1041</v>
      </c>
      <c r="F921" s="57" t="s">
        <v>756</v>
      </c>
      <c r="G921" s="163">
        <f>SUM($G922:G922)-SUM($G923:G923)+SUM($G919:G919)-SUM($G920:G920)</f>
        <v>0</v>
      </c>
      <c r="H921" s="163">
        <f>SUM($G922:H922)-SUM($G923:H923)+SUM($G919:H919)-SUM($G920:H920)</f>
        <v>50000</v>
      </c>
      <c r="I921" s="163">
        <f>SUM($G922:I922)-SUM($G923:I923)+SUM($G919:I919)-SUM($G920:I920)</f>
        <v>200000</v>
      </c>
      <c r="J921" s="163">
        <f>SUM($G922:J922)-SUM($G923:J923)+SUM($G919:J919)-SUM($G920:J920)</f>
        <v>300000</v>
      </c>
      <c r="K921" s="163">
        <f>SUM($G922:K922)-SUM($G923:K923)+SUM($G919:K919)-SUM($G920:K920)</f>
        <v>300000</v>
      </c>
      <c r="L921" s="163">
        <f>SUM($G922:L922)-SUM($G923:L923)+SUM($G919:L919)-SUM($G920:L920)</f>
        <v>300000</v>
      </c>
      <c r="M921" s="163">
        <f>SUM($G922:M922)-SUM($G923:M923)+SUM($G919:M919)-SUM($G920:M920)</f>
        <v>300000</v>
      </c>
      <c r="N921" s="163">
        <f>SUM($G922:N922)-SUM($G923:N923)+SUM($G919:N919)-SUM($G920:N920)</f>
        <v>300000</v>
      </c>
      <c r="O921" s="163">
        <f>SUM($G922:O922)-SUM($G923:O923)+SUM($G919:O919)-SUM($G920:O920)</f>
        <v>300000</v>
      </c>
      <c r="P921" s="163">
        <f>SUM($G922:P922)-SUM($G923:P923)+SUM($G919:P919)-SUM($G920:P920)</f>
        <v>300000</v>
      </c>
      <c r="Q921" s="163">
        <f>SUM($G922:Q922)-SUM($G923:Q923)+SUM($G919:Q919)-SUM($G920:Q920)</f>
        <v>300000</v>
      </c>
      <c r="R921" s="163">
        <f>SUM($G922:R922)-SUM($G923:R923)+SUM($G919:R919)-SUM($G920:R920)</f>
        <v>300000</v>
      </c>
      <c r="S921" s="163">
        <f>SUM($G922:S922)-SUM($G923:S923)+SUM($G919:S919)-SUM($G920:S920)</f>
        <v>300000</v>
      </c>
      <c r="T921" s="163">
        <f>SUM($G922:T922)-SUM($G923:T923)+SUM($G919:T919)-SUM($G920:T920)</f>
        <v>300000</v>
      </c>
      <c r="U921" s="163">
        <f>SUM($G922:U922)-SUM($G923:U923)+SUM($G919:U919)-SUM($G920:U920)</f>
        <v>248060.60455582273</v>
      </c>
      <c r="V921" s="163">
        <f>SUM($G922:V922)-SUM($G923:V923)+SUM($G919:V919)-SUM($G920:V920)</f>
        <v>195745.32939803647</v>
      </c>
      <c r="W921" s="163">
        <f>SUM($G922:W922)-SUM($G923:W923)+SUM($G919:W919)-SUM($G920:W920)</f>
        <v>141438.80728112976</v>
      </c>
      <c r="X921" s="163">
        <f>SUM($G922:X922)-SUM($G923:X923)+SUM($G919:X919)-SUM($G920:X920)</f>
        <v>86498.667845221411</v>
      </c>
      <c r="Y921" s="163">
        <f>SUM($G922:Y922)-SUM($G923:Y923)+SUM($G919:Y919)-SUM($G920:Y920)</f>
        <v>35940.646308676514</v>
      </c>
      <c r="Z921" s="163">
        <f>SUM($G922:Z922)-SUM($G923:Z923)+SUM($G919:Z919)-SUM($G920:Z920)</f>
        <v>0</v>
      </c>
      <c r="AA921" s="163">
        <f>SUM($G922:AA922)-SUM($G923:AA923)+SUM($G919:AA919)-SUM($G920:AA920)</f>
        <v>0</v>
      </c>
      <c r="AB921" s="163">
        <f>SUM($G922:AB922)-SUM($G923:AB923)+SUM($G919:AB919)-SUM($G920:AB920)</f>
        <v>0</v>
      </c>
      <c r="AC921" s="163">
        <f>SUM($G922:AC922)-SUM($G923:AC923)+SUM($G919:AC919)-SUM($G920:AC920)</f>
        <v>0</v>
      </c>
      <c r="AD921" s="163">
        <f>SUM($G922:AD922)-SUM($G923:AD923)+SUM($G919:AD919)-SUM($G920:AD920)</f>
        <v>0</v>
      </c>
      <c r="AE921" s="163">
        <f>SUM($G922:AE922)-SUM($G923:AE923)+SUM($G919:AE919)-SUM($G920:AE920)</f>
        <v>0</v>
      </c>
      <c r="AF921" s="163">
        <f>SUM($G922:AF922)-SUM($G923:AF923)+SUM($G919:AF919)-SUM($G920:AF920)</f>
        <v>0</v>
      </c>
      <c r="AG921" s="163">
        <f>SUM($G922:AG922)-SUM($G923:AG923)+SUM($G919:AG919)-SUM($G920:AG920)</f>
        <v>0</v>
      </c>
      <c r="AH921" s="163">
        <f>SUM($G922:AH922)-SUM($G923:AH923)+SUM($G919:AH919)-SUM($G920:AH920)</f>
        <v>0</v>
      </c>
      <c r="AI921" s="163">
        <f>SUM($G922:AI922)-SUM($G923:AI923)+SUM($G919:AI919)-SUM($G920:AI920)</f>
        <v>0</v>
      </c>
      <c r="AJ921" s="163">
        <f>SUM($G922:AJ922)-SUM($G923:AJ923)+SUM($G919:AJ919)-SUM($G920:AJ920)</f>
        <v>0</v>
      </c>
      <c r="AK921" s="163">
        <f>SUM($G922:AK922)-SUM($G923:AK923)+SUM($G919:AK919)-SUM($G920:AK920)</f>
        <v>0</v>
      </c>
      <c r="AL921" s="163">
        <f>SUM($G922:AL922)-SUM($G923:AL923)+SUM($G919:AL919)-SUM($G920:AL920)</f>
        <v>0</v>
      </c>
      <c r="AM921" s="163">
        <f>SUM($G922:AM922)-SUM($G923:AM923)+SUM($G919:AM919)-SUM($G920:AM920)</f>
        <v>0</v>
      </c>
      <c r="AN921" s="163">
        <f>SUM($G922:AN922)-SUM($G923:AN923)+SUM($G919:AN919)-SUM($G920:AN920)</f>
        <v>0</v>
      </c>
      <c r="AO921" s="163">
        <f>SUM($G922:AO922)-SUM($G923:AO923)+SUM($G919:AO919)-SUM($G920:AO920)</f>
        <v>0</v>
      </c>
      <c r="AP921" s="163">
        <f>SUM($G922:AP922)-SUM($G923:AP923)+SUM($G919:AP919)-SUM($G920:AP920)</f>
        <v>0</v>
      </c>
      <c r="AQ921" s="163">
        <f>SUM($G922:AQ922)-SUM($G923:AQ923)+SUM($G919:AQ919)-SUM($G920:AQ920)</f>
        <v>0</v>
      </c>
      <c r="AR921" s="163">
        <f>SUM($G922:AR922)-SUM($G923:AR923)+SUM($G919:AR919)-SUM($G920:AR920)</f>
        <v>0</v>
      </c>
      <c r="AS921" s="163">
        <f>SUM($G922:AS922)-SUM($G923:AS923)+SUM($G919:AS919)-SUM($G920:AS920)</f>
        <v>0</v>
      </c>
      <c r="AT921" s="163">
        <f>SUM($G922:AT922)-SUM($G923:AT923)+SUM($G919:AT919)-SUM($G920:AT920)</f>
        <v>0</v>
      </c>
      <c r="AU921" s="163">
        <f>SUM($G922:AU922)-SUM($G923:AU923)+SUM($G919:AU919)-SUM($G920:AU920)</f>
        <v>0</v>
      </c>
      <c r="AV921" s="163">
        <f>SUM($G922:AV922)-SUM($G923:AV923)+SUM($G919:AV919)-SUM($G920:AV920)</f>
        <v>0</v>
      </c>
      <c r="AW921" s="164"/>
      <c r="AX921" s="165"/>
    </row>
    <row r="922" spans="1:50" collapsed="1" x14ac:dyDescent="0.2">
      <c r="A922" s="161" t="str">
        <f ca="1">Language!A$1097</f>
        <v>начисленные проценты</v>
      </c>
      <c r="B922" s="166"/>
      <c r="C922" s="146" t="str">
        <f t="shared" ca="1" si="3614"/>
        <v>тыс. руб.</v>
      </c>
      <c r="D922" s="155">
        <f>D914</f>
        <v>1</v>
      </c>
      <c r="E922" s="57" t="s">
        <v>1458</v>
      </c>
      <c r="F922" s="57" t="s">
        <v>753</v>
      </c>
      <c r="G922" s="163">
        <f>MAX((SUM($G919:G919)-SUM($G920:G920)+IF(AND($B917=1,G$2&gt;1),SUM($F922:F922)-SUM($F923:F923),0)), 0) * G915/12*Параметры!G$31</f>
        <v>0</v>
      </c>
      <c r="H922" s="163">
        <f>MAX((SUM($G919:H919)-SUM($G920:H920)+IF(AND($B917=1,H$2&gt;1),SUM($F922:G922)-SUM($F923:G923),0)), 0) * H915/12*Параметры!H$31</f>
        <v>1875</v>
      </c>
      <c r="I922" s="163">
        <f>MAX((SUM($G919:I919)-SUM($G920:I920)+IF(AND($B917=1,I$2&gt;1),SUM($F922:H922)-SUM($F923:H923),0)), 0) * I915/12*Параметры!I$31</f>
        <v>7500</v>
      </c>
      <c r="J922" s="163">
        <f>MAX((SUM($G919:J919)-SUM($G920:J920)+IF(AND($B917=1,J$2&gt;1),SUM($F922:I922)-SUM($F923:I923),0)), 0) * J915/12*Параметры!J$31</f>
        <v>11250</v>
      </c>
      <c r="K922" s="163">
        <f>MAX((SUM($G919:K919)-SUM($G920:K920)+IF(AND($B917=1,K$2&gt;1),SUM($F922:J922)-SUM($F923:J923),0)), 0) * K915/12*Параметры!K$31</f>
        <v>11250</v>
      </c>
      <c r="L922" s="163">
        <f>MAX((SUM($G919:L919)-SUM($G920:L920)+IF(AND($B917=1,L$2&gt;1),SUM($F922:K922)-SUM($F923:K923),0)), 0) * L915/12*Параметры!L$31</f>
        <v>11250</v>
      </c>
      <c r="M922" s="163">
        <f>MAX((SUM($G919:M919)-SUM($G920:M920)+IF(AND($B917=1,M$2&gt;1),SUM($F922:L922)-SUM($F923:L923),0)), 0) * M915/12*Параметры!M$31</f>
        <v>11250</v>
      </c>
      <c r="N922" s="163">
        <f>MAX((SUM($G919:N919)-SUM($G920:N920)+IF(AND($B917=1,N$2&gt;1),SUM($F922:M922)-SUM($F923:M923),0)), 0) * N915/12*Параметры!N$31</f>
        <v>11250</v>
      </c>
      <c r="O922" s="163">
        <f>MAX((SUM($G919:O919)-SUM($G920:O920)+IF(AND($B917=1,O$2&gt;1),SUM($F922:N922)-SUM($F923:N923),0)), 0) * O915/12*Параметры!O$31</f>
        <v>11250</v>
      </c>
      <c r="P922" s="163">
        <f>MAX((SUM($G919:P919)-SUM($G920:P920)+IF(AND($B917=1,P$2&gt;1),SUM($F922:O922)-SUM($F923:O923),0)), 0) * P915/12*Параметры!P$31</f>
        <v>11250</v>
      </c>
      <c r="Q922" s="163">
        <f>MAX((SUM($G919:Q919)-SUM($G920:Q920)+IF(AND($B917=1,Q$2&gt;1),SUM($F922:P922)-SUM($F923:P923),0)), 0) * Q915/12*Параметры!Q$31</f>
        <v>11250</v>
      </c>
      <c r="R922" s="163">
        <f>MAX((SUM($G919:R919)-SUM($G920:R920)+IF(AND($B917=1,R$2&gt;1),SUM($F922:Q922)-SUM($F923:Q923),0)), 0) * R915/12*Параметры!R$31</f>
        <v>11250</v>
      </c>
      <c r="S922" s="163">
        <f>MAX((SUM($G919:S919)-SUM($G920:S920)+IF(AND($B917=1,S$2&gt;1),SUM($F922:R922)-SUM($F923:R923),0)), 0) * S915/12*Параметры!S$31</f>
        <v>11250</v>
      </c>
      <c r="T922" s="163">
        <f>MAX((SUM($G919:T919)-SUM($G920:T920)+IF(AND($B917=1,T$2&gt;1),SUM($F922:S922)-SUM($F923:S923),0)), 0) * T915/12*Параметры!T$31</f>
        <v>11250</v>
      </c>
      <c r="U922" s="163">
        <f>MAX((SUM($G919:U919)-SUM($G920:U920)+IF(AND($B917=1,U$2&gt;1),SUM($F922:T922)-SUM($F923:T923),0)), 0) * U915/12*Параметры!U$31</f>
        <v>9302.2726708433529</v>
      </c>
      <c r="V922" s="163">
        <f>MAX((SUM($G919:V919)-SUM($G920:V920)+IF(AND($B917=1,V$2&gt;1),SUM($F922:U922)-SUM($F923:U923),0)), 0) * V915/12*Параметры!V$31</f>
        <v>7340.4498524263672</v>
      </c>
      <c r="W922" s="163">
        <f>MAX((SUM($G919:W919)-SUM($G920:W920)+IF(AND($B917=1,W$2&gt;1),SUM($F922:V922)-SUM($F923:V923),0)), 0) * W915/12*Параметры!W$31</f>
        <v>5303.9552730423657</v>
      </c>
      <c r="X922" s="163">
        <f>MAX((SUM($G919:X919)-SUM($G920:X920)+IF(AND($B917=1,X$2&gt;1),SUM($F922:W922)-SUM($F923:W923),0)), 0) * X915/12*Параметры!X$31</f>
        <v>3243.7000441958025</v>
      </c>
      <c r="Y922" s="163">
        <f>MAX((SUM($G919:Y919)-SUM($G920:Y920)+IF(AND($B917=1,Y$2&gt;1),SUM($F922:X922)-SUM($F923:X923),0)), 0) * Y915/12*Параметры!Y$31</f>
        <v>1347.7742365753693</v>
      </c>
      <c r="Z922" s="163">
        <f>MAX((SUM($G919:Z919)-SUM($G920:Z920)+IF(AND($B917=1,Z$2&gt;1),SUM($F922:Y922)-SUM($F923:Y923),0)), 0) * Z915/12*Параметры!Z$31</f>
        <v>0</v>
      </c>
      <c r="AA922" s="163">
        <f>MAX((SUM($G919:AA919)-SUM($G920:AA920)+IF(AND($B917=1,AA$2&gt;1),SUM($F922:Z922)-SUM($F923:Z923),0)), 0) * AA915/12*Параметры!AA$31</f>
        <v>0</v>
      </c>
      <c r="AB922" s="163">
        <f>MAX((SUM($G919:AB919)-SUM($G920:AB920)+IF(AND($B917=1,AB$2&gt;1),SUM($F922:AA922)-SUM($F923:AA923),0)), 0) * AB915/12*Параметры!AB$31</f>
        <v>0</v>
      </c>
      <c r="AC922" s="163">
        <f>MAX((SUM($G919:AC919)-SUM($G920:AC920)+IF(AND($B917=1,AC$2&gt;1),SUM($F922:AB922)-SUM($F923:AB923),0)), 0) * AC915/12*Параметры!AC$31</f>
        <v>0</v>
      </c>
      <c r="AD922" s="163">
        <f>MAX((SUM($G919:AD919)-SUM($G920:AD920)+IF(AND($B917=1,AD$2&gt;1),SUM($F922:AC922)-SUM($F923:AC923),0)), 0) * AD915/12*Параметры!AD$31</f>
        <v>0</v>
      </c>
      <c r="AE922" s="163">
        <f>MAX((SUM($G919:AE919)-SUM($G920:AE920)+IF(AND($B917=1,AE$2&gt;1),SUM($F922:AD922)-SUM($F923:AD923),0)), 0) * AE915/12*Параметры!AE$31</f>
        <v>0</v>
      </c>
      <c r="AF922" s="163">
        <f>MAX((SUM($G919:AF919)-SUM($G920:AF920)+IF(AND($B917=1,AF$2&gt;1),SUM($F922:AE922)-SUM($F923:AE923),0)), 0) * AF915/12*Параметры!AF$31</f>
        <v>0</v>
      </c>
      <c r="AG922" s="163">
        <f>MAX((SUM($G919:AG919)-SUM($G920:AG920)+IF(AND($B917=1,AG$2&gt;1),SUM($F922:AF922)-SUM($F923:AF923),0)), 0) * AG915/12*Параметры!AG$31</f>
        <v>0</v>
      </c>
      <c r="AH922" s="163">
        <f>MAX((SUM($G919:AH919)-SUM($G920:AH920)+IF(AND($B917=1,AH$2&gt;1),SUM($F922:AG922)-SUM($F923:AG923),0)), 0) * AH915/12*Параметры!AH$31</f>
        <v>0</v>
      </c>
      <c r="AI922" s="163">
        <f>MAX((SUM($G919:AI919)-SUM($G920:AI920)+IF(AND($B917=1,AI$2&gt;1),SUM($F922:AH922)-SUM($F923:AH923),0)), 0) * AI915/12*Параметры!AI$31</f>
        <v>0</v>
      </c>
      <c r="AJ922" s="163">
        <f>MAX((SUM($G919:AJ919)-SUM($G920:AJ920)+IF(AND($B917=1,AJ$2&gt;1),SUM($F922:AI922)-SUM($F923:AI923),0)), 0) * AJ915/12*Параметры!AJ$31</f>
        <v>0</v>
      </c>
      <c r="AK922" s="163">
        <f>MAX((SUM($G919:AK919)-SUM($G920:AK920)+IF(AND($B917=1,AK$2&gt;1),SUM($F922:AJ922)-SUM($F923:AJ923),0)), 0) * AK915/12*Параметры!AK$31</f>
        <v>0</v>
      </c>
      <c r="AL922" s="163">
        <f>MAX((SUM($G919:AL919)-SUM($G920:AL920)+IF(AND($B917=1,AL$2&gt;1),SUM($F922:AK922)-SUM($F923:AK923),0)), 0) * AL915/12*Параметры!AL$31</f>
        <v>0</v>
      </c>
      <c r="AM922" s="163">
        <f>MAX((SUM($G919:AM919)-SUM($G920:AM920)+IF(AND($B917=1,AM$2&gt;1),SUM($F922:AL922)-SUM($F923:AL923),0)), 0) * AM915/12*Параметры!AM$31</f>
        <v>0</v>
      </c>
      <c r="AN922" s="163">
        <f>MAX((SUM($G919:AN919)-SUM($G920:AN920)+IF(AND($B917=1,AN$2&gt;1),SUM($F922:AM922)-SUM($F923:AM923),0)), 0) * AN915/12*Параметры!AN$31</f>
        <v>0</v>
      </c>
      <c r="AO922" s="163">
        <f>MAX((SUM($G919:AO919)-SUM($G920:AO920)+IF(AND($B917=1,AO$2&gt;1),SUM($F922:AN922)-SUM($F923:AN923),0)), 0) * AO915/12*Параметры!AO$31</f>
        <v>0</v>
      </c>
      <c r="AP922" s="163">
        <f>MAX((SUM($G919:AP919)-SUM($G920:AP920)+IF(AND($B917=1,AP$2&gt;1),SUM($F922:AO922)-SUM($F923:AO923),0)), 0) * AP915/12*Параметры!AP$31</f>
        <v>0</v>
      </c>
      <c r="AQ922" s="163">
        <f>MAX((SUM($G919:AQ919)-SUM($G920:AQ920)+IF(AND($B917=1,AQ$2&gt;1),SUM($F922:AP922)-SUM($F923:AP923),0)), 0) * AQ915/12*Параметры!AQ$31</f>
        <v>0</v>
      </c>
      <c r="AR922" s="163">
        <f>MAX((SUM($G919:AR919)-SUM($G920:AR920)+IF(AND($B917=1,AR$2&gt;1),SUM($F922:AQ922)-SUM($F923:AQ923),0)), 0) * AR915/12*Параметры!AR$31</f>
        <v>0</v>
      </c>
      <c r="AS922" s="163">
        <f>MAX((SUM($G919:AS919)-SUM($G920:AS920)+IF(AND($B917=1,AS$2&gt;1),SUM($F922:AR922)-SUM($F923:AR923),0)), 0) * AS915/12*Параметры!AS$31</f>
        <v>0</v>
      </c>
      <c r="AT922" s="163">
        <f>MAX((SUM($G919:AT919)-SUM($G920:AT920)+IF(AND($B917=1,AT$2&gt;1),SUM($F922:AS922)-SUM($F923:AS923),0)), 0) * AT915/12*Параметры!AT$31</f>
        <v>0</v>
      </c>
      <c r="AU922" s="163">
        <f>MAX((SUM($G919:AU919)-SUM($G920:AU920)+IF(AND($B917=1,AU$2&gt;1),SUM($F922:AT922)-SUM($F923:AT923),0)), 0) * AU915/12*Параметры!AU$31</f>
        <v>0</v>
      </c>
      <c r="AV922" s="163">
        <f>MAX((SUM($G919:AV919)-SUM($G920:AV920)+IF(AND($B917=1,AV$2&gt;1),SUM($F922:AU922)-SUM($F923:AU923),0)), 0) * AV915/12*Параметры!AV$31</f>
        <v>0</v>
      </c>
      <c r="AW922" s="164"/>
      <c r="AX922" s="165">
        <f>SUM(G922:AW922)</f>
        <v>159663.15207708327</v>
      </c>
    </row>
    <row r="923" spans="1:50" hidden="1" outlineLevel="1" x14ac:dyDescent="0.2">
      <c r="A923" s="167" t="str">
        <f ca="1">Language!A$1098</f>
        <v>выплаченные проценты</v>
      </c>
      <c r="B923" s="100"/>
      <c r="C923" s="82" t="str">
        <f t="shared" ca="1" si="3614"/>
        <v>тыс. руб.</v>
      </c>
      <c r="D923" s="155">
        <f>D914</f>
        <v>1</v>
      </c>
      <c r="E923" s="57" t="s">
        <v>1459</v>
      </c>
      <c r="F923" s="57" t="s">
        <v>753</v>
      </c>
      <c r="G923" s="316">
        <f t="shared" ref="G923:AV923" si="3615">IF(G$2&gt;=G924+$B916,G922,0)</f>
        <v>0</v>
      </c>
      <c r="H923" s="316">
        <f t="shared" si="3615"/>
        <v>1875</v>
      </c>
      <c r="I923" s="316">
        <f t="shared" si="3615"/>
        <v>7500</v>
      </c>
      <c r="J923" s="316">
        <f t="shared" si="3615"/>
        <v>11250</v>
      </c>
      <c r="K923" s="316">
        <f t="shared" si="3615"/>
        <v>11250</v>
      </c>
      <c r="L923" s="316">
        <f t="shared" si="3615"/>
        <v>11250</v>
      </c>
      <c r="M923" s="316">
        <f t="shared" si="3615"/>
        <v>11250</v>
      </c>
      <c r="N923" s="316">
        <f t="shared" si="3615"/>
        <v>11250</v>
      </c>
      <c r="O923" s="316">
        <f t="shared" si="3615"/>
        <v>11250</v>
      </c>
      <c r="P923" s="316">
        <f t="shared" si="3615"/>
        <v>11250</v>
      </c>
      <c r="Q923" s="316">
        <f t="shared" si="3615"/>
        <v>11250</v>
      </c>
      <c r="R923" s="316">
        <f t="shared" si="3615"/>
        <v>11250</v>
      </c>
      <c r="S923" s="316">
        <f t="shared" si="3615"/>
        <v>11250</v>
      </c>
      <c r="T923" s="316">
        <f t="shared" si="3615"/>
        <v>11250</v>
      </c>
      <c r="U923" s="316">
        <f t="shared" si="3615"/>
        <v>9302.2726708433529</v>
      </c>
      <c r="V923" s="316">
        <f t="shared" si="3615"/>
        <v>7340.4498524263672</v>
      </c>
      <c r="W923" s="316">
        <f t="shared" si="3615"/>
        <v>5303.9552730423657</v>
      </c>
      <c r="X923" s="316">
        <f t="shared" si="3615"/>
        <v>3243.7000441958025</v>
      </c>
      <c r="Y923" s="316">
        <f t="shared" si="3615"/>
        <v>1347.7742365753693</v>
      </c>
      <c r="Z923" s="316">
        <f t="shared" si="3615"/>
        <v>0</v>
      </c>
      <c r="AA923" s="316">
        <f t="shared" si="3615"/>
        <v>0</v>
      </c>
      <c r="AB923" s="316">
        <f t="shared" si="3615"/>
        <v>0</v>
      </c>
      <c r="AC923" s="316">
        <f t="shared" si="3615"/>
        <v>0</v>
      </c>
      <c r="AD923" s="316">
        <f t="shared" si="3615"/>
        <v>0</v>
      </c>
      <c r="AE923" s="316">
        <f t="shared" si="3615"/>
        <v>0</v>
      </c>
      <c r="AF923" s="316">
        <f t="shared" si="3615"/>
        <v>0</v>
      </c>
      <c r="AG923" s="316">
        <f t="shared" si="3615"/>
        <v>0</v>
      </c>
      <c r="AH923" s="316">
        <f t="shared" si="3615"/>
        <v>0</v>
      </c>
      <c r="AI923" s="316">
        <f t="shared" si="3615"/>
        <v>0</v>
      </c>
      <c r="AJ923" s="316">
        <f t="shared" si="3615"/>
        <v>0</v>
      </c>
      <c r="AK923" s="316">
        <f t="shared" si="3615"/>
        <v>0</v>
      </c>
      <c r="AL923" s="316">
        <f t="shared" si="3615"/>
        <v>0</v>
      </c>
      <c r="AM923" s="316">
        <f t="shared" si="3615"/>
        <v>0</v>
      </c>
      <c r="AN923" s="316">
        <f t="shared" si="3615"/>
        <v>0</v>
      </c>
      <c r="AO923" s="316">
        <f t="shared" si="3615"/>
        <v>0</v>
      </c>
      <c r="AP923" s="316">
        <f t="shared" si="3615"/>
        <v>0</v>
      </c>
      <c r="AQ923" s="316">
        <f t="shared" si="3615"/>
        <v>0</v>
      </c>
      <c r="AR923" s="316">
        <f t="shared" si="3615"/>
        <v>0</v>
      </c>
      <c r="AS923" s="316">
        <f t="shared" si="3615"/>
        <v>0</v>
      </c>
      <c r="AT923" s="316">
        <f t="shared" si="3615"/>
        <v>0</v>
      </c>
      <c r="AU923" s="316">
        <f t="shared" si="3615"/>
        <v>0</v>
      </c>
      <c r="AV923" s="316">
        <f t="shared" si="3615"/>
        <v>0</v>
      </c>
      <c r="AW923" s="168"/>
      <c r="AX923" s="169">
        <f>SUM(G923:AW923)</f>
        <v>159663.15207708327</v>
      </c>
    </row>
    <row r="924" spans="1:50" hidden="1" outlineLevel="1" x14ac:dyDescent="0.2">
      <c r="A924" s="167" t="str">
        <f ca="1">Language!A$1099</f>
        <v>период начала кредитования</v>
      </c>
      <c r="B924" s="100"/>
      <c r="C924" s="82" t="str">
        <f ca="1">Language!$A$1452</f>
        <v>период</v>
      </c>
      <c r="D924" s="100"/>
      <c r="F924" s="57" t="s">
        <v>1534</v>
      </c>
      <c r="G924" s="232">
        <f>IF(AND(G$2=1,G919&gt;0),1,IF(AND(F924=0,G919&lt;&gt;0,SUM($E919:F919)=0),G$2,IF(G$2=1,0,F924)))</f>
        <v>0</v>
      </c>
      <c r="H924" s="232">
        <f>IF(AND(H$2=1,H919&gt;0),1,IF(AND(G924=0,H919&lt;&gt;0,SUM($E919:G919)=0),H$2,IF(H$2=1,0,G924)))</f>
        <v>2</v>
      </c>
      <c r="I924" s="232">
        <f>IF(AND(I$2=1,I919&gt;0),1,IF(AND(H924=0,I919&lt;&gt;0,SUM($E919:H919)=0),I$2,IF(I$2=1,0,H924)))</f>
        <v>2</v>
      </c>
      <c r="J924" s="232">
        <f>IF(AND(J$2=1,J919&gt;0),1,IF(AND(I924=0,J919&lt;&gt;0,SUM($E919:I919)=0),J$2,IF(J$2=1,0,I924)))</f>
        <v>2</v>
      </c>
      <c r="K924" s="232">
        <f>IF(AND(K$2=1,K919&gt;0),1,IF(AND(J924=0,K919&lt;&gt;0,SUM($E919:J919)=0),K$2,IF(K$2=1,0,J924)))</f>
        <v>2</v>
      </c>
      <c r="L924" s="232">
        <f>IF(AND(L$2=1,L919&gt;0),1,IF(AND(K924=0,L919&lt;&gt;0,SUM($E919:K919)=0),L$2,IF(L$2=1,0,K924)))</f>
        <v>2</v>
      </c>
      <c r="M924" s="232">
        <f>IF(AND(M$2=1,M919&gt;0),1,IF(AND(L924=0,M919&lt;&gt;0,SUM($E919:L919)=0),M$2,IF(M$2=1,0,L924)))</f>
        <v>2</v>
      </c>
      <c r="N924" s="232">
        <f>IF(AND(N$2=1,N919&gt;0),1,IF(AND(M924=0,N919&lt;&gt;0,SUM($E919:M919)=0),N$2,IF(N$2=1,0,M924)))</f>
        <v>2</v>
      </c>
      <c r="O924" s="232">
        <f>IF(AND(O$2=1,O919&gt;0),1,IF(AND(N924=0,O919&lt;&gt;0,SUM($E919:N919)=0),O$2,IF(O$2=1,0,N924)))</f>
        <v>2</v>
      </c>
      <c r="P924" s="232">
        <f>IF(AND(P$2=1,P919&gt;0),1,IF(AND(O924=0,P919&lt;&gt;0,SUM($E919:O919)=0),P$2,IF(P$2=1,0,O924)))</f>
        <v>2</v>
      </c>
      <c r="Q924" s="232">
        <f>IF(AND(Q$2=1,Q919&gt;0),1,IF(AND(P924=0,Q919&lt;&gt;0,SUM($E919:P919)=0),Q$2,IF(Q$2=1,0,P924)))</f>
        <v>2</v>
      </c>
      <c r="R924" s="232">
        <f>IF(AND(R$2=1,R919&gt;0),1,IF(AND(Q924=0,R919&lt;&gt;0,SUM($E919:Q919)=0),R$2,IF(R$2=1,0,Q924)))</f>
        <v>2</v>
      </c>
      <c r="S924" s="232">
        <f>IF(AND(S$2=1,S919&gt;0),1,IF(AND(R924=0,S919&lt;&gt;0,SUM($E919:R919)=0),S$2,IF(S$2=1,0,R924)))</f>
        <v>2</v>
      </c>
      <c r="T924" s="232">
        <f>IF(AND(T$2=1,T919&gt;0),1,IF(AND(S924=0,T919&lt;&gt;0,SUM($E919:S919)=0),T$2,IF(T$2=1,0,S924)))</f>
        <v>2</v>
      </c>
      <c r="U924" s="232">
        <f>IF(AND(U$2=1,U919&gt;0),1,IF(AND(T924=0,U919&lt;&gt;0,SUM($E919:T919)=0),U$2,IF(U$2=1,0,T924)))</f>
        <v>2</v>
      </c>
      <c r="V924" s="232">
        <f>IF(AND(V$2=1,V919&gt;0),1,IF(AND(U924=0,V919&lt;&gt;0,SUM($E919:U919)=0),V$2,IF(V$2=1,0,U924)))</f>
        <v>2</v>
      </c>
      <c r="W924" s="232">
        <f>IF(AND(W$2=1,W919&gt;0),1,IF(AND(V924=0,W919&lt;&gt;0,SUM($E919:V919)=0),W$2,IF(W$2=1,0,V924)))</f>
        <v>2</v>
      </c>
      <c r="X924" s="232">
        <f>IF(AND(X$2=1,X919&gt;0),1,IF(AND(W924=0,X919&lt;&gt;0,SUM($E919:W919)=0),X$2,IF(X$2=1,0,W924)))</f>
        <v>2</v>
      </c>
      <c r="Y924" s="232">
        <f>IF(AND(Y$2=1,Y919&gt;0),1,IF(AND(X924=0,Y919&lt;&gt;0,SUM($E919:X919)=0),Y$2,IF(Y$2=1,0,X924)))</f>
        <v>2</v>
      </c>
      <c r="Z924" s="232">
        <f>IF(AND(Z$2=1,Z919&gt;0),1,IF(AND(Y924=0,Z919&lt;&gt;0,SUM($E919:Y919)=0),Z$2,IF(Z$2=1,0,Y924)))</f>
        <v>2</v>
      </c>
      <c r="AA924" s="232">
        <f>IF(AND(AA$2=1,AA919&gt;0),1,IF(AND(Z924=0,AA919&lt;&gt;0,SUM($E919:Z919)=0),AA$2,IF(AA$2=1,0,Z924)))</f>
        <v>2</v>
      </c>
      <c r="AB924" s="232">
        <f>IF(AND(AB$2=1,AB919&gt;0),1,IF(AND(AA924=0,AB919&lt;&gt;0,SUM($E919:AA919)=0),AB$2,IF(AB$2=1,0,AA924)))</f>
        <v>2</v>
      </c>
      <c r="AC924" s="232">
        <f>IF(AND(AC$2=1,AC919&gt;0),1,IF(AND(AB924=0,AC919&lt;&gt;0,SUM($E919:AB919)=0),AC$2,IF(AC$2=1,0,AB924)))</f>
        <v>2</v>
      </c>
      <c r="AD924" s="232">
        <f>IF(AND(AD$2=1,AD919&gt;0),1,IF(AND(AC924=0,AD919&lt;&gt;0,SUM($E919:AC919)=0),AD$2,IF(AD$2=1,0,AC924)))</f>
        <v>2</v>
      </c>
      <c r="AE924" s="232">
        <f>IF(AND(AE$2=1,AE919&gt;0),1,IF(AND(AD924=0,AE919&lt;&gt;0,SUM($E919:AD919)=0),AE$2,IF(AE$2=1,0,AD924)))</f>
        <v>2</v>
      </c>
      <c r="AF924" s="232">
        <f>IF(AND(AF$2=1,AF919&gt;0),1,IF(AND(AE924=0,AF919&lt;&gt;0,SUM($E919:AE919)=0),AF$2,IF(AF$2=1,0,AE924)))</f>
        <v>2</v>
      </c>
      <c r="AG924" s="232">
        <f>IF(AND(AG$2=1,AG919&gt;0),1,IF(AND(AF924=0,AG919&lt;&gt;0,SUM($E919:AF919)=0),AG$2,IF(AG$2=1,0,AF924)))</f>
        <v>2</v>
      </c>
      <c r="AH924" s="232">
        <f>IF(AND(AH$2=1,AH919&gt;0),1,IF(AND(AG924=0,AH919&lt;&gt;0,SUM($E919:AG919)=0),AH$2,IF(AH$2=1,0,AG924)))</f>
        <v>2</v>
      </c>
      <c r="AI924" s="232">
        <f>IF(AND(AI$2=1,AI919&gt;0),1,IF(AND(AH924=0,AI919&lt;&gt;0,SUM($E919:AH919)=0),AI$2,IF(AI$2=1,0,AH924)))</f>
        <v>2</v>
      </c>
      <c r="AJ924" s="232">
        <f>IF(AND(AJ$2=1,AJ919&gt;0),1,IF(AND(AI924=0,AJ919&lt;&gt;0,SUM($E919:AI919)=0),AJ$2,IF(AJ$2=1,0,AI924)))</f>
        <v>2</v>
      </c>
      <c r="AK924" s="232">
        <f>IF(AND(AK$2=1,AK919&gt;0),1,IF(AND(AJ924=0,AK919&lt;&gt;0,SUM($E919:AJ919)=0),AK$2,IF(AK$2=1,0,AJ924)))</f>
        <v>2</v>
      </c>
      <c r="AL924" s="232">
        <f>IF(AND(AL$2=1,AL919&gt;0),1,IF(AND(AK924=0,AL919&lt;&gt;0,SUM($E919:AK919)=0),AL$2,IF(AL$2=1,0,AK924)))</f>
        <v>2</v>
      </c>
      <c r="AM924" s="232">
        <f>IF(AND(AM$2=1,AM919&gt;0),1,IF(AND(AL924=0,AM919&lt;&gt;0,SUM($E919:AL919)=0),AM$2,IF(AM$2=1,0,AL924)))</f>
        <v>2</v>
      </c>
      <c r="AN924" s="232">
        <f>IF(AND(AN$2=1,AN919&gt;0),1,IF(AND(AM924=0,AN919&lt;&gt;0,SUM($E919:AM919)=0),AN$2,IF(AN$2=1,0,AM924)))</f>
        <v>2</v>
      </c>
      <c r="AO924" s="232">
        <f>IF(AND(AO$2=1,AO919&gt;0),1,IF(AND(AN924=0,AO919&lt;&gt;0,SUM($E919:AN919)=0),AO$2,IF(AO$2=1,0,AN924)))</f>
        <v>2</v>
      </c>
      <c r="AP924" s="232">
        <f>IF(AND(AP$2=1,AP919&gt;0),1,IF(AND(AO924=0,AP919&lt;&gt;0,SUM($E919:AO919)=0),AP$2,IF(AP$2=1,0,AO924)))</f>
        <v>2</v>
      </c>
      <c r="AQ924" s="232">
        <f>IF(AND(AQ$2=1,AQ919&gt;0),1,IF(AND(AP924=0,AQ919&lt;&gt;0,SUM($E919:AP919)=0),AQ$2,IF(AQ$2=1,0,AP924)))</f>
        <v>2</v>
      </c>
      <c r="AR924" s="232">
        <f>IF(AND(AR$2=1,AR919&gt;0),1,IF(AND(AQ924=0,AR919&lt;&gt;0,SUM($E919:AQ919)=0),AR$2,IF(AR$2=1,0,AQ924)))</f>
        <v>2</v>
      </c>
      <c r="AS924" s="232">
        <f>IF(AND(AS$2=1,AS919&gt;0),1,IF(AND(AR924=0,AS919&lt;&gt;0,SUM($E919:AR919)=0),AS$2,IF(AS$2=1,0,AR924)))</f>
        <v>2</v>
      </c>
      <c r="AT924" s="232">
        <f>IF(AND(AT$2=1,AT919&gt;0),1,IF(AND(AS924=0,AT919&lt;&gt;0,SUM($E919:AS919)=0),AT$2,IF(AT$2=1,0,AS924)))</f>
        <v>2</v>
      </c>
      <c r="AU924" s="232">
        <f>IF(AND(AU$2=1,AU919&gt;0),1,IF(AND(AT924=0,AU919&lt;&gt;0,SUM($E919:AT919)=0),AU$2,IF(AU$2=1,0,AT924)))</f>
        <v>2</v>
      </c>
      <c r="AV924" s="232">
        <f>IF(AND(AV$2=1,AV919&gt;0),1,IF(AND(AU924=0,AV919&lt;&gt;0,SUM($E919:AU919)=0),AV$2,IF(AV$2=1,0,AU924)))</f>
        <v>2</v>
      </c>
      <c r="AW924" s="194"/>
      <c r="AX924" s="169"/>
    </row>
    <row r="925" spans="1:50" hidden="1" outlineLevel="1" x14ac:dyDescent="0.2">
      <c r="A925" s="167" t="str">
        <f ca="1">Language!A$1093</f>
        <v>срок кредитования</v>
      </c>
      <c r="B925" s="100"/>
      <c r="C925" s="82" t="str">
        <f ca="1">Language!A$46</f>
        <v>мес.</v>
      </c>
      <c r="D925" s="100"/>
      <c r="F925" s="57" t="s">
        <v>753</v>
      </c>
      <c r="G925" s="232">
        <f ca="1">IF(G924=0,0,IF(SUM(OFFSET(G921,0,-1):OFFSET(G921,0,Prj_Len-G$2))=0,0,Параметры!G$31))</f>
        <v>0</v>
      </c>
      <c r="H925" s="232">
        <f ca="1">IF(H924=0,0,IF(SUM(OFFSET(H921,0,-1):OFFSET(H921,0,Prj_Len-H$2))=0,0,Параметры!H$31))</f>
        <v>3</v>
      </c>
      <c r="I925" s="232">
        <f ca="1">IF(I924=0,0,IF(SUM(OFFSET(I921,0,-1):OFFSET(I921,0,Prj_Len-I$2))=0,0,Параметры!I$31))</f>
        <v>3</v>
      </c>
      <c r="J925" s="232">
        <f ca="1">IF(J924=0,0,IF(SUM(OFFSET(J921,0,-1):OFFSET(J921,0,Prj_Len-J$2))=0,0,Параметры!J$31))</f>
        <v>3</v>
      </c>
      <c r="K925" s="232">
        <f ca="1">IF(K924=0,0,IF(SUM(OFFSET(K921,0,-1):OFFSET(K921,0,Prj_Len-K$2))=0,0,Параметры!K$31))</f>
        <v>3</v>
      </c>
      <c r="L925" s="232">
        <f ca="1">IF(L924=0,0,IF(SUM(OFFSET(L921,0,-1):OFFSET(L921,0,Prj_Len-L$2))=0,0,Параметры!L$31))</f>
        <v>3</v>
      </c>
      <c r="M925" s="232">
        <f ca="1">IF(M924=0,0,IF(SUM(OFFSET(M921,0,-1):OFFSET(M921,0,Prj_Len-M$2))=0,0,Параметры!M$31))</f>
        <v>3</v>
      </c>
      <c r="N925" s="232">
        <f ca="1">IF(N924=0,0,IF(SUM(OFFSET(N921,0,-1):OFFSET(N921,0,Prj_Len-N$2))=0,0,Параметры!N$31))</f>
        <v>3</v>
      </c>
      <c r="O925" s="232">
        <f ca="1">IF(O924=0,0,IF(SUM(OFFSET(O921,0,-1):OFFSET(O921,0,Prj_Len-O$2))=0,0,Параметры!O$31))</f>
        <v>3</v>
      </c>
      <c r="P925" s="232">
        <f ca="1">IF(P924=0,0,IF(SUM(OFFSET(P921,0,-1):OFFSET(P921,0,Prj_Len-P$2))=0,0,Параметры!P$31))</f>
        <v>3</v>
      </c>
      <c r="Q925" s="232">
        <f ca="1">IF(Q924=0,0,IF(SUM(OFFSET(Q921,0,-1):OFFSET(Q921,0,Prj_Len-Q$2))=0,0,Параметры!Q$31))</f>
        <v>3</v>
      </c>
      <c r="R925" s="232">
        <f ca="1">IF(R924=0,0,IF(SUM(OFFSET(R921,0,-1):OFFSET(R921,0,Prj_Len-R$2))=0,0,Параметры!R$31))</f>
        <v>3</v>
      </c>
      <c r="S925" s="232">
        <f ca="1">IF(S924=0,0,IF(SUM(OFFSET(S921,0,-1):OFFSET(S921,0,Prj_Len-S$2))=0,0,Параметры!S$31))</f>
        <v>3</v>
      </c>
      <c r="T925" s="232">
        <f ca="1">IF(T924=0,0,IF(SUM(OFFSET(T921,0,-1):OFFSET(T921,0,Prj_Len-T$2))=0,0,Параметры!T$31))</f>
        <v>3</v>
      </c>
      <c r="U925" s="232">
        <f ca="1">IF(U924=0,0,IF(SUM(OFFSET(U921,0,-1):OFFSET(U921,0,Prj_Len-U$2))=0,0,Параметры!U$31))</f>
        <v>3</v>
      </c>
      <c r="V925" s="232">
        <f ca="1">IF(V924=0,0,IF(SUM(OFFSET(V921,0,-1):OFFSET(V921,0,Prj_Len-V$2))=0,0,Параметры!V$31))</f>
        <v>3</v>
      </c>
      <c r="W925" s="232">
        <f ca="1">IF(W924=0,0,IF(SUM(OFFSET(W921,0,-1):OFFSET(W921,0,Prj_Len-W$2))=0,0,Параметры!W$31))</f>
        <v>3</v>
      </c>
      <c r="X925" s="232">
        <f ca="1">IF(X924=0,0,IF(SUM(OFFSET(X921,0,-1):OFFSET(X921,0,Prj_Len-X$2))=0,0,Параметры!X$31))</f>
        <v>3</v>
      </c>
      <c r="Y925" s="232">
        <f ca="1">IF(Y924=0,0,IF(SUM(OFFSET(Y921,0,-1):OFFSET(Y921,0,Prj_Len-Y$2))=0,0,Параметры!Y$31))</f>
        <v>3</v>
      </c>
      <c r="Z925" s="232">
        <f ca="1">IF(Z924=0,0,IF(SUM(OFFSET(Z921,0,-1):OFFSET(Z921,0,Prj_Len-Z$2))=0,0,Параметры!Z$31))</f>
        <v>3</v>
      </c>
      <c r="AA925" s="232">
        <f ca="1">IF(AA924=0,0,IF(SUM(OFFSET(AA921,0,-1):OFFSET(AA921,0,Prj_Len-AA$2))=0,0,Параметры!AA$31))</f>
        <v>0</v>
      </c>
      <c r="AB925" s="232">
        <f ca="1">IF(AB924=0,0,IF(SUM(OFFSET(AB921,0,-1):OFFSET(AB921,0,Prj_Len-AB$2))=0,0,Параметры!AB$31))</f>
        <v>0</v>
      </c>
      <c r="AC925" s="232">
        <f ca="1">IF(AC924=0,0,IF(SUM(OFFSET(AC921,0,-1):OFFSET(AC921,0,Prj_Len-AC$2))=0,0,Параметры!AC$31))</f>
        <v>0</v>
      </c>
      <c r="AD925" s="232">
        <f ca="1">IF(AD924=0,0,IF(SUM(OFFSET(AD921,0,-1):OFFSET(AD921,0,Prj_Len-AD$2))=0,0,Параметры!AD$31))</f>
        <v>0</v>
      </c>
      <c r="AE925" s="232">
        <f ca="1">IF(AE924=0,0,IF(SUM(OFFSET(AE921,0,-1):OFFSET(AE921,0,Prj_Len-AE$2))=0,0,Параметры!AE$31))</f>
        <v>0</v>
      </c>
      <c r="AF925" s="232">
        <f ca="1">IF(AF924=0,0,IF(SUM(OFFSET(AF921,0,-1):OFFSET(AF921,0,Prj_Len-AF$2))=0,0,Параметры!AF$31))</f>
        <v>0</v>
      </c>
      <c r="AG925" s="232">
        <f ca="1">IF(AG924=0,0,IF(SUM(OFFSET(AG921,0,-1):OFFSET(AG921,0,Prj_Len-AG$2))=0,0,Параметры!AG$31))</f>
        <v>0</v>
      </c>
      <c r="AH925" s="232">
        <f ca="1">IF(AH924=0,0,IF(SUM(OFFSET(AH921,0,-1):OFFSET(AH921,0,Prj_Len-AH$2))=0,0,Параметры!AH$31))</f>
        <v>0</v>
      </c>
      <c r="AI925" s="232">
        <f ca="1">IF(AI924=0,0,IF(SUM(OFFSET(AI921,0,-1):OFFSET(AI921,0,Prj_Len-AI$2))=0,0,Параметры!AI$31))</f>
        <v>0</v>
      </c>
      <c r="AJ925" s="232">
        <f ca="1">IF(AJ924=0,0,IF(SUM(OFFSET(AJ921,0,-1):OFFSET(AJ921,0,Prj_Len-AJ$2))=0,0,Параметры!AJ$31))</f>
        <v>0</v>
      </c>
      <c r="AK925" s="232">
        <f ca="1">IF(AK924=0,0,IF(SUM(OFFSET(AK921,0,-1):OFFSET(AK921,0,Prj_Len-AK$2))=0,0,Параметры!AK$31))</f>
        <v>0</v>
      </c>
      <c r="AL925" s="232">
        <f ca="1">IF(AL924=0,0,IF(SUM(OFFSET(AL921,0,-1):OFFSET(AL921,0,Prj_Len-AL$2))=0,0,Параметры!AL$31))</f>
        <v>0</v>
      </c>
      <c r="AM925" s="232">
        <f ca="1">IF(AM924=0,0,IF(SUM(OFFSET(AM921,0,-1):OFFSET(AM921,0,Prj_Len-AM$2))=0,0,Параметры!AM$31))</f>
        <v>0</v>
      </c>
      <c r="AN925" s="232">
        <f ca="1">IF(AN924=0,0,IF(SUM(OFFSET(AN921,0,-1):OFFSET(AN921,0,Prj_Len-AN$2))=0,0,Параметры!AN$31))</f>
        <v>0</v>
      </c>
      <c r="AO925" s="232">
        <f ca="1">IF(AO924=0,0,IF(SUM(OFFSET(AO921,0,-1):OFFSET(AO921,0,Prj_Len-AO$2))=0,0,Параметры!AO$31))</f>
        <v>0</v>
      </c>
      <c r="AP925" s="232">
        <f ca="1">IF(AP924=0,0,IF(SUM(OFFSET(AP921,0,-1):OFFSET(AP921,0,Prj_Len-AP$2))=0,0,Параметры!AP$31))</f>
        <v>0</v>
      </c>
      <c r="AQ925" s="232">
        <f ca="1">IF(AQ924=0,0,IF(SUM(OFFSET(AQ921,0,-1):OFFSET(AQ921,0,Prj_Len-AQ$2))=0,0,Параметры!AQ$31))</f>
        <v>0</v>
      </c>
      <c r="AR925" s="232">
        <f ca="1">IF(AR924=0,0,IF(SUM(OFFSET(AR921,0,-1):OFFSET(AR921,0,Prj_Len-AR$2))=0,0,Параметры!AR$31))</f>
        <v>0</v>
      </c>
      <c r="AS925" s="232">
        <f ca="1">IF(AS924=0,0,IF(SUM(OFFSET(AS921,0,-1):OFFSET(AS921,0,Prj_Len-AS$2))=0,0,Параметры!AS$31))</f>
        <v>0</v>
      </c>
      <c r="AT925" s="232">
        <f ca="1">IF(AT924=0,0,IF(SUM(OFFSET(AT921,0,-1):OFFSET(AT921,0,Prj_Len-AT$2))=0,0,Параметры!AT$31))</f>
        <v>0</v>
      </c>
      <c r="AU925" s="232">
        <f ca="1">IF(AU924=0,0,IF(SUM(OFFSET(AU921,0,-1):OFFSET(AU921,0,Prj_Len-AU$2))=0,0,Параметры!AU$31))</f>
        <v>0</v>
      </c>
      <c r="AV925" s="232">
        <f ca="1">IF(AV924=0,0,IF(SUM(OFFSET(AV921,0,-1):OFFSET(AV921,0,Prj_Len-AV$2))=0,0,Параметры!AV$31))</f>
        <v>0</v>
      </c>
      <c r="AW925" s="194"/>
      <c r="AX925" s="169">
        <f ca="1">SUM(G925:AW925)</f>
        <v>57</v>
      </c>
    </row>
    <row r="926" spans="1:50" hidden="1" outlineLevel="1" x14ac:dyDescent="0.2">
      <c r="A926" s="167" t="str">
        <f ca="1">Language!A$1100</f>
        <v>отнесение процентов на стоимость основных средств</v>
      </c>
      <c r="B926" s="330">
        <v>0</v>
      </c>
      <c r="C926" s="82" t="str">
        <f ca="1">IF(B926=1,Language!$A$1447,Language!$A$1448)</f>
        <v>Нет</v>
      </c>
      <c r="D926" s="155">
        <v>1</v>
      </c>
      <c r="E926" s="57" t="s">
        <v>1546</v>
      </c>
      <c r="F926" s="57" t="s">
        <v>753</v>
      </c>
      <c r="G926" s="232">
        <f>IF($B926=1,IF(G$2&lt;$B929,G922,0),0)*CHOOSE($D914,1,Параметры!G$53,Параметры!G$59)</f>
        <v>0</v>
      </c>
      <c r="H926" s="232">
        <f>IF($B926=1,IF(H$2&lt;$B929,H922,0),0)*CHOOSE($D914,1,Параметры!H$53,Параметры!H$59)</f>
        <v>0</v>
      </c>
      <c r="I926" s="232">
        <f>IF($B926=1,IF(I$2&lt;$B929,I922,0),0)*CHOOSE($D914,1,Параметры!I$53,Параметры!I$59)</f>
        <v>0</v>
      </c>
      <c r="J926" s="232">
        <f>IF($B926=1,IF(J$2&lt;$B929,J922,0),0)*CHOOSE($D914,1,Параметры!J$53,Параметры!J$59)</f>
        <v>0</v>
      </c>
      <c r="K926" s="232">
        <f>IF($B926=1,IF(K$2&lt;$B929,K922,0),0)*CHOOSE($D914,1,Параметры!K$53,Параметры!K$59)</f>
        <v>0</v>
      </c>
      <c r="L926" s="232">
        <f>IF($B926=1,IF(L$2&lt;$B929,L922,0),0)*CHOOSE($D914,1,Параметры!L$53,Параметры!L$59)</f>
        <v>0</v>
      </c>
      <c r="M926" s="232">
        <f>IF($B926=1,IF(M$2&lt;$B929,M922,0),0)*CHOOSE($D914,1,Параметры!M$53,Параметры!M$59)</f>
        <v>0</v>
      </c>
      <c r="N926" s="232">
        <f>IF($B926=1,IF(N$2&lt;$B929,N922,0),0)*CHOOSE($D914,1,Параметры!N$53,Параметры!N$59)</f>
        <v>0</v>
      </c>
      <c r="O926" s="232">
        <f>IF($B926=1,IF(O$2&lt;$B929,O922,0),0)*CHOOSE($D914,1,Параметры!O$53,Параметры!O$59)</f>
        <v>0</v>
      </c>
      <c r="P926" s="232">
        <f>IF($B926=1,IF(P$2&lt;$B929,P922,0),0)*CHOOSE($D914,1,Параметры!P$53,Параметры!P$59)</f>
        <v>0</v>
      </c>
      <c r="Q926" s="232">
        <f>IF($B926=1,IF(Q$2&lt;$B929,Q922,0),0)*CHOOSE($D914,1,Параметры!Q$53,Параметры!Q$59)</f>
        <v>0</v>
      </c>
      <c r="R926" s="232">
        <f>IF($B926=1,IF(R$2&lt;$B929,R922,0),0)*CHOOSE($D914,1,Параметры!R$53,Параметры!R$59)</f>
        <v>0</v>
      </c>
      <c r="S926" s="232">
        <f>IF($B926=1,IF(S$2&lt;$B929,S922,0),0)*CHOOSE($D914,1,Параметры!S$53,Параметры!S$59)</f>
        <v>0</v>
      </c>
      <c r="T926" s="232">
        <f>IF($B926=1,IF(T$2&lt;$B929,T922,0),0)*CHOOSE($D914,1,Параметры!T$53,Параметры!T$59)</f>
        <v>0</v>
      </c>
      <c r="U926" s="232">
        <f>IF($B926=1,IF(U$2&lt;$B929,U922,0),0)*CHOOSE($D914,1,Параметры!U$53,Параметры!U$59)</f>
        <v>0</v>
      </c>
      <c r="V926" s="232">
        <f>IF($B926=1,IF(V$2&lt;$B929,V922,0),0)*CHOOSE($D914,1,Параметры!V$53,Параметры!V$59)</f>
        <v>0</v>
      </c>
      <c r="W926" s="232">
        <f>IF($B926=1,IF(W$2&lt;$B929,W922,0),0)*CHOOSE($D914,1,Параметры!W$53,Параметры!W$59)</f>
        <v>0</v>
      </c>
      <c r="X926" s="232">
        <f>IF($B926=1,IF(X$2&lt;$B929,X922,0),0)*CHOOSE($D914,1,Параметры!X$53,Параметры!X$59)</f>
        <v>0</v>
      </c>
      <c r="Y926" s="232">
        <f>IF($B926=1,IF(Y$2&lt;$B929,Y922,0),0)*CHOOSE($D914,1,Параметры!Y$53,Параметры!Y$59)</f>
        <v>0</v>
      </c>
      <c r="Z926" s="232">
        <f>IF($B926=1,IF(Z$2&lt;$B929,Z922,0),0)*CHOOSE($D914,1,Параметры!Z$53,Параметры!Z$59)</f>
        <v>0</v>
      </c>
      <c r="AA926" s="232">
        <f>IF($B926=1,IF(AA$2&lt;$B929,AA922,0),0)*CHOOSE($D914,1,Параметры!AA$53,Параметры!AA$59)</f>
        <v>0</v>
      </c>
      <c r="AB926" s="232">
        <f>IF($B926=1,IF(AB$2&lt;$B929,AB922,0),0)*CHOOSE($D914,1,Параметры!AB$53,Параметры!AB$59)</f>
        <v>0</v>
      </c>
      <c r="AC926" s="232">
        <f>IF($B926=1,IF(AC$2&lt;$B929,AC922,0),0)*CHOOSE($D914,1,Параметры!AC$53,Параметры!AC$59)</f>
        <v>0</v>
      </c>
      <c r="AD926" s="232">
        <f>IF($B926=1,IF(AD$2&lt;$B929,AD922,0),0)*CHOOSE($D914,1,Параметры!AD$53,Параметры!AD$59)</f>
        <v>0</v>
      </c>
      <c r="AE926" s="232">
        <f>IF($B926=1,IF(AE$2&lt;$B929,AE922,0),0)*CHOOSE($D914,1,Параметры!AE$53,Параметры!AE$59)</f>
        <v>0</v>
      </c>
      <c r="AF926" s="232">
        <f>IF($B926=1,IF(AF$2&lt;$B929,AF922,0),0)*CHOOSE($D914,1,Параметры!AF$53,Параметры!AF$59)</f>
        <v>0</v>
      </c>
      <c r="AG926" s="232">
        <f>IF($B926=1,IF(AG$2&lt;$B929,AG922,0),0)*CHOOSE($D914,1,Параметры!AG$53,Параметры!AG$59)</f>
        <v>0</v>
      </c>
      <c r="AH926" s="232">
        <f>IF($B926=1,IF(AH$2&lt;$B929,AH922,0),0)*CHOOSE($D914,1,Параметры!AH$53,Параметры!AH$59)</f>
        <v>0</v>
      </c>
      <c r="AI926" s="232">
        <f>IF($B926=1,IF(AI$2&lt;$B929,AI922,0),0)*CHOOSE($D914,1,Параметры!AI$53,Параметры!AI$59)</f>
        <v>0</v>
      </c>
      <c r="AJ926" s="232">
        <f>IF($B926=1,IF(AJ$2&lt;$B929,AJ922,0),0)*CHOOSE($D914,1,Параметры!AJ$53,Параметры!AJ$59)</f>
        <v>0</v>
      </c>
      <c r="AK926" s="232">
        <f>IF($B926=1,IF(AK$2&lt;$B929,AK922,0),0)*CHOOSE($D914,1,Параметры!AK$53,Параметры!AK$59)</f>
        <v>0</v>
      </c>
      <c r="AL926" s="232">
        <f>IF($B926=1,IF(AL$2&lt;$B929,AL922,0),0)*CHOOSE($D914,1,Параметры!AL$53,Параметры!AL$59)</f>
        <v>0</v>
      </c>
      <c r="AM926" s="232">
        <f>IF($B926=1,IF(AM$2&lt;$B929,AM922,0),0)*CHOOSE($D914,1,Параметры!AM$53,Параметры!AM$59)</f>
        <v>0</v>
      </c>
      <c r="AN926" s="232">
        <f>IF($B926=1,IF(AN$2&lt;$B929,AN922,0),0)*CHOOSE($D914,1,Параметры!AN$53,Параметры!AN$59)</f>
        <v>0</v>
      </c>
      <c r="AO926" s="232">
        <f>IF($B926=1,IF(AO$2&lt;$B929,AO922,0),0)*CHOOSE($D914,1,Параметры!AO$53,Параметры!AO$59)</f>
        <v>0</v>
      </c>
      <c r="AP926" s="232">
        <f>IF($B926=1,IF(AP$2&lt;$B929,AP922,0),0)*CHOOSE($D914,1,Параметры!AP$53,Параметры!AP$59)</f>
        <v>0</v>
      </c>
      <c r="AQ926" s="232">
        <f>IF($B926=1,IF(AQ$2&lt;$B929,AQ922,0),0)*CHOOSE($D914,1,Параметры!AQ$53,Параметры!AQ$59)</f>
        <v>0</v>
      </c>
      <c r="AR926" s="232">
        <f>IF($B926=1,IF(AR$2&lt;$B929,AR922,0),0)*CHOOSE($D914,1,Параметры!AR$53,Параметры!AR$59)</f>
        <v>0</v>
      </c>
      <c r="AS926" s="232">
        <f>IF($B926=1,IF(AS$2&lt;$B929,AS922,0),0)*CHOOSE($D914,1,Параметры!AS$53,Параметры!AS$59)</f>
        <v>0</v>
      </c>
      <c r="AT926" s="232">
        <f>IF($B926=1,IF(AT$2&lt;$B929,AT922,0),0)*CHOOSE($D914,1,Параметры!AT$53,Параметры!AT$59)</f>
        <v>0</v>
      </c>
      <c r="AU926" s="232">
        <f>IF($B926=1,IF(AU$2&lt;$B929,AU922,0),0)*CHOOSE($D914,1,Параметры!AU$53,Параметры!AU$59)</f>
        <v>0</v>
      </c>
      <c r="AV926" s="232">
        <f>IF($B926=1,IF(AV$2&lt;$B929,AV922,0),0)*CHOOSE($D914,1,Параметры!AV$53,Параметры!AV$59)</f>
        <v>0</v>
      </c>
      <c r="AW926" s="194"/>
      <c r="AX926" s="169">
        <f>SUM(G926:AW926)</f>
        <v>0</v>
      </c>
    </row>
    <row r="927" spans="1:50" hidden="1" outlineLevel="1" x14ac:dyDescent="0.2">
      <c r="A927" s="167" t="str">
        <f ca="1">Language!A$1101</f>
        <v>незавершенные инвестиции</v>
      </c>
      <c r="B927" s="214"/>
      <c r="C927" s="82" t="str">
        <f ca="1">CurName1</f>
        <v>тыс. руб.</v>
      </c>
      <c r="D927" s="155">
        <v>1</v>
      </c>
      <c r="E927" s="57" t="s">
        <v>1550</v>
      </c>
      <c r="F927" s="57" t="s">
        <v>754</v>
      </c>
      <c r="G927" s="232">
        <f>SUM($G926:G926)-G928</f>
        <v>0</v>
      </c>
      <c r="H927" s="232">
        <f>SUM($G926:H926)-H928</f>
        <v>0</v>
      </c>
      <c r="I927" s="232">
        <f>SUM($G926:I926)-I928</f>
        <v>0</v>
      </c>
      <c r="J927" s="232">
        <f>SUM($G926:J926)-J928</f>
        <v>0</v>
      </c>
      <c r="K927" s="232">
        <f>SUM($G926:K926)-K928</f>
        <v>0</v>
      </c>
      <c r="L927" s="232">
        <f>SUM($G926:L926)-L928</f>
        <v>0</v>
      </c>
      <c r="M927" s="232">
        <f>SUM($G926:M926)-M928</f>
        <v>0</v>
      </c>
      <c r="N927" s="232">
        <f>SUM($G926:N926)-N928</f>
        <v>0</v>
      </c>
      <c r="O927" s="232">
        <f>SUM($G926:O926)-O928</f>
        <v>0</v>
      </c>
      <c r="P927" s="232">
        <f>SUM($G926:P926)-P928</f>
        <v>0</v>
      </c>
      <c r="Q927" s="232">
        <f>SUM($G926:Q926)-Q928</f>
        <v>0</v>
      </c>
      <c r="R927" s="232">
        <f>SUM($G926:R926)-R928</f>
        <v>0</v>
      </c>
      <c r="S927" s="232">
        <f>SUM($G926:S926)-S928</f>
        <v>0</v>
      </c>
      <c r="T927" s="232">
        <f>SUM($G926:T926)-T928</f>
        <v>0</v>
      </c>
      <c r="U927" s="232">
        <f>SUM($G926:U926)-U928</f>
        <v>0</v>
      </c>
      <c r="V927" s="232">
        <f>SUM($G926:V926)-V928</f>
        <v>0</v>
      </c>
      <c r="W927" s="232">
        <f>SUM($G926:W926)-W928</f>
        <v>0</v>
      </c>
      <c r="X927" s="232">
        <f>SUM($G926:X926)-X928</f>
        <v>0</v>
      </c>
      <c r="Y927" s="232">
        <f>SUM($G926:Y926)-Y928</f>
        <v>0</v>
      </c>
      <c r="Z927" s="232">
        <f>SUM($G926:Z926)-Z928</f>
        <v>0</v>
      </c>
      <c r="AA927" s="232">
        <f>SUM($G926:AA926)-AA928</f>
        <v>0</v>
      </c>
      <c r="AB927" s="232">
        <f>SUM($G926:AB926)-AB928</f>
        <v>0</v>
      </c>
      <c r="AC927" s="232">
        <f>SUM($G926:AC926)-AC928</f>
        <v>0</v>
      </c>
      <c r="AD927" s="232">
        <f>SUM($G926:AD926)-AD928</f>
        <v>0</v>
      </c>
      <c r="AE927" s="232">
        <f>SUM($G926:AE926)-AE928</f>
        <v>0</v>
      </c>
      <c r="AF927" s="232">
        <f>SUM($G926:AF926)-AF928</f>
        <v>0</v>
      </c>
      <c r="AG927" s="232">
        <f>SUM($G926:AG926)-AG928</f>
        <v>0</v>
      </c>
      <c r="AH927" s="232">
        <f>SUM($G926:AH926)-AH928</f>
        <v>0</v>
      </c>
      <c r="AI927" s="232">
        <f>SUM($G926:AI926)-AI928</f>
        <v>0</v>
      </c>
      <c r="AJ927" s="232">
        <f>SUM($G926:AJ926)-AJ928</f>
        <v>0</v>
      </c>
      <c r="AK927" s="232">
        <f>SUM($G926:AK926)-AK928</f>
        <v>0</v>
      </c>
      <c r="AL927" s="232">
        <f>SUM($G926:AL926)-AL928</f>
        <v>0</v>
      </c>
      <c r="AM927" s="232">
        <f>SUM($G926:AM926)-AM928</f>
        <v>0</v>
      </c>
      <c r="AN927" s="232">
        <f>SUM($G926:AN926)-AN928</f>
        <v>0</v>
      </c>
      <c r="AO927" s="232">
        <f>SUM($G926:AO926)-AO928</f>
        <v>0</v>
      </c>
      <c r="AP927" s="232">
        <f>SUM($G926:AP926)-AP928</f>
        <v>0</v>
      </c>
      <c r="AQ927" s="232">
        <f>SUM($G926:AQ926)-AQ928</f>
        <v>0</v>
      </c>
      <c r="AR927" s="232">
        <f>SUM($G926:AR926)-AR928</f>
        <v>0</v>
      </c>
      <c r="AS927" s="232">
        <f>SUM($G926:AS926)-AS928</f>
        <v>0</v>
      </c>
      <c r="AT927" s="232">
        <f>SUM($G926:AT926)-AT928</f>
        <v>0</v>
      </c>
      <c r="AU927" s="232">
        <f>SUM($G926:AU926)-AU928</f>
        <v>0</v>
      </c>
      <c r="AV927" s="232">
        <f>SUM($G926:AV926)-AV928</f>
        <v>0</v>
      </c>
      <c r="AW927" s="194"/>
      <c r="AX927" s="169"/>
    </row>
    <row r="928" spans="1:50" hidden="1" outlineLevel="1" x14ac:dyDescent="0.2">
      <c r="A928" s="167" t="str">
        <f ca="1">Language!A$1102</f>
        <v>проценты в стоимости основных средств</v>
      </c>
      <c r="B928" s="214"/>
      <c r="C928" s="82" t="str">
        <f ca="1">CurName1</f>
        <v>тыс. руб.</v>
      </c>
      <c r="D928" s="100"/>
      <c r="F928" s="57" t="s">
        <v>754</v>
      </c>
      <c r="G928" s="232">
        <f>IF($B926=1,IF(G$2&gt;=$B929,SUM($F926:F926),0),0)</f>
        <v>0</v>
      </c>
      <c r="H928" s="232">
        <f>IF($B926=1,IF(H$2&gt;=$B929,SUM($F926:G926),0),0)</f>
        <v>0</v>
      </c>
      <c r="I928" s="232">
        <f>IF($B926=1,IF(I$2&gt;=$B929,SUM($F926:H926),0),0)</f>
        <v>0</v>
      </c>
      <c r="J928" s="232">
        <f>IF($B926=1,IF(J$2&gt;=$B929,SUM($F926:I926),0),0)</f>
        <v>0</v>
      </c>
      <c r="K928" s="232">
        <f>IF($B926=1,IF(K$2&gt;=$B929,SUM($F926:J926),0),0)</f>
        <v>0</v>
      </c>
      <c r="L928" s="232">
        <f>IF($B926=1,IF(L$2&gt;=$B929,SUM($F926:K926),0),0)</f>
        <v>0</v>
      </c>
      <c r="M928" s="232">
        <f>IF($B926=1,IF(M$2&gt;=$B929,SUM($F926:L926),0),0)</f>
        <v>0</v>
      </c>
      <c r="N928" s="232">
        <f>IF($B926=1,IF(N$2&gt;=$B929,SUM($F926:M926),0),0)</f>
        <v>0</v>
      </c>
      <c r="O928" s="232">
        <f>IF($B926=1,IF(O$2&gt;=$B929,SUM($F926:N926),0),0)</f>
        <v>0</v>
      </c>
      <c r="P928" s="232">
        <f>IF($B926=1,IF(P$2&gt;=$B929,SUM($F926:O926),0),0)</f>
        <v>0</v>
      </c>
      <c r="Q928" s="232">
        <f>IF($B926=1,IF(Q$2&gt;=$B929,SUM($F926:P926),0),0)</f>
        <v>0</v>
      </c>
      <c r="R928" s="232">
        <f>IF($B926=1,IF(R$2&gt;=$B929,SUM($F926:Q926),0),0)</f>
        <v>0</v>
      </c>
      <c r="S928" s="232">
        <f>IF($B926=1,IF(S$2&gt;=$B929,SUM($F926:R926),0),0)</f>
        <v>0</v>
      </c>
      <c r="T928" s="232">
        <f>IF($B926=1,IF(T$2&gt;=$B929,SUM($F926:S926),0),0)</f>
        <v>0</v>
      </c>
      <c r="U928" s="232">
        <f>IF($B926=1,IF(U$2&gt;=$B929,SUM($F926:T926),0),0)</f>
        <v>0</v>
      </c>
      <c r="V928" s="232">
        <f>IF($B926=1,IF(V$2&gt;=$B929,SUM($F926:U926),0),0)</f>
        <v>0</v>
      </c>
      <c r="W928" s="232">
        <f>IF($B926=1,IF(W$2&gt;=$B929,SUM($F926:V926),0),0)</f>
        <v>0</v>
      </c>
      <c r="X928" s="232">
        <f>IF($B926=1,IF(X$2&gt;=$B929,SUM($F926:W926),0),0)</f>
        <v>0</v>
      </c>
      <c r="Y928" s="232">
        <f>IF($B926=1,IF(Y$2&gt;=$B929,SUM($F926:X926),0),0)</f>
        <v>0</v>
      </c>
      <c r="Z928" s="232">
        <f>IF($B926=1,IF(Z$2&gt;=$B929,SUM($F926:Y926),0),0)</f>
        <v>0</v>
      </c>
      <c r="AA928" s="232">
        <f>IF($B926=1,IF(AA$2&gt;=$B929,SUM($F926:Z926),0),0)</f>
        <v>0</v>
      </c>
      <c r="AB928" s="232">
        <f>IF($B926=1,IF(AB$2&gt;=$B929,SUM($F926:AA926),0),0)</f>
        <v>0</v>
      </c>
      <c r="AC928" s="232">
        <f>IF($B926=1,IF(AC$2&gt;=$B929,SUM($F926:AB926),0),0)</f>
        <v>0</v>
      </c>
      <c r="AD928" s="232">
        <f>IF($B926=1,IF(AD$2&gt;=$B929,SUM($F926:AC926),0),0)</f>
        <v>0</v>
      </c>
      <c r="AE928" s="232">
        <f>IF($B926=1,IF(AE$2&gt;=$B929,SUM($F926:AD926),0),0)</f>
        <v>0</v>
      </c>
      <c r="AF928" s="232">
        <f>IF($B926=1,IF(AF$2&gt;=$B929,SUM($F926:AE926),0),0)</f>
        <v>0</v>
      </c>
      <c r="AG928" s="232">
        <f>IF($B926=1,IF(AG$2&gt;=$B929,SUM($F926:AF926),0),0)</f>
        <v>0</v>
      </c>
      <c r="AH928" s="232">
        <f>IF($B926=1,IF(AH$2&gt;=$B929,SUM($F926:AG926),0),0)</f>
        <v>0</v>
      </c>
      <c r="AI928" s="232">
        <f>IF($B926=1,IF(AI$2&gt;=$B929,SUM($F926:AH926),0),0)</f>
        <v>0</v>
      </c>
      <c r="AJ928" s="232">
        <f>IF($B926=1,IF(AJ$2&gt;=$B929,SUM($F926:AI926),0),0)</f>
        <v>0</v>
      </c>
      <c r="AK928" s="232">
        <f>IF($B926=1,IF(AK$2&gt;=$B929,SUM($F926:AJ926),0),0)</f>
        <v>0</v>
      </c>
      <c r="AL928" s="232">
        <f>IF($B926=1,IF(AL$2&gt;=$B929,SUM($F926:AK926),0),0)</f>
        <v>0</v>
      </c>
      <c r="AM928" s="232">
        <f>IF($B926=1,IF(AM$2&gt;=$B929,SUM($F926:AL926),0),0)</f>
        <v>0</v>
      </c>
      <c r="AN928" s="232">
        <f>IF($B926=1,IF(AN$2&gt;=$B929,SUM($F926:AM926),0),0)</f>
        <v>0</v>
      </c>
      <c r="AO928" s="232">
        <f>IF($B926=1,IF(AO$2&gt;=$B929,SUM($F926:AN926),0),0)</f>
        <v>0</v>
      </c>
      <c r="AP928" s="232">
        <f>IF($B926=1,IF(AP$2&gt;=$B929,SUM($F926:AO926),0),0)</f>
        <v>0</v>
      </c>
      <c r="AQ928" s="232">
        <f>IF($B926=1,IF(AQ$2&gt;=$B929,SUM($F926:AP926),0),0)</f>
        <v>0</v>
      </c>
      <c r="AR928" s="232">
        <f>IF($B926=1,IF(AR$2&gt;=$B929,SUM($F926:AQ926),0),0)</f>
        <v>0</v>
      </c>
      <c r="AS928" s="232">
        <f>IF($B926=1,IF(AS$2&gt;=$B929,SUM($F926:AR926),0),0)</f>
        <v>0</v>
      </c>
      <c r="AT928" s="232">
        <f>IF($B926=1,IF(AT$2&gt;=$B929,SUM($F926:AS926),0),0)</f>
        <v>0</v>
      </c>
      <c r="AU928" s="232">
        <f>IF($B926=1,IF(AU$2&gt;=$B929,SUM($F926:AT926),0),0)</f>
        <v>0</v>
      </c>
      <c r="AV928" s="232">
        <f>IF($B926=1,IF(AV$2&gt;=$B929,SUM($F926:AU926),0),0)</f>
        <v>0</v>
      </c>
      <c r="AW928" s="194"/>
      <c r="AX928" s="169"/>
    </row>
    <row r="929" spans="1:50" hidden="1" outlineLevel="1" x14ac:dyDescent="0.2">
      <c r="A929" s="167" t="str">
        <f ca="1">Language!A$1103</f>
        <v>период ввода основных средств</v>
      </c>
      <c r="B929" s="330">
        <f>Prj_Invest+1</f>
        <v>1</v>
      </c>
      <c r="C929" s="82" t="str">
        <f ca="1">Language!$A$1452</f>
        <v>период</v>
      </c>
      <c r="D929" s="100"/>
      <c r="G929" s="232"/>
      <c r="H929" s="232"/>
      <c r="I929" s="232"/>
      <c r="J929" s="232"/>
      <c r="K929" s="232"/>
      <c r="L929" s="232"/>
      <c r="M929" s="232"/>
      <c r="N929" s="232"/>
      <c r="O929" s="232"/>
      <c r="P929" s="232"/>
      <c r="Q929" s="232"/>
      <c r="R929" s="232"/>
      <c r="S929" s="232"/>
      <c r="T929" s="232"/>
      <c r="U929" s="232"/>
      <c r="V929" s="232"/>
      <c r="W929" s="232"/>
      <c r="X929" s="232"/>
      <c r="Y929" s="232"/>
      <c r="Z929" s="232"/>
      <c r="AA929" s="232"/>
      <c r="AB929" s="232"/>
      <c r="AC929" s="232"/>
      <c r="AD929" s="232"/>
      <c r="AE929" s="232"/>
      <c r="AF929" s="232"/>
      <c r="AG929" s="232"/>
      <c r="AH929" s="232"/>
      <c r="AI929" s="232"/>
      <c r="AJ929" s="232"/>
      <c r="AK929" s="232"/>
      <c r="AL929" s="232"/>
      <c r="AM929" s="232"/>
      <c r="AN929" s="232"/>
      <c r="AO929" s="232"/>
      <c r="AP929" s="232"/>
      <c r="AQ929" s="232"/>
      <c r="AR929" s="232"/>
      <c r="AS929" s="232"/>
      <c r="AT929" s="232"/>
      <c r="AU929" s="232"/>
      <c r="AV929" s="232"/>
      <c r="AW929" s="194"/>
      <c r="AX929" s="169"/>
    </row>
    <row r="930" spans="1:50" hidden="1" outlineLevel="1" x14ac:dyDescent="0.2">
      <c r="A930" s="167" t="str">
        <f ca="1">Language!A$1104</f>
        <v>срок амортизации основных средств</v>
      </c>
      <c r="B930" s="330">
        <v>10</v>
      </c>
      <c r="C930" s="82" t="str">
        <f ca="1">Language!A$48</f>
        <v>лет</v>
      </c>
      <c r="D930" s="100"/>
      <c r="G930" s="232"/>
      <c r="H930" s="232"/>
      <c r="I930" s="232"/>
      <c r="J930" s="232"/>
      <c r="K930" s="232"/>
      <c r="L930" s="232"/>
      <c r="M930" s="232"/>
      <c r="N930" s="232"/>
      <c r="O930" s="232"/>
      <c r="P930" s="232"/>
      <c r="Q930" s="232"/>
      <c r="R930" s="232"/>
      <c r="S930" s="232"/>
      <c r="T930" s="232"/>
      <c r="U930" s="232"/>
      <c r="V930" s="232"/>
      <c r="W930" s="232"/>
      <c r="X930" s="232"/>
      <c r="Y930" s="232"/>
      <c r="Z930" s="232"/>
      <c r="AA930" s="232"/>
      <c r="AB930" s="232"/>
      <c r="AC930" s="232"/>
      <c r="AD930" s="232"/>
      <c r="AE930" s="232"/>
      <c r="AF930" s="232"/>
      <c r="AG930" s="232"/>
      <c r="AH930" s="232"/>
      <c r="AI930" s="232"/>
      <c r="AJ930" s="232"/>
      <c r="AK930" s="232"/>
      <c r="AL930" s="232"/>
      <c r="AM930" s="232"/>
      <c r="AN930" s="232"/>
      <c r="AO930" s="232"/>
      <c r="AP930" s="232"/>
      <c r="AQ930" s="232"/>
      <c r="AR930" s="232"/>
      <c r="AS930" s="232"/>
      <c r="AT930" s="232"/>
      <c r="AU930" s="232"/>
      <c r="AV930" s="232"/>
      <c r="AW930" s="194"/>
      <c r="AX930" s="169"/>
    </row>
    <row r="931" spans="1:50" hidden="1" outlineLevel="1" x14ac:dyDescent="0.2">
      <c r="A931" s="167" t="str">
        <f ca="1">Language!A$1105</f>
        <v>списание процентов на затраты</v>
      </c>
      <c r="B931" s="214"/>
      <c r="C931" s="82" t="str">
        <f ca="1">CurName1</f>
        <v>тыс. руб.</v>
      </c>
      <c r="D931" s="155">
        <v>1</v>
      </c>
      <c r="E931" s="57" t="s">
        <v>1044</v>
      </c>
      <c r="F931" s="57" t="s">
        <v>753</v>
      </c>
      <c r="G931" s="185">
        <f>IF($B930=0,0,MIN(G928/$B930/12*Параметры!G$31,IF(G$2&gt;1,F932+G928-F926,G928)))</f>
        <v>0</v>
      </c>
      <c r="H931" s="185">
        <f>IF($B930=0,0,MIN(H928/$B930/12*Параметры!H$31,IF(H$2&gt;1,G932+H928-G928,H928)))</f>
        <v>0</v>
      </c>
      <c r="I931" s="185">
        <f>IF($B930=0,0,MIN(I928/$B930/12*Параметры!I$31,IF(I$2&gt;1,H932+I928-H928,I928)))</f>
        <v>0</v>
      </c>
      <c r="J931" s="185">
        <f>IF($B930=0,0,MIN(J928/$B930/12*Параметры!J$31,IF(J$2&gt;1,I932+J928-I928,J928)))</f>
        <v>0</v>
      </c>
      <c r="K931" s="185">
        <f>IF($B930=0,0,MIN(K928/$B930/12*Параметры!K$31,IF(K$2&gt;1,J932+K928-J928,K928)))</f>
        <v>0</v>
      </c>
      <c r="L931" s="185">
        <f>IF($B930=0,0,MIN(L928/$B930/12*Параметры!L$31,IF(L$2&gt;1,K932+L928-K928,L928)))</f>
        <v>0</v>
      </c>
      <c r="M931" s="185">
        <f>IF($B930=0,0,MIN(M928/$B930/12*Параметры!M$31,IF(M$2&gt;1,L932+M928-L928,M928)))</f>
        <v>0</v>
      </c>
      <c r="N931" s="185">
        <f>IF($B930=0,0,MIN(N928/$B930/12*Параметры!N$31,IF(N$2&gt;1,M932+N928-M928,N928)))</f>
        <v>0</v>
      </c>
      <c r="O931" s="185">
        <f>IF($B930=0,0,MIN(O928/$B930/12*Параметры!O$31,IF(O$2&gt;1,N932+O928-N928,O928)))</f>
        <v>0</v>
      </c>
      <c r="P931" s="185">
        <f>IF($B930=0,0,MIN(P928/$B930/12*Параметры!P$31,IF(P$2&gt;1,O932+P928-O928,P928)))</f>
        <v>0</v>
      </c>
      <c r="Q931" s="185">
        <f>IF($B930=0,0,MIN(Q928/$B930/12*Параметры!Q$31,IF(Q$2&gt;1,P932+Q928-P928,Q928)))</f>
        <v>0</v>
      </c>
      <c r="R931" s="185">
        <f>IF($B930=0,0,MIN(R928/$B930/12*Параметры!R$31,IF(R$2&gt;1,Q932+R928-Q928,R928)))</f>
        <v>0</v>
      </c>
      <c r="S931" s="185">
        <f>IF($B930=0,0,MIN(S928/$B930/12*Параметры!S$31,IF(S$2&gt;1,R932+S928-R928,S928)))</f>
        <v>0</v>
      </c>
      <c r="T931" s="185">
        <f>IF($B930=0,0,MIN(T928/$B930/12*Параметры!T$31,IF(T$2&gt;1,S932+T928-S928,T928)))</f>
        <v>0</v>
      </c>
      <c r="U931" s="185">
        <f>IF($B930=0,0,MIN(U928/$B930/12*Параметры!U$31,IF(U$2&gt;1,T932+U928-T928,U928)))</f>
        <v>0</v>
      </c>
      <c r="V931" s="185">
        <f>IF($B930=0,0,MIN(V928/$B930/12*Параметры!V$31,IF(V$2&gt;1,U932+V928-U928,V928)))</f>
        <v>0</v>
      </c>
      <c r="W931" s="185">
        <f>IF($B930=0,0,MIN(W928/$B930/12*Параметры!W$31,IF(W$2&gt;1,V932+W928-V928,W928)))</f>
        <v>0</v>
      </c>
      <c r="X931" s="185">
        <f>IF($B930=0,0,MIN(X928/$B930/12*Параметры!X$31,IF(X$2&gt;1,W932+X928-W928,X928)))</f>
        <v>0</v>
      </c>
      <c r="Y931" s="185">
        <f>IF($B930=0,0,MIN(Y928/$B930/12*Параметры!Y$31,IF(Y$2&gt;1,X932+Y928-X928,Y928)))</f>
        <v>0</v>
      </c>
      <c r="Z931" s="185">
        <f>IF($B930=0,0,MIN(Z928/$B930/12*Параметры!Z$31,IF(Z$2&gt;1,Y932+Z928-Y928,Z928)))</f>
        <v>0</v>
      </c>
      <c r="AA931" s="185">
        <f>IF($B930=0,0,MIN(AA928/$B930/12*Параметры!AA$31,IF(AA$2&gt;1,Z932+AA928-Z928,AA928)))</f>
        <v>0</v>
      </c>
      <c r="AB931" s="185">
        <f>IF($B930=0,0,MIN(AB928/$B930/12*Параметры!AB$31,IF(AB$2&gt;1,AA932+AB928-AA928,AB928)))</f>
        <v>0</v>
      </c>
      <c r="AC931" s="185">
        <f>IF($B930=0,0,MIN(AC928/$B930/12*Параметры!AC$31,IF(AC$2&gt;1,AB932+AC928-AB928,AC928)))</f>
        <v>0</v>
      </c>
      <c r="AD931" s="185">
        <f>IF($B930=0,0,MIN(AD928/$B930/12*Параметры!AD$31,IF(AD$2&gt;1,AC932+AD928-AC928,AD928)))</f>
        <v>0</v>
      </c>
      <c r="AE931" s="185">
        <f>IF($B930=0,0,MIN(AE928/$B930/12*Параметры!AE$31,IF(AE$2&gt;1,AD932+AE928-AD928,AE928)))</f>
        <v>0</v>
      </c>
      <c r="AF931" s="185">
        <f>IF($B930=0,0,MIN(AF928/$B930/12*Параметры!AF$31,IF(AF$2&gt;1,AE932+AF928-AE928,AF928)))</f>
        <v>0</v>
      </c>
      <c r="AG931" s="185">
        <f>IF($B930=0,0,MIN(AG928/$B930/12*Параметры!AG$31,IF(AG$2&gt;1,AF932+AG928-AF928,AG928)))</f>
        <v>0</v>
      </c>
      <c r="AH931" s="185">
        <f>IF($B930=0,0,MIN(AH928/$B930/12*Параметры!AH$31,IF(AH$2&gt;1,AG932+AH928-AG928,AH928)))</f>
        <v>0</v>
      </c>
      <c r="AI931" s="185">
        <f>IF($B930=0,0,MIN(AI928/$B930/12*Параметры!AI$31,IF(AI$2&gt;1,AH932+AI928-AH928,AI928)))</f>
        <v>0</v>
      </c>
      <c r="AJ931" s="185">
        <f>IF($B930=0,0,MIN(AJ928/$B930/12*Параметры!AJ$31,IF(AJ$2&gt;1,AI932+AJ928-AI928,AJ928)))</f>
        <v>0</v>
      </c>
      <c r="AK931" s="185">
        <f>IF($B930=0,0,MIN(AK928/$B930/12*Параметры!AK$31,IF(AK$2&gt;1,AJ932+AK928-AJ928,AK928)))</f>
        <v>0</v>
      </c>
      <c r="AL931" s="185">
        <f>IF($B930=0,0,MIN(AL928/$B930/12*Параметры!AL$31,IF(AL$2&gt;1,AK932+AL928-AK928,AL928)))</f>
        <v>0</v>
      </c>
      <c r="AM931" s="185">
        <f>IF($B930=0,0,MIN(AM928/$B930/12*Параметры!AM$31,IF(AM$2&gt;1,AL932+AM928-AL928,AM928)))</f>
        <v>0</v>
      </c>
      <c r="AN931" s="185">
        <f>IF($B930=0,0,MIN(AN928/$B930/12*Параметры!AN$31,IF(AN$2&gt;1,AM932+AN928-AM928,AN928)))</f>
        <v>0</v>
      </c>
      <c r="AO931" s="185">
        <f>IF($B930=0,0,MIN(AO928/$B930/12*Параметры!AO$31,IF(AO$2&gt;1,AN932+AO928-AN928,AO928)))</f>
        <v>0</v>
      </c>
      <c r="AP931" s="185">
        <f>IF($B930=0,0,MIN(AP928/$B930/12*Параметры!AP$31,IF(AP$2&gt;1,AO932+AP928-AO928,AP928)))</f>
        <v>0</v>
      </c>
      <c r="AQ931" s="185">
        <f>IF($B930=0,0,MIN(AQ928/$B930/12*Параметры!AQ$31,IF(AQ$2&gt;1,AP932+AQ928-AP928,AQ928)))</f>
        <v>0</v>
      </c>
      <c r="AR931" s="185">
        <f>IF($B930=0,0,MIN(AR928/$B930/12*Параметры!AR$31,IF(AR$2&gt;1,AQ932+AR928-AQ928,AR928)))</f>
        <v>0</v>
      </c>
      <c r="AS931" s="185">
        <f>IF($B930=0,0,MIN(AS928/$B930/12*Параметры!AS$31,IF(AS$2&gt;1,AR932+AS928-AR928,AS928)))</f>
        <v>0</v>
      </c>
      <c r="AT931" s="185">
        <f>IF($B930=0,0,MIN(AT928/$B930/12*Параметры!AT$31,IF(AT$2&gt;1,AS932+AT928-AS928,AT928)))</f>
        <v>0</v>
      </c>
      <c r="AU931" s="185">
        <f>IF($B930=0,0,MIN(AU928/$B930/12*Параметры!AU$31,IF(AU$2&gt;1,AT932+AU928-AT928,AU928)))</f>
        <v>0</v>
      </c>
      <c r="AV931" s="185">
        <f>IF($B930=0,0,MIN(AV928/$B930/12*Параметры!AV$31,IF(AV$2&gt;1,AU932+AV928-AU928,AV928)))</f>
        <v>0</v>
      </c>
      <c r="AW931" s="180"/>
      <c r="AX931" s="169">
        <f>SUM(G931:AW931)</f>
        <v>0</v>
      </c>
    </row>
    <row r="932" spans="1:50" hidden="1" outlineLevel="1" x14ac:dyDescent="0.2">
      <c r="A932" s="167" t="str">
        <f ca="1">Language!A$1106</f>
        <v>балансовая стоимость</v>
      </c>
      <c r="B932" s="214"/>
      <c r="C932" s="82" t="str">
        <f ca="1">CurName1</f>
        <v>тыс. руб.</v>
      </c>
      <c r="D932" s="66">
        <v>1</v>
      </c>
      <c r="E932" s="57" t="s">
        <v>1042</v>
      </c>
      <c r="F932" s="57" t="s">
        <v>754</v>
      </c>
      <c r="G932" s="194">
        <f>IF(G$2&gt;=$B929,G928-SUM($G931:G931),0)</f>
        <v>0</v>
      </c>
      <c r="H932" s="194">
        <f>IF(H$2&gt;=$B929,H928-SUM($G931:H931),0)</f>
        <v>0</v>
      </c>
      <c r="I932" s="194">
        <f>IF(I$2&gt;=$B929,I928-SUM($G931:I931),0)</f>
        <v>0</v>
      </c>
      <c r="J932" s="194">
        <f>IF(J$2&gt;=$B929,J928-SUM($G931:J931),0)</f>
        <v>0</v>
      </c>
      <c r="K932" s="194">
        <f>IF(K$2&gt;=$B929,K928-SUM($G931:K931),0)</f>
        <v>0</v>
      </c>
      <c r="L932" s="194">
        <f>IF(L$2&gt;=$B929,L928-SUM($G931:L931),0)</f>
        <v>0</v>
      </c>
      <c r="M932" s="194">
        <f>IF(M$2&gt;=$B929,M928-SUM($G931:M931),0)</f>
        <v>0</v>
      </c>
      <c r="N932" s="194">
        <f>IF(N$2&gt;=$B929,N928-SUM($G931:N931),0)</f>
        <v>0</v>
      </c>
      <c r="O932" s="194">
        <f>IF(O$2&gt;=$B929,O928-SUM($G931:O931),0)</f>
        <v>0</v>
      </c>
      <c r="P932" s="194">
        <f>IF(P$2&gt;=$B929,P928-SUM($G931:P931),0)</f>
        <v>0</v>
      </c>
      <c r="Q932" s="194">
        <f>IF(Q$2&gt;=$B929,Q928-SUM($G931:Q931),0)</f>
        <v>0</v>
      </c>
      <c r="R932" s="194">
        <f>IF(R$2&gt;=$B929,R928-SUM($G931:R931),0)</f>
        <v>0</v>
      </c>
      <c r="S932" s="194">
        <f>IF(S$2&gt;=$B929,S928-SUM($G931:S931),0)</f>
        <v>0</v>
      </c>
      <c r="T932" s="194">
        <f>IF(T$2&gt;=$B929,T928-SUM($G931:T931),0)</f>
        <v>0</v>
      </c>
      <c r="U932" s="194">
        <f>IF(U$2&gt;=$B929,U928-SUM($G931:U931),0)</f>
        <v>0</v>
      </c>
      <c r="V932" s="194">
        <f>IF(V$2&gt;=$B929,V928-SUM($G931:V931),0)</f>
        <v>0</v>
      </c>
      <c r="W932" s="194">
        <f>IF(W$2&gt;=$B929,W928-SUM($G931:W931),0)</f>
        <v>0</v>
      </c>
      <c r="X932" s="194">
        <f>IF(X$2&gt;=$B929,X928-SUM($G931:X931),0)</f>
        <v>0</v>
      </c>
      <c r="Y932" s="194">
        <f>IF(Y$2&gt;=$B929,Y928-SUM($G931:Y931),0)</f>
        <v>0</v>
      </c>
      <c r="Z932" s="194">
        <f>IF(Z$2&gt;=$B929,Z928-SUM($G931:Z931),0)</f>
        <v>0</v>
      </c>
      <c r="AA932" s="194">
        <f>IF(AA$2&gt;=$B929,AA928-SUM($G931:AA931),0)</f>
        <v>0</v>
      </c>
      <c r="AB932" s="194">
        <f>IF(AB$2&gt;=$B929,AB928-SUM($G931:AB931),0)</f>
        <v>0</v>
      </c>
      <c r="AC932" s="194">
        <f>IF(AC$2&gt;=$B929,AC928-SUM($G931:AC931),0)</f>
        <v>0</v>
      </c>
      <c r="AD932" s="194">
        <f>IF(AD$2&gt;=$B929,AD928-SUM($G931:AD931),0)</f>
        <v>0</v>
      </c>
      <c r="AE932" s="194">
        <f>IF(AE$2&gt;=$B929,AE928-SUM($G931:AE931),0)</f>
        <v>0</v>
      </c>
      <c r="AF932" s="194">
        <f>IF(AF$2&gt;=$B929,AF928-SUM($G931:AF931),0)</f>
        <v>0</v>
      </c>
      <c r="AG932" s="194">
        <f>IF(AG$2&gt;=$B929,AG928-SUM($G931:AG931),0)</f>
        <v>0</v>
      </c>
      <c r="AH932" s="194">
        <f>IF(AH$2&gt;=$B929,AH928-SUM($G931:AH931),0)</f>
        <v>0</v>
      </c>
      <c r="AI932" s="194">
        <f>IF(AI$2&gt;=$B929,AI928-SUM($G931:AI931),0)</f>
        <v>0</v>
      </c>
      <c r="AJ932" s="194">
        <f>IF(AJ$2&gt;=$B929,AJ928-SUM($G931:AJ931),0)</f>
        <v>0</v>
      </c>
      <c r="AK932" s="194">
        <f>IF(AK$2&gt;=$B929,AK928-SUM($G931:AK931),0)</f>
        <v>0</v>
      </c>
      <c r="AL932" s="194">
        <f>IF(AL$2&gt;=$B929,AL928-SUM($G931:AL931),0)</f>
        <v>0</v>
      </c>
      <c r="AM932" s="194">
        <f>IF(AM$2&gt;=$B929,AM928-SUM($G931:AM931),0)</f>
        <v>0</v>
      </c>
      <c r="AN932" s="194">
        <f>IF(AN$2&gt;=$B929,AN928-SUM($G931:AN931),0)</f>
        <v>0</v>
      </c>
      <c r="AO932" s="194">
        <f>IF(AO$2&gt;=$B929,AO928-SUM($G931:AO931),0)</f>
        <v>0</v>
      </c>
      <c r="AP932" s="194">
        <f>IF(AP$2&gt;=$B929,AP928-SUM($G931:AP931),0)</f>
        <v>0</v>
      </c>
      <c r="AQ932" s="194">
        <f>IF(AQ$2&gt;=$B929,AQ928-SUM($G931:AQ931),0)</f>
        <v>0</v>
      </c>
      <c r="AR932" s="194">
        <f>IF(AR$2&gt;=$B929,AR928-SUM($G931:AR931),0)</f>
        <v>0</v>
      </c>
      <c r="AS932" s="194">
        <f>IF(AS$2&gt;=$B929,AS928-SUM($G931:AS931),0)</f>
        <v>0</v>
      </c>
      <c r="AT932" s="194">
        <f>IF(AT$2&gt;=$B929,AT928-SUM($G931:AT931),0)</f>
        <v>0</v>
      </c>
      <c r="AU932" s="194">
        <f>IF(AU$2&gt;=$B929,AU928-SUM($G931:AU931),0)</f>
        <v>0</v>
      </c>
      <c r="AV932" s="194">
        <f>IF(AV$2&gt;=$B929,AV928-SUM($G931:AV931),0)</f>
        <v>0</v>
      </c>
      <c r="AW932" s="194"/>
      <c r="AX932" s="196"/>
    </row>
    <row r="933" spans="1:50" x14ac:dyDescent="0.2">
      <c r="AW933" s="94"/>
    </row>
    <row r="934" spans="1:50" s="98" customFormat="1" collapsed="1" x14ac:dyDescent="0.2">
      <c r="A934" s="98" t="str">
        <f ca="1">Language!A$1119</f>
        <v>Итого: Задолженность на конец периода</v>
      </c>
      <c r="B934" s="38"/>
      <c r="C934" s="124" t="str">
        <f t="shared" ref="C934:C947" ca="1" si="3616">CurName1</f>
        <v>тыс. руб.</v>
      </c>
      <c r="D934" s="57"/>
      <c r="E934" s="57"/>
      <c r="F934" s="57" t="s">
        <v>754</v>
      </c>
      <c r="G934" s="143">
        <f>G939+G940</f>
        <v>0</v>
      </c>
      <c r="H934" s="143">
        <f t="shared" ref="H934:K934" si="3617">H939+H940</f>
        <v>2226632</v>
      </c>
      <c r="I934" s="143">
        <f t="shared" si="3617"/>
        <v>2376632</v>
      </c>
      <c r="J934" s="143">
        <f t="shared" si="3617"/>
        <v>2476632</v>
      </c>
      <c r="K934" s="143">
        <f t="shared" si="3617"/>
        <v>2476632</v>
      </c>
      <c r="L934" s="143">
        <f t="shared" ref="L934:M934" si="3618">L939+L940</f>
        <v>2476632</v>
      </c>
      <c r="M934" s="143">
        <f t="shared" si="3618"/>
        <v>2476632</v>
      </c>
      <c r="N934" s="143">
        <f t="shared" ref="N934:O934" si="3619">N939+N940</f>
        <v>2476632</v>
      </c>
      <c r="O934" s="143">
        <f t="shared" si="3619"/>
        <v>2476632</v>
      </c>
      <c r="P934" s="143">
        <f t="shared" ref="P934:Q934" si="3620">P939+P940</f>
        <v>2476632</v>
      </c>
      <c r="Q934" s="143">
        <f t="shared" si="3620"/>
        <v>2476632</v>
      </c>
      <c r="R934" s="143">
        <f t="shared" ref="R934:S934" si="3621">R939+R940</f>
        <v>2476632</v>
      </c>
      <c r="S934" s="143">
        <f t="shared" si="3621"/>
        <v>2476632</v>
      </c>
      <c r="T934" s="143">
        <f t="shared" ref="T934:U934" si="3622">T939+T940</f>
        <v>2476632</v>
      </c>
      <c r="U934" s="143">
        <f t="shared" si="3622"/>
        <v>2424692.6045558229</v>
      </c>
      <c r="V934" s="143">
        <f t="shared" ref="V934:W934" si="3623">V939+V940</f>
        <v>2344107.5076704742</v>
      </c>
      <c r="W934" s="143">
        <f t="shared" si="3623"/>
        <v>2173528.7929135934</v>
      </c>
      <c r="X934" s="143">
        <f t="shared" ref="X934:Y934" si="3624">X939+X940</f>
        <v>2030770.0515321111</v>
      </c>
      <c r="Y934" s="143">
        <f t="shared" si="3624"/>
        <v>1967797.5190581742</v>
      </c>
      <c r="Z934" s="143">
        <f t="shared" ref="Z934:AA934" si="3625">Z939+Z940</f>
        <v>1875755.0416607889</v>
      </c>
      <c r="AA934" s="143">
        <f t="shared" si="3625"/>
        <v>1688250.2179439007</v>
      </c>
      <c r="AB934" s="143">
        <f t="shared" ref="AB934:AC934" si="3626">AB939+AB940</f>
        <v>1530164.7949810685</v>
      </c>
      <c r="AC934" s="143">
        <f t="shared" si="3626"/>
        <v>1452673.5146658332</v>
      </c>
      <c r="AD934" s="143">
        <f t="shared" ref="AD934:AE934" si="3627">AD939+AD940</f>
        <v>1342193.1972624753</v>
      </c>
      <c r="AE934" s="143">
        <f t="shared" si="3627"/>
        <v>1130287.4031996259</v>
      </c>
      <c r="AF934" s="143">
        <f t="shared" ref="AF934:AG934" si="3628">AF939+AF940</f>
        <v>949326.74965150608</v>
      </c>
      <c r="AG934" s="143">
        <f t="shared" si="3628"/>
        <v>855466.92577205668</v>
      </c>
      <c r="AH934" s="143">
        <f t="shared" ref="AH934:AI934" si="3629">AH939+AH940</f>
        <v>728268.47901046672</v>
      </c>
      <c r="AI934" s="143">
        <f t="shared" si="3629"/>
        <v>493410.382885403</v>
      </c>
      <c r="AJ934" s="143">
        <f t="shared" ref="AJ934:AK934" si="3630">AJ939+AJ940</f>
        <v>291203.30288769235</v>
      </c>
      <c r="AK934" s="143">
        <f t="shared" si="3630"/>
        <v>182561.15551675158</v>
      </c>
      <c r="AL934" s="143">
        <f t="shared" ref="AL934:AM934" si="3631">AL939+AL940</f>
        <v>39327.538617056329</v>
      </c>
      <c r="AM934" s="143">
        <f t="shared" si="3631"/>
        <v>0</v>
      </c>
      <c r="AN934" s="143">
        <f t="shared" ref="AN934:AO934" si="3632">AN939+AN940</f>
        <v>0</v>
      </c>
      <c r="AO934" s="143">
        <f t="shared" si="3632"/>
        <v>0</v>
      </c>
      <c r="AP934" s="143">
        <f t="shared" ref="AP934:AQ934" si="3633">AP939+AP940</f>
        <v>0</v>
      </c>
      <c r="AQ934" s="143">
        <f t="shared" si="3633"/>
        <v>0</v>
      </c>
      <c r="AR934" s="143">
        <f t="shared" ref="AR934:AS934" si="3634">AR939+AR940</f>
        <v>0</v>
      </c>
      <c r="AS934" s="143">
        <f t="shared" si="3634"/>
        <v>0</v>
      </c>
      <c r="AT934" s="143">
        <f t="shared" ref="AT934:AU934" si="3635">AT939+AT940</f>
        <v>0</v>
      </c>
      <c r="AU934" s="143">
        <f t="shared" si="3635"/>
        <v>0</v>
      </c>
      <c r="AV934" s="143">
        <f t="shared" ref="AV934" si="3636">AV939+AV940</f>
        <v>0</v>
      </c>
      <c r="AW934" s="94"/>
      <c r="AX934" s="171"/>
    </row>
    <row r="935" spans="1:50" s="98" customFormat="1" hidden="1" outlineLevel="1" x14ac:dyDescent="0.2">
      <c r="A935" s="38" t="str">
        <f ca="1">Language!A$1120</f>
        <v>Поступления кредитов</v>
      </c>
      <c r="B935" s="38"/>
      <c r="C935" s="124" t="str">
        <f t="shared" ca="1" si="3616"/>
        <v>тыс. руб.</v>
      </c>
      <c r="D935" s="57"/>
      <c r="E935" s="57"/>
      <c r="F935" s="57" t="s">
        <v>1460</v>
      </c>
      <c r="G935" s="138">
        <f t="shared" ref="G935:AV935" si="3637">SUM(G$900,G$919)</f>
        <v>0</v>
      </c>
      <c r="H935" s="138">
        <f t="shared" si="3637"/>
        <v>2226632</v>
      </c>
      <c r="I935" s="138">
        <f t="shared" si="3637"/>
        <v>150000</v>
      </c>
      <c r="J935" s="138">
        <f t="shared" si="3637"/>
        <v>100000</v>
      </c>
      <c r="K935" s="138">
        <f t="shared" si="3637"/>
        <v>0</v>
      </c>
      <c r="L935" s="138">
        <f t="shared" si="3637"/>
        <v>0</v>
      </c>
      <c r="M935" s="138">
        <f t="shared" si="3637"/>
        <v>0</v>
      </c>
      <c r="N935" s="138">
        <f t="shared" si="3637"/>
        <v>0</v>
      </c>
      <c r="O935" s="138">
        <f t="shared" si="3637"/>
        <v>0</v>
      </c>
      <c r="P935" s="138">
        <f t="shared" si="3637"/>
        <v>0</v>
      </c>
      <c r="Q935" s="138">
        <f t="shared" si="3637"/>
        <v>0</v>
      </c>
      <c r="R935" s="138">
        <f t="shared" si="3637"/>
        <v>0</v>
      </c>
      <c r="S935" s="138">
        <f t="shared" si="3637"/>
        <v>0</v>
      </c>
      <c r="T935" s="138">
        <f t="shared" si="3637"/>
        <v>0</v>
      </c>
      <c r="U935" s="138">
        <f t="shared" si="3637"/>
        <v>0</v>
      </c>
      <c r="V935" s="138">
        <f t="shared" si="3637"/>
        <v>0</v>
      </c>
      <c r="W935" s="138">
        <f t="shared" si="3637"/>
        <v>0</v>
      </c>
      <c r="X935" s="138">
        <f t="shared" si="3637"/>
        <v>0</v>
      </c>
      <c r="Y935" s="138">
        <f t="shared" si="3637"/>
        <v>0</v>
      </c>
      <c r="Z935" s="138">
        <f t="shared" si="3637"/>
        <v>0</v>
      </c>
      <c r="AA935" s="138">
        <f t="shared" si="3637"/>
        <v>0</v>
      </c>
      <c r="AB935" s="138">
        <f t="shared" si="3637"/>
        <v>0</v>
      </c>
      <c r="AC935" s="138">
        <f t="shared" si="3637"/>
        <v>0</v>
      </c>
      <c r="AD935" s="138">
        <f t="shared" si="3637"/>
        <v>0</v>
      </c>
      <c r="AE935" s="138">
        <f t="shared" si="3637"/>
        <v>0</v>
      </c>
      <c r="AF935" s="138">
        <f t="shared" si="3637"/>
        <v>0</v>
      </c>
      <c r="AG935" s="138">
        <f t="shared" si="3637"/>
        <v>0</v>
      </c>
      <c r="AH935" s="138">
        <f t="shared" si="3637"/>
        <v>0</v>
      </c>
      <c r="AI935" s="138">
        <f t="shared" si="3637"/>
        <v>0</v>
      </c>
      <c r="AJ935" s="138">
        <f t="shared" si="3637"/>
        <v>0</v>
      </c>
      <c r="AK935" s="138">
        <f t="shared" si="3637"/>
        <v>0</v>
      </c>
      <c r="AL935" s="138">
        <f t="shared" si="3637"/>
        <v>0</v>
      </c>
      <c r="AM935" s="138">
        <f t="shared" si="3637"/>
        <v>0</v>
      </c>
      <c r="AN935" s="138">
        <f t="shared" si="3637"/>
        <v>0</v>
      </c>
      <c r="AO935" s="138">
        <f t="shared" si="3637"/>
        <v>0</v>
      </c>
      <c r="AP935" s="138">
        <f t="shared" si="3637"/>
        <v>0</v>
      </c>
      <c r="AQ935" s="138">
        <f t="shared" si="3637"/>
        <v>0</v>
      </c>
      <c r="AR935" s="138">
        <f t="shared" si="3637"/>
        <v>0</v>
      </c>
      <c r="AS935" s="138">
        <f t="shared" si="3637"/>
        <v>0</v>
      </c>
      <c r="AT935" s="138">
        <f t="shared" si="3637"/>
        <v>0</v>
      </c>
      <c r="AU935" s="138">
        <f t="shared" si="3637"/>
        <v>0</v>
      </c>
      <c r="AV935" s="138">
        <f t="shared" si="3637"/>
        <v>0</v>
      </c>
      <c r="AW935" s="94"/>
      <c r="AX935" s="165">
        <f>SUM(G935:AW935)</f>
        <v>2476632</v>
      </c>
    </row>
    <row r="936" spans="1:50" s="98" customFormat="1" hidden="1" outlineLevel="1" x14ac:dyDescent="0.2">
      <c r="A936" s="38" t="str">
        <f ca="1">Language!A$1121</f>
        <v>Выплата основного долга</v>
      </c>
      <c r="B936" s="38"/>
      <c r="C936" s="124" t="str">
        <f t="shared" ca="1" si="3616"/>
        <v>тыс. руб.</v>
      </c>
      <c r="D936" s="57"/>
      <c r="E936" s="57"/>
      <c r="F936" s="57" t="s">
        <v>1461</v>
      </c>
      <c r="G936" s="138">
        <f t="shared" ref="G936:AV936" si="3638">SUM(G$901,G$920)</f>
        <v>0</v>
      </c>
      <c r="H936" s="138">
        <f t="shared" si="3638"/>
        <v>0</v>
      </c>
      <c r="I936" s="138">
        <f t="shared" si="3638"/>
        <v>0</v>
      </c>
      <c r="J936" s="138">
        <f t="shared" si="3638"/>
        <v>0</v>
      </c>
      <c r="K936" s="138">
        <f t="shared" si="3638"/>
        <v>0</v>
      </c>
      <c r="L936" s="138">
        <f t="shared" si="3638"/>
        <v>0</v>
      </c>
      <c r="M936" s="138">
        <f t="shared" si="3638"/>
        <v>0</v>
      </c>
      <c r="N936" s="138">
        <f t="shared" si="3638"/>
        <v>0</v>
      </c>
      <c r="O936" s="138">
        <f t="shared" si="3638"/>
        <v>0</v>
      </c>
      <c r="P936" s="138">
        <f t="shared" si="3638"/>
        <v>0</v>
      </c>
      <c r="Q936" s="138">
        <f t="shared" si="3638"/>
        <v>0</v>
      </c>
      <c r="R936" s="138">
        <f t="shared" si="3638"/>
        <v>0</v>
      </c>
      <c r="S936" s="138">
        <f t="shared" si="3638"/>
        <v>0</v>
      </c>
      <c r="T936" s="138">
        <f t="shared" si="3638"/>
        <v>0</v>
      </c>
      <c r="U936" s="138">
        <f t="shared" si="3638"/>
        <v>51939.39544417728</v>
      </c>
      <c r="V936" s="138">
        <f t="shared" si="3638"/>
        <v>80585.09688534867</v>
      </c>
      <c r="W936" s="138">
        <f t="shared" si="3638"/>
        <v>170578.71475688095</v>
      </c>
      <c r="X936" s="138">
        <f t="shared" si="3638"/>
        <v>142758.74138148205</v>
      </c>
      <c r="Y936" s="138">
        <f t="shared" si="3638"/>
        <v>62972.532473936968</v>
      </c>
      <c r="Z936" s="138">
        <f t="shared" si="3638"/>
        <v>92042.477397385213</v>
      </c>
      <c r="AA936" s="138">
        <f t="shared" si="3638"/>
        <v>187504.8237168882</v>
      </c>
      <c r="AB936" s="138">
        <f t="shared" si="3638"/>
        <v>158085.42296283226</v>
      </c>
      <c r="AC936" s="138">
        <f t="shared" si="3638"/>
        <v>77491.280315235286</v>
      </c>
      <c r="AD936" s="138">
        <f t="shared" si="3638"/>
        <v>110480.31740335806</v>
      </c>
      <c r="AE936" s="138">
        <f t="shared" si="3638"/>
        <v>211905.79406284931</v>
      </c>
      <c r="AF936" s="138">
        <f t="shared" si="3638"/>
        <v>180960.65354811979</v>
      </c>
      <c r="AG936" s="138">
        <f t="shared" si="3638"/>
        <v>93859.823879449337</v>
      </c>
      <c r="AH936" s="138">
        <f t="shared" si="3638"/>
        <v>127198.44676159006</v>
      </c>
      <c r="AI936" s="138">
        <f t="shared" si="3638"/>
        <v>234858.09612506372</v>
      </c>
      <c r="AJ936" s="138">
        <f t="shared" si="3638"/>
        <v>202207.07999771071</v>
      </c>
      <c r="AK936" s="138">
        <f t="shared" si="3638"/>
        <v>108642.14737094079</v>
      </c>
      <c r="AL936" s="138">
        <f t="shared" si="3638"/>
        <v>143233.61689969516</v>
      </c>
      <c r="AM936" s="138">
        <f t="shared" si="3638"/>
        <v>39327.538617056329</v>
      </c>
      <c r="AN936" s="138">
        <f t="shared" si="3638"/>
        <v>0</v>
      </c>
      <c r="AO936" s="138">
        <f t="shared" si="3638"/>
        <v>0</v>
      </c>
      <c r="AP936" s="138">
        <f t="shared" si="3638"/>
        <v>0</v>
      </c>
      <c r="AQ936" s="138">
        <f t="shared" si="3638"/>
        <v>0</v>
      </c>
      <c r="AR936" s="138">
        <f t="shared" si="3638"/>
        <v>0</v>
      </c>
      <c r="AS936" s="138">
        <f t="shared" si="3638"/>
        <v>0</v>
      </c>
      <c r="AT936" s="138">
        <f t="shared" si="3638"/>
        <v>0</v>
      </c>
      <c r="AU936" s="138">
        <f t="shared" si="3638"/>
        <v>0</v>
      </c>
      <c r="AV936" s="138">
        <f t="shared" si="3638"/>
        <v>0</v>
      </c>
      <c r="AW936" s="94"/>
      <c r="AX936" s="165">
        <f>SUM(G936:AW936)</f>
        <v>2476632.0000000005</v>
      </c>
    </row>
    <row r="937" spans="1:50" s="98" customFormat="1" hidden="1" outlineLevel="1" x14ac:dyDescent="0.2">
      <c r="A937" s="38" t="str">
        <f ca="1">Language!A$1122</f>
        <v>Проценты начисленные</v>
      </c>
      <c r="B937" s="38"/>
      <c r="C937" s="124" t="str">
        <f t="shared" ca="1" si="3616"/>
        <v>тыс. руб.</v>
      </c>
      <c r="D937" s="57"/>
      <c r="E937" s="57"/>
      <c r="F937" s="57" t="s">
        <v>1462</v>
      </c>
      <c r="G937" s="138">
        <f t="shared" ref="G937:AV937" si="3639">SUM(G$903,G$922)</f>
        <v>0</v>
      </c>
      <c r="H937" s="138">
        <f t="shared" si="3639"/>
        <v>83498.7</v>
      </c>
      <c r="I937" s="138">
        <f t="shared" si="3639"/>
        <v>89123.7</v>
      </c>
      <c r="J937" s="138">
        <f t="shared" si="3639"/>
        <v>92873.7</v>
      </c>
      <c r="K937" s="138">
        <f t="shared" si="3639"/>
        <v>92873.7</v>
      </c>
      <c r="L937" s="138">
        <f t="shared" si="3639"/>
        <v>92873.7</v>
      </c>
      <c r="M937" s="138">
        <f t="shared" si="3639"/>
        <v>92873.7</v>
      </c>
      <c r="N937" s="138">
        <f t="shared" si="3639"/>
        <v>92873.7</v>
      </c>
      <c r="O937" s="138">
        <f t="shared" si="3639"/>
        <v>92873.7</v>
      </c>
      <c r="P937" s="138">
        <f t="shared" si="3639"/>
        <v>92873.7</v>
      </c>
      <c r="Q937" s="138">
        <f t="shared" si="3639"/>
        <v>92873.7</v>
      </c>
      <c r="R937" s="138">
        <f t="shared" si="3639"/>
        <v>92873.7</v>
      </c>
      <c r="S937" s="138">
        <f t="shared" si="3639"/>
        <v>92873.7</v>
      </c>
      <c r="T937" s="138">
        <f t="shared" si="3639"/>
        <v>92873.7</v>
      </c>
      <c r="U937" s="138">
        <f t="shared" si="3639"/>
        <v>90925.972670843345</v>
      </c>
      <c r="V937" s="138">
        <f t="shared" si="3639"/>
        <v>87904.031537642775</v>
      </c>
      <c r="W937" s="138">
        <f t="shared" si="3639"/>
        <v>81507.329734259736</v>
      </c>
      <c r="X937" s="138">
        <f t="shared" si="3639"/>
        <v>76153.876932454164</v>
      </c>
      <c r="Y937" s="138">
        <f t="shared" si="3639"/>
        <v>73792.406964681519</v>
      </c>
      <c r="Z937" s="138">
        <f t="shared" si="3639"/>
        <v>70340.814062279576</v>
      </c>
      <c r="AA937" s="138">
        <f t="shared" si="3639"/>
        <v>63309.383172896283</v>
      </c>
      <c r="AB937" s="138">
        <f t="shared" si="3639"/>
        <v>57381.179811790062</v>
      </c>
      <c r="AC937" s="138">
        <f t="shared" si="3639"/>
        <v>54475.256799968745</v>
      </c>
      <c r="AD937" s="138">
        <f t="shared" si="3639"/>
        <v>50332.244897342818</v>
      </c>
      <c r="AE937" s="138">
        <f t="shared" si="3639"/>
        <v>42385.777619985973</v>
      </c>
      <c r="AF937" s="138">
        <f t="shared" si="3639"/>
        <v>35599.753111931474</v>
      </c>
      <c r="AG937" s="138">
        <f t="shared" si="3639"/>
        <v>32080.009716452128</v>
      </c>
      <c r="AH937" s="138">
        <f t="shared" si="3639"/>
        <v>27310.067962892499</v>
      </c>
      <c r="AI937" s="138">
        <f t="shared" si="3639"/>
        <v>18502.88935820261</v>
      </c>
      <c r="AJ937" s="138">
        <f t="shared" si="3639"/>
        <v>10920.123858288463</v>
      </c>
      <c r="AK937" s="138">
        <f t="shared" si="3639"/>
        <v>6846.0433318781834</v>
      </c>
      <c r="AL937" s="138">
        <f t="shared" si="3639"/>
        <v>1474.7826981396122</v>
      </c>
      <c r="AM937" s="138">
        <f t="shared" si="3639"/>
        <v>0</v>
      </c>
      <c r="AN937" s="138">
        <f t="shared" si="3639"/>
        <v>0</v>
      </c>
      <c r="AO937" s="138">
        <f t="shared" si="3639"/>
        <v>0</v>
      </c>
      <c r="AP937" s="138">
        <f t="shared" si="3639"/>
        <v>0</v>
      </c>
      <c r="AQ937" s="138">
        <f t="shared" si="3639"/>
        <v>0</v>
      </c>
      <c r="AR937" s="138">
        <f t="shared" si="3639"/>
        <v>0</v>
      </c>
      <c r="AS937" s="138">
        <f t="shared" si="3639"/>
        <v>0</v>
      </c>
      <c r="AT937" s="138">
        <f t="shared" si="3639"/>
        <v>0</v>
      </c>
      <c r="AU937" s="138">
        <f t="shared" si="3639"/>
        <v>0</v>
      </c>
      <c r="AV937" s="138">
        <f t="shared" si="3639"/>
        <v>0</v>
      </c>
      <c r="AW937" s="94"/>
      <c r="AX937" s="165">
        <f>SUM(G937:AW937)</f>
        <v>2075475.0442419294</v>
      </c>
    </row>
    <row r="938" spans="1:50" s="98" customFormat="1" hidden="1" outlineLevel="1" x14ac:dyDescent="0.2">
      <c r="A938" s="38" t="str">
        <f ca="1">Language!A$1123</f>
        <v>Проценты уплаченные</v>
      </c>
      <c r="B938" s="38"/>
      <c r="C938" s="124" t="str">
        <f t="shared" ca="1" si="3616"/>
        <v>тыс. руб.</v>
      </c>
      <c r="D938" s="57"/>
      <c r="E938" s="57"/>
      <c r="F938" s="57" t="s">
        <v>1463</v>
      </c>
      <c r="G938" s="138">
        <f t="shared" ref="G938:AV938" si="3640">SUM(G$904,G$923)</f>
        <v>0</v>
      </c>
      <c r="H938" s="138">
        <f t="shared" si="3640"/>
        <v>83498.7</v>
      </c>
      <c r="I938" s="138">
        <f t="shared" si="3640"/>
        <v>89123.7</v>
      </c>
      <c r="J938" s="138">
        <f t="shared" si="3640"/>
        <v>92873.7</v>
      </c>
      <c r="K938" s="138">
        <f t="shared" si="3640"/>
        <v>92873.7</v>
      </c>
      <c r="L938" s="138">
        <f t="shared" si="3640"/>
        <v>92873.7</v>
      </c>
      <c r="M938" s="138">
        <f t="shared" si="3640"/>
        <v>92873.7</v>
      </c>
      <c r="N938" s="138">
        <f t="shared" si="3640"/>
        <v>92873.7</v>
      </c>
      <c r="O938" s="138">
        <f t="shared" si="3640"/>
        <v>92873.7</v>
      </c>
      <c r="P938" s="138">
        <f t="shared" si="3640"/>
        <v>92873.7</v>
      </c>
      <c r="Q938" s="138">
        <f t="shared" si="3640"/>
        <v>92873.7</v>
      </c>
      <c r="R938" s="138">
        <f t="shared" si="3640"/>
        <v>92873.7</v>
      </c>
      <c r="S938" s="138">
        <f t="shared" si="3640"/>
        <v>92873.7</v>
      </c>
      <c r="T938" s="138">
        <f t="shared" si="3640"/>
        <v>92873.7</v>
      </c>
      <c r="U938" s="138">
        <f t="shared" si="3640"/>
        <v>90925.972670843345</v>
      </c>
      <c r="V938" s="138">
        <f t="shared" si="3640"/>
        <v>87904.031537642775</v>
      </c>
      <c r="W938" s="138">
        <f t="shared" si="3640"/>
        <v>81507.329734259736</v>
      </c>
      <c r="X938" s="138">
        <f t="shared" si="3640"/>
        <v>76153.876932454164</v>
      </c>
      <c r="Y938" s="138">
        <f t="shared" si="3640"/>
        <v>73792.406964681519</v>
      </c>
      <c r="Z938" s="138">
        <f t="shared" si="3640"/>
        <v>70340.814062279576</v>
      </c>
      <c r="AA938" s="138">
        <f t="shared" si="3640"/>
        <v>63309.383172896283</v>
      </c>
      <c r="AB938" s="138">
        <f t="shared" si="3640"/>
        <v>57381.179811790062</v>
      </c>
      <c r="AC938" s="138">
        <f t="shared" si="3640"/>
        <v>54475.256799968745</v>
      </c>
      <c r="AD938" s="138">
        <f t="shared" si="3640"/>
        <v>50332.244897342818</v>
      </c>
      <c r="AE938" s="138">
        <f t="shared" si="3640"/>
        <v>42385.777619985973</v>
      </c>
      <c r="AF938" s="138">
        <f t="shared" si="3640"/>
        <v>35599.753111931474</v>
      </c>
      <c r="AG938" s="138">
        <f t="shared" si="3640"/>
        <v>32080.009716452128</v>
      </c>
      <c r="AH938" s="138">
        <f t="shared" si="3640"/>
        <v>27310.067962892499</v>
      </c>
      <c r="AI938" s="138">
        <f t="shared" si="3640"/>
        <v>18502.88935820261</v>
      </c>
      <c r="AJ938" s="138">
        <f t="shared" si="3640"/>
        <v>10920.123858288463</v>
      </c>
      <c r="AK938" s="138">
        <f t="shared" si="3640"/>
        <v>6846.0433318781834</v>
      </c>
      <c r="AL938" s="138">
        <f t="shared" si="3640"/>
        <v>1474.7826981396122</v>
      </c>
      <c r="AM938" s="138">
        <f t="shared" si="3640"/>
        <v>0</v>
      </c>
      <c r="AN938" s="138">
        <f t="shared" si="3640"/>
        <v>0</v>
      </c>
      <c r="AO938" s="138">
        <f t="shared" si="3640"/>
        <v>0</v>
      </c>
      <c r="AP938" s="138">
        <f t="shared" si="3640"/>
        <v>0</v>
      </c>
      <c r="AQ938" s="138">
        <f t="shared" si="3640"/>
        <v>0</v>
      </c>
      <c r="AR938" s="138">
        <f t="shared" si="3640"/>
        <v>0</v>
      </c>
      <c r="AS938" s="138">
        <f t="shared" si="3640"/>
        <v>0</v>
      </c>
      <c r="AT938" s="138">
        <f t="shared" si="3640"/>
        <v>0</v>
      </c>
      <c r="AU938" s="138">
        <f t="shared" si="3640"/>
        <v>0</v>
      </c>
      <c r="AV938" s="138">
        <f t="shared" si="3640"/>
        <v>0</v>
      </c>
      <c r="AW938" s="94"/>
      <c r="AX938" s="165">
        <f>SUM(G938:AW938)</f>
        <v>2075475.0442419294</v>
      </c>
    </row>
    <row r="939" spans="1:50" s="98" customFormat="1" hidden="1" outlineLevel="1" x14ac:dyDescent="0.2">
      <c r="A939" s="38" t="str">
        <f ca="1">Language!A$1124</f>
        <v>Долгосрочные кредиты на конец периода</v>
      </c>
      <c r="B939" s="38"/>
      <c r="C939" s="124" t="str">
        <f t="shared" ca="1" si="3616"/>
        <v>тыс. руб.</v>
      </c>
      <c r="D939" s="57"/>
      <c r="E939" s="57"/>
      <c r="F939" s="57" t="s">
        <v>1118</v>
      </c>
      <c r="G939" s="138">
        <f t="shared" ref="G939:AV939" si="3641">SUM(G$902,G$921)</f>
        <v>0</v>
      </c>
      <c r="H939" s="138">
        <f t="shared" si="3641"/>
        <v>2226632</v>
      </c>
      <c r="I939" s="138">
        <f t="shared" si="3641"/>
        <v>2376632</v>
      </c>
      <c r="J939" s="138">
        <f t="shared" si="3641"/>
        <v>2476632</v>
      </c>
      <c r="K939" s="138">
        <f t="shared" si="3641"/>
        <v>2476632</v>
      </c>
      <c r="L939" s="138">
        <f t="shared" si="3641"/>
        <v>2476632</v>
      </c>
      <c r="M939" s="138">
        <f t="shared" si="3641"/>
        <v>2476632</v>
      </c>
      <c r="N939" s="138">
        <f t="shared" si="3641"/>
        <v>2476632</v>
      </c>
      <c r="O939" s="138">
        <f t="shared" si="3641"/>
        <v>2476632</v>
      </c>
      <c r="P939" s="138">
        <f t="shared" si="3641"/>
        <v>2476632</v>
      </c>
      <c r="Q939" s="138">
        <f t="shared" si="3641"/>
        <v>2476632</v>
      </c>
      <c r="R939" s="138">
        <f t="shared" si="3641"/>
        <v>2476632</v>
      </c>
      <c r="S939" s="138">
        <f t="shared" si="3641"/>
        <v>2476632</v>
      </c>
      <c r="T939" s="138">
        <f t="shared" si="3641"/>
        <v>2476632</v>
      </c>
      <c r="U939" s="138">
        <f t="shared" si="3641"/>
        <v>2424692.6045558229</v>
      </c>
      <c r="V939" s="138">
        <f t="shared" si="3641"/>
        <v>2344107.5076704742</v>
      </c>
      <c r="W939" s="138">
        <f t="shared" si="3641"/>
        <v>2173528.7929135934</v>
      </c>
      <c r="X939" s="138">
        <f t="shared" si="3641"/>
        <v>2030770.0515321111</v>
      </c>
      <c r="Y939" s="138">
        <f t="shared" si="3641"/>
        <v>1967797.5190581742</v>
      </c>
      <c r="Z939" s="138">
        <f t="shared" si="3641"/>
        <v>1875755.0416607889</v>
      </c>
      <c r="AA939" s="138">
        <f t="shared" si="3641"/>
        <v>1688250.2179439007</v>
      </c>
      <c r="AB939" s="138">
        <f t="shared" si="3641"/>
        <v>1530164.7949810685</v>
      </c>
      <c r="AC939" s="138">
        <f t="shared" si="3641"/>
        <v>1452673.5146658332</v>
      </c>
      <c r="AD939" s="138">
        <f t="shared" si="3641"/>
        <v>1342193.1972624753</v>
      </c>
      <c r="AE939" s="138">
        <f t="shared" si="3641"/>
        <v>1130287.4031996259</v>
      </c>
      <c r="AF939" s="138">
        <f t="shared" si="3641"/>
        <v>949326.74965150608</v>
      </c>
      <c r="AG939" s="138">
        <f t="shared" si="3641"/>
        <v>855466.92577205668</v>
      </c>
      <c r="AH939" s="138">
        <f t="shared" si="3641"/>
        <v>728268.47901046672</v>
      </c>
      <c r="AI939" s="138">
        <f t="shared" si="3641"/>
        <v>493410.382885403</v>
      </c>
      <c r="AJ939" s="138">
        <f t="shared" si="3641"/>
        <v>291203.30288769235</v>
      </c>
      <c r="AK939" s="138">
        <f t="shared" si="3641"/>
        <v>182561.15551675158</v>
      </c>
      <c r="AL939" s="138">
        <f t="shared" si="3641"/>
        <v>39327.538617056329</v>
      </c>
      <c r="AM939" s="138">
        <f t="shared" si="3641"/>
        <v>0</v>
      </c>
      <c r="AN939" s="138">
        <f t="shared" si="3641"/>
        <v>0</v>
      </c>
      <c r="AO939" s="138">
        <f t="shared" si="3641"/>
        <v>0</v>
      </c>
      <c r="AP939" s="138">
        <f t="shared" si="3641"/>
        <v>0</v>
      </c>
      <c r="AQ939" s="138">
        <f t="shared" si="3641"/>
        <v>0</v>
      </c>
      <c r="AR939" s="138">
        <f t="shared" si="3641"/>
        <v>0</v>
      </c>
      <c r="AS939" s="138">
        <f t="shared" si="3641"/>
        <v>0</v>
      </c>
      <c r="AT939" s="138">
        <f t="shared" si="3641"/>
        <v>0</v>
      </c>
      <c r="AU939" s="138">
        <f t="shared" si="3641"/>
        <v>0</v>
      </c>
      <c r="AV939" s="138">
        <f t="shared" si="3641"/>
        <v>0</v>
      </c>
      <c r="AW939" s="94"/>
      <c r="AX939" s="171"/>
    </row>
    <row r="940" spans="1:50" s="98" customFormat="1" hidden="1" outlineLevel="1" x14ac:dyDescent="0.2">
      <c r="A940" s="38" t="str">
        <f ca="1">Language!A$1125</f>
        <v>Краткосрочные кредиты на конец периода</v>
      </c>
      <c r="B940" s="38"/>
      <c r="C940" s="124" t="str">
        <f t="shared" ca="1" si="3616"/>
        <v>тыс. руб.</v>
      </c>
      <c r="D940" s="57"/>
      <c r="E940" s="57"/>
      <c r="F940" s="57" t="s">
        <v>1119</v>
      </c>
      <c r="G940" s="138">
        <v>0</v>
      </c>
      <c r="H940" s="138">
        <v>0</v>
      </c>
      <c r="I940" s="138">
        <v>0</v>
      </c>
      <c r="J940" s="138">
        <v>0</v>
      </c>
      <c r="K940" s="138">
        <v>0</v>
      </c>
      <c r="L940" s="138">
        <v>0</v>
      </c>
      <c r="M940" s="138">
        <v>0</v>
      </c>
      <c r="N940" s="138">
        <v>0</v>
      </c>
      <c r="O940" s="138">
        <v>0</v>
      </c>
      <c r="P940" s="138">
        <v>0</v>
      </c>
      <c r="Q940" s="138">
        <v>0</v>
      </c>
      <c r="R940" s="138">
        <v>0</v>
      </c>
      <c r="S940" s="138">
        <v>0</v>
      </c>
      <c r="T940" s="138">
        <v>0</v>
      </c>
      <c r="U940" s="138">
        <v>0</v>
      </c>
      <c r="V940" s="138">
        <v>0</v>
      </c>
      <c r="W940" s="138">
        <v>0</v>
      </c>
      <c r="X940" s="138">
        <v>0</v>
      </c>
      <c r="Y940" s="138">
        <v>0</v>
      </c>
      <c r="Z940" s="138">
        <v>0</v>
      </c>
      <c r="AA940" s="138">
        <v>0</v>
      </c>
      <c r="AB940" s="138">
        <v>0</v>
      </c>
      <c r="AC940" s="138">
        <v>0</v>
      </c>
      <c r="AD940" s="138">
        <v>0</v>
      </c>
      <c r="AE940" s="138">
        <v>0</v>
      </c>
      <c r="AF940" s="138">
        <v>0</v>
      </c>
      <c r="AG940" s="138">
        <v>0</v>
      </c>
      <c r="AH940" s="138">
        <v>0</v>
      </c>
      <c r="AI940" s="138">
        <v>0</v>
      </c>
      <c r="AJ940" s="138">
        <v>0</v>
      </c>
      <c r="AK940" s="138">
        <v>0</v>
      </c>
      <c r="AL940" s="138">
        <v>0</v>
      </c>
      <c r="AM940" s="138">
        <v>0</v>
      </c>
      <c r="AN940" s="138">
        <v>0</v>
      </c>
      <c r="AO940" s="138">
        <v>0</v>
      </c>
      <c r="AP940" s="138">
        <v>0</v>
      </c>
      <c r="AQ940" s="138">
        <v>0</v>
      </c>
      <c r="AR940" s="138">
        <v>0</v>
      </c>
      <c r="AS940" s="138">
        <v>0</v>
      </c>
      <c r="AT940" s="138">
        <v>0</v>
      </c>
      <c r="AU940" s="138">
        <v>0</v>
      </c>
      <c r="AV940" s="138">
        <v>0</v>
      </c>
      <c r="AW940" s="94"/>
      <c r="AX940" s="171"/>
    </row>
    <row r="941" spans="1:50" s="98" customFormat="1" hidden="1" outlineLevel="1" x14ac:dyDescent="0.2">
      <c r="A941" s="38" t="str">
        <f ca="1">Language!A$1126</f>
        <v>Отнесение процентов на стоимость основных средств</v>
      </c>
      <c r="B941" s="38"/>
      <c r="C941" s="124" t="str">
        <f t="shared" ca="1" si="3616"/>
        <v>тыс. руб.</v>
      </c>
      <c r="D941" s="57"/>
      <c r="E941" s="57"/>
      <c r="F941" s="57" t="s">
        <v>1547</v>
      </c>
      <c r="G941" s="138">
        <f t="shared" ref="G941:AV941" si="3642">SUM(G$907,G$926)</f>
        <v>0</v>
      </c>
      <c r="H941" s="138">
        <f t="shared" si="3642"/>
        <v>0</v>
      </c>
      <c r="I941" s="138">
        <f t="shared" si="3642"/>
        <v>0</v>
      </c>
      <c r="J941" s="138">
        <f t="shared" si="3642"/>
        <v>0</v>
      </c>
      <c r="K941" s="138">
        <f t="shared" si="3642"/>
        <v>0</v>
      </c>
      <c r="L941" s="138">
        <f t="shared" si="3642"/>
        <v>0</v>
      </c>
      <c r="M941" s="138">
        <f t="shared" si="3642"/>
        <v>0</v>
      </c>
      <c r="N941" s="138">
        <f t="shared" si="3642"/>
        <v>0</v>
      </c>
      <c r="O941" s="138">
        <f t="shared" si="3642"/>
        <v>0</v>
      </c>
      <c r="P941" s="138">
        <f t="shared" si="3642"/>
        <v>0</v>
      </c>
      <c r="Q941" s="138">
        <f t="shared" si="3642"/>
        <v>0</v>
      </c>
      <c r="R941" s="138">
        <f t="shared" si="3642"/>
        <v>0</v>
      </c>
      <c r="S941" s="138">
        <f t="shared" si="3642"/>
        <v>0</v>
      </c>
      <c r="T941" s="138">
        <f t="shared" si="3642"/>
        <v>0</v>
      </c>
      <c r="U941" s="138">
        <f t="shared" si="3642"/>
        <v>0</v>
      </c>
      <c r="V941" s="138">
        <f t="shared" si="3642"/>
        <v>0</v>
      </c>
      <c r="W941" s="138">
        <f t="shared" si="3642"/>
        <v>0</v>
      </c>
      <c r="X941" s="138">
        <f t="shared" si="3642"/>
        <v>0</v>
      </c>
      <c r="Y941" s="138">
        <f t="shared" si="3642"/>
        <v>0</v>
      </c>
      <c r="Z941" s="138">
        <f t="shared" si="3642"/>
        <v>0</v>
      </c>
      <c r="AA941" s="138">
        <f t="shared" si="3642"/>
        <v>0</v>
      </c>
      <c r="AB941" s="138">
        <f t="shared" si="3642"/>
        <v>0</v>
      </c>
      <c r="AC941" s="138">
        <f t="shared" si="3642"/>
        <v>0</v>
      </c>
      <c r="AD941" s="138">
        <f t="shared" si="3642"/>
        <v>0</v>
      </c>
      <c r="AE941" s="138">
        <f t="shared" si="3642"/>
        <v>0</v>
      </c>
      <c r="AF941" s="138">
        <f t="shared" si="3642"/>
        <v>0</v>
      </c>
      <c r="AG941" s="138">
        <f t="shared" si="3642"/>
        <v>0</v>
      </c>
      <c r="AH941" s="138">
        <f t="shared" si="3642"/>
        <v>0</v>
      </c>
      <c r="AI941" s="138">
        <f t="shared" si="3642"/>
        <v>0</v>
      </c>
      <c r="AJ941" s="138">
        <f t="shared" si="3642"/>
        <v>0</v>
      </c>
      <c r="AK941" s="138">
        <f t="shared" si="3642"/>
        <v>0</v>
      </c>
      <c r="AL941" s="138">
        <f t="shared" si="3642"/>
        <v>0</v>
      </c>
      <c r="AM941" s="138">
        <f t="shared" si="3642"/>
        <v>0</v>
      </c>
      <c r="AN941" s="138">
        <f t="shared" si="3642"/>
        <v>0</v>
      </c>
      <c r="AO941" s="138">
        <f t="shared" si="3642"/>
        <v>0</v>
      </c>
      <c r="AP941" s="138">
        <f t="shared" si="3642"/>
        <v>0</v>
      </c>
      <c r="AQ941" s="138">
        <f t="shared" si="3642"/>
        <v>0</v>
      </c>
      <c r="AR941" s="138">
        <f t="shared" si="3642"/>
        <v>0</v>
      </c>
      <c r="AS941" s="138">
        <f t="shared" si="3642"/>
        <v>0</v>
      </c>
      <c r="AT941" s="138">
        <f t="shared" si="3642"/>
        <v>0</v>
      </c>
      <c r="AU941" s="138">
        <f t="shared" si="3642"/>
        <v>0</v>
      </c>
      <c r="AV941" s="138">
        <f t="shared" si="3642"/>
        <v>0</v>
      </c>
      <c r="AW941" s="94"/>
      <c r="AX941" s="165">
        <f>SUM(G941:AW941)</f>
        <v>0</v>
      </c>
    </row>
    <row r="942" spans="1:50" s="98" customFormat="1" hidden="1" outlineLevel="1" x14ac:dyDescent="0.2">
      <c r="A942" s="38" t="str">
        <f ca="1">Language!A$1127</f>
        <v>Незавершенные инвестиции</v>
      </c>
      <c r="B942" s="38"/>
      <c r="C942" s="124" t="str">
        <f t="shared" ca="1" si="3616"/>
        <v>тыс. руб.</v>
      </c>
      <c r="D942" s="57"/>
      <c r="E942" s="57"/>
      <c r="F942" s="57" t="s">
        <v>1551</v>
      </c>
      <c r="G942" s="138">
        <f t="shared" ref="G942:AV942" si="3643">SUM(G$908,G$927)</f>
        <v>0</v>
      </c>
      <c r="H942" s="138">
        <f t="shared" si="3643"/>
        <v>0</v>
      </c>
      <c r="I942" s="138">
        <f t="shared" si="3643"/>
        <v>0</v>
      </c>
      <c r="J942" s="138">
        <f t="shared" si="3643"/>
        <v>0</v>
      </c>
      <c r="K942" s="138">
        <f t="shared" si="3643"/>
        <v>0</v>
      </c>
      <c r="L942" s="138">
        <f t="shared" si="3643"/>
        <v>0</v>
      </c>
      <c r="M942" s="138">
        <f t="shared" si="3643"/>
        <v>0</v>
      </c>
      <c r="N942" s="138">
        <f t="shared" si="3643"/>
        <v>0</v>
      </c>
      <c r="O942" s="138">
        <f t="shared" si="3643"/>
        <v>0</v>
      </c>
      <c r="P942" s="138">
        <f t="shared" si="3643"/>
        <v>0</v>
      </c>
      <c r="Q942" s="138">
        <f t="shared" si="3643"/>
        <v>0</v>
      </c>
      <c r="R942" s="138">
        <f t="shared" si="3643"/>
        <v>0</v>
      </c>
      <c r="S942" s="138">
        <f t="shared" si="3643"/>
        <v>0</v>
      </c>
      <c r="T942" s="138">
        <f t="shared" si="3643"/>
        <v>0</v>
      </c>
      <c r="U942" s="138">
        <f t="shared" si="3643"/>
        <v>0</v>
      </c>
      <c r="V942" s="138">
        <f t="shared" si="3643"/>
        <v>0</v>
      </c>
      <c r="W942" s="138">
        <f t="shared" si="3643"/>
        <v>0</v>
      </c>
      <c r="X942" s="138">
        <f t="shared" si="3643"/>
        <v>0</v>
      </c>
      <c r="Y942" s="138">
        <f t="shared" si="3643"/>
        <v>0</v>
      </c>
      <c r="Z942" s="138">
        <f t="shared" si="3643"/>
        <v>0</v>
      </c>
      <c r="AA942" s="138">
        <f t="shared" si="3643"/>
        <v>0</v>
      </c>
      <c r="AB942" s="138">
        <f t="shared" si="3643"/>
        <v>0</v>
      </c>
      <c r="AC942" s="138">
        <f t="shared" si="3643"/>
        <v>0</v>
      </c>
      <c r="AD942" s="138">
        <f t="shared" si="3643"/>
        <v>0</v>
      </c>
      <c r="AE942" s="138">
        <f t="shared" si="3643"/>
        <v>0</v>
      </c>
      <c r="AF942" s="138">
        <f t="shared" si="3643"/>
        <v>0</v>
      </c>
      <c r="AG942" s="138">
        <f t="shared" si="3643"/>
        <v>0</v>
      </c>
      <c r="AH942" s="138">
        <f t="shared" si="3643"/>
        <v>0</v>
      </c>
      <c r="AI942" s="138">
        <f t="shared" si="3643"/>
        <v>0</v>
      </c>
      <c r="AJ942" s="138">
        <f t="shared" si="3643"/>
        <v>0</v>
      </c>
      <c r="AK942" s="138">
        <f t="shared" si="3643"/>
        <v>0</v>
      </c>
      <c r="AL942" s="138">
        <f t="shared" si="3643"/>
        <v>0</v>
      </c>
      <c r="AM942" s="138">
        <f t="shared" si="3643"/>
        <v>0</v>
      </c>
      <c r="AN942" s="138">
        <f t="shared" si="3643"/>
        <v>0</v>
      </c>
      <c r="AO942" s="138">
        <f t="shared" si="3643"/>
        <v>0</v>
      </c>
      <c r="AP942" s="138">
        <f t="shared" si="3643"/>
        <v>0</v>
      </c>
      <c r="AQ942" s="138">
        <f t="shared" si="3643"/>
        <v>0</v>
      </c>
      <c r="AR942" s="138">
        <f t="shared" si="3643"/>
        <v>0</v>
      </c>
      <c r="AS942" s="138">
        <f t="shared" si="3643"/>
        <v>0</v>
      </c>
      <c r="AT942" s="138">
        <f t="shared" si="3643"/>
        <v>0</v>
      </c>
      <c r="AU942" s="138">
        <f t="shared" si="3643"/>
        <v>0</v>
      </c>
      <c r="AV942" s="138">
        <f t="shared" si="3643"/>
        <v>0</v>
      </c>
      <c r="AW942" s="94"/>
      <c r="AX942" s="165"/>
    </row>
    <row r="943" spans="1:50" s="98" customFormat="1" hidden="1" outlineLevel="1" x14ac:dyDescent="0.2">
      <c r="A943" s="38" t="str">
        <f ca="1">Language!A$1128</f>
        <v>Балансовая стоимость процентов в основных средствах</v>
      </c>
      <c r="B943" s="38"/>
      <c r="C943" s="124" t="str">
        <f t="shared" ca="1" si="3616"/>
        <v>тыс. руб.</v>
      </c>
      <c r="D943" s="57"/>
      <c r="E943" s="57"/>
      <c r="F943" s="57" t="s">
        <v>1120</v>
      </c>
      <c r="G943" s="138">
        <f t="shared" ref="G943:AV943" si="3644">SUM(G$913,G$932)</f>
        <v>0</v>
      </c>
      <c r="H943" s="138">
        <f t="shared" si="3644"/>
        <v>0</v>
      </c>
      <c r="I943" s="138">
        <f t="shared" si="3644"/>
        <v>0</v>
      </c>
      <c r="J943" s="138">
        <f t="shared" si="3644"/>
        <v>0</v>
      </c>
      <c r="K943" s="138">
        <f t="shared" si="3644"/>
        <v>0</v>
      </c>
      <c r="L943" s="138">
        <f t="shared" si="3644"/>
        <v>0</v>
      </c>
      <c r="M943" s="138">
        <f t="shared" si="3644"/>
        <v>0</v>
      </c>
      <c r="N943" s="138">
        <f t="shared" si="3644"/>
        <v>0</v>
      </c>
      <c r="O943" s="138">
        <f t="shared" si="3644"/>
        <v>0</v>
      </c>
      <c r="P943" s="138">
        <f t="shared" si="3644"/>
        <v>0</v>
      </c>
      <c r="Q943" s="138">
        <f t="shared" si="3644"/>
        <v>0</v>
      </c>
      <c r="R943" s="138">
        <f t="shared" si="3644"/>
        <v>0</v>
      </c>
      <c r="S943" s="138">
        <f t="shared" si="3644"/>
        <v>0</v>
      </c>
      <c r="T943" s="138">
        <f t="shared" si="3644"/>
        <v>0</v>
      </c>
      <c r="U943" s="138">
        <f t="shared" si="3644"/>
        <v>0</v>
      </c>
      <c r="V943" s="138">
        <f t="shared" si="3644"/>
        <v>0</v>
      </c>
      <c r="W943" s="138">
        <f t="shared" si="3644"/>
        <v>0</v>
      </c>
      <c r="X943" s="138">
        <f t="shared" si="3644"/>
        <v>0</v>
      </c>
      <c r="Y943" s="138">
        <f t="shared" si="3644"/>
        <v>0</v>
      </c>
      <c r="Z943" s="138">
        <f t="shared" si="3644"/>
        <v>0</v>
      </c>
      <c r="AA943" s="138">
        <f t="shared" si="3644"/>
        <v>0</v>
      </c>
      <c r="AB943" s="138">
        <f t="shared" si="3644"/>
        <v>0</v>
      </c>
      <c r="AC943" s="138">
        <f t="shared" si="3644"/>
        <v>0</v>
      </c>
      <c r="AD943" s="138">
        <f t="shared" si="3644"/>
        <v>0</v>
      </c>
      <c r="AE943" s="138">
        <f t="shared" si="3644"/>
        <v>0</v>
      </c>
      <c r="AF943" s="138">
        <f t="shared" si="3644"/>
        <v>0</v>
      </c>
      <c r="AG943" s="138">
        <f t="shared" si="3644"/>
        <v>0</v>
      </c>
      <c r="AH943" s="138">
        <f t="shared" si="3644"/>
        <v>0</v>
      </c>
      <c r="AI943" s="138">
        <f t="shared" si="3644"/>
        <v>0</v>
      </c>
      <c r="AJ943" s="138">
        <f t="shared" si="3644"/>
        <v>0</v>
      </c>
      <c r="AK943" s="138">
        <f t="shared" si="3644"/>
        <v>0</v>
      </c>
      <c r="AL943" s="138">
        <f t="shared" si="3644"/>
        <v>0</v>
      </c>
      <c r="AM943" s="138">
        <f t="shared" si="3644"/>
        <v>0</v>
      </c>
      <c r="AN943" s="138">
        <f t="shared" si="3644"/>
        <v>0</v>
      </c>
      <c r="AO943" s="138">
        <f t="shared" si="3644"/>
        <v>0</v>
      </c>
      <c r="AP943" s="138">
        <f t="shared" si="3644"/>
        <v>0</v>
      </c>
      <c r="AQ943" s="138">
        <f t="shared" si="3644"/>
        <v>0</v>
      </c>
      <c r="AR943" s="138">
        <f t="shared" si="3644"/>
        <v>0</v>
      </c>
      <c r="AS943" s="138">
        <f t="shared" si="3644"/>
        <v>0</v>
      </c>
      <c r="AT943" s="138">
        <f t="shared" si="3644"/>
        <v>0</v>
      </c>
      <c r="AU943" s="138">
        <f t="shared" si="3644"/>
        <v>0</v>
      </c>
      <c r="AV943" s="138">
        <f t="shared" si="3644"/>
        <v>0</v>
      </c>
      <c r="AW943" s="94"/>
      <c r="AX943" s="171"/>
    </row>
    <row r="944" spans="1:50" s="98" customFormat="1" hidden="1" outlineLevel="1" x14ac:dyDescent="0.2">
      <c r="A944" s="38" t="str">
        <f ca="1">Language!A$1129</f>
        <v>Амортизация процентов в основных средствах</v>
      </c>
      <c r="B944" s="38"/>
      <c r="C944" s="124" t="str">
        <f t="shared" ca="1" si="3616"/>
        <v>тыс. руб.</v>
      </c>
      <c r="D944" s="57"/>
      <c r="E944" s="57"/>
      <c r="F944" s="57" t="s">
        <v>1121</v>
      </c>
      <c r="G944" s="138">
        <f t="shared" ref="G944:AV944" si="3645">SUM(G$912,G$931)</f>
        <v>0</v>
      </c>
      <c r="H944" s="138">
        <f t="shared" si="3645"/>
        <v>0</v>
      </c>
      <c r="I944" s="138">
        <f t="shared" si="3645"/>
        <v>0</v>
      </c>
      <c r="J944" s="138">
        <f t="shared" si="3645"/>
        <v>0</v>
      </c>
      <c r="K944" s="138">
        <f t="shared" si="3645"/>
        <v>0</v>
      </c>
      <c r="L944" s="138">
        <f t="shared" si="3645"/>
        <v>0</v>
      </c>
      <c r="M944" s="138">
        <f t="shared" si="3645"/>
        <v>0</v>
      </c>
      <c r="N944" s="138">
        <f t="shared" si="3645"/>
        <v>0</v>
      </c>
      <c r="O944" s="138">
        <f t="shared" si="3645"/>
        <v>0</v>
      </c>
      <c r="P944" s="138">
        <f t="shared" si="3645"/>
        <v>0</v>
      </c>
      <c r="Q944" s="138">
        <f t="shared" si="3645"/>
        <v>0</v>
      </c>
      <c r="R944" s="138">
        <f t="shared" si="3645"/>
        <v>0</v>
      </c>
      <c r="S944" s="138">
        <f t="shared" si="3645"/>
        <v>0</v>
      </c>
      <c r="T944" s="138">
        <f t="shared" si="3645"/>
        <v>0</v>
      </c>
      <c r="U944" s="138">
        <f t="shared" si="3645"/>
        <v>0</v>
      </c>
      <c r="V944" s="138">
        <f t="shared" si="3645"/>
        <v>0</v>
      </c>
      <c r="W944" s="138">
        <f t="shared" si="3645"/>
        <v>0</v>
      </c>
      <c r="X944" s="138">
        <f t="shared" si="3645"/>
        <v>0</v>
      </c>
      <c r="Y944" s="138">
        <f t="shared" si="3645"/>
        <v>0</v>
      </c>
      <c r="Z944" s="138">
        <f t="shared" si="3645"/>
        <v>0</v>
      </c>
      <c r="AA944" s="138">
        <f t="shared" si="3645"/>
        <v>0</v>
      </c>
      <c r="AB944" s="138">
        <f t="shared" si="3645"/>
        <v>0</v>
      </c>
      <c r="AC944" s="138">
        <f t="shared" si="3645"/>
        <v>0</v>
      </c>
      <c r="AD944" s="138">
        <f t="shared" si="3645"/>
        <v>0</v>
      </c>
      <c r="AE944" s="138">
        <f t="shared" si="3645"/>
        <v>0</v>
      </c>
      <c r="AF944" s="138">
        <f t="shared" si="3645"/>
        <v>0</v>
      </c>
      <c r="AG944" s="138">
        <f t="shared" si="3645"/>
        <v>0</v>
      </c>
      <c r="AH944" s="138">
        <f t="shared" si="3645"/>
        <v>0</v>
      </c>
      <c r="AI944" s="138">
        <f t="shared" si="3645"/>
        <v>0</v>
      </c>
      <c r="AJ944" s="138">
        <f t="shared" si="3645"/>
        <v>0</v>
      </c>
      <c r="AK944" s="138">
        <f t="shared" si="3645"/>
        <v>0</v>
      </c>
      <c r="AL944" s="138">
        <f t="shared" si="3645"/>
        <v>0</v>
      </c>
      <c r="AM944" s="138">
        <f t="shared" si="3645"/>
        <v>0</v>
      </c>
      <c r="AN944" s="138">
        <f t="shared" si="3645"/>
        <v>0</v>
      </c>
      <c r="AO944" s="138">
        <f t="shared" si="3645"/>
        <v>0</v>
      </c>
      <c r="AP944" s="138">
        <f t="shared" si="3645"/>
        <v>0</v>
      </c>
      <c r="AQ944" s="138">
        <f t="shared" si="3645"/>
        <v>0</v>
      </c>
      <c r="AR944" s="138">
        <f t="shared" si="3645"/>
        <v>0</v>
      </c>
      <c r="AS944" s="138">
        <f t="shared" si="3645"/>
        <v>0</v>
      </c>
      <c r="AT944" s="138">
        <f t="shared" si="3645"/>
        <v>0</v>
      </c>
      <c r="AU944" s="138">
        <f t="shared" si="3645"/>
        <v>0</v>
      </c>
      <c r="AV944" s="138">
        <f t="shared" si="3645"/>
        <v>0</v>
      </c>
      <c r="AW944" s="94"/>
      <c r="AX944" s="165">
        <f>SUM(G944:AW944)</f>
        <v>0</v>
      </c>
    </row>
    <row r="945" spans="1:50" s="98" customFormat="1" hidden="1" outlineLevel="1" x14ac:dyDescent="0.2">
      <c r="A945" s="38" t="str">
        <f ca="1">Language!A$1130</f>
        <v>Курсовые разницы</v>
      </c>
      <c r="B945" s="38"/>
      <c r="C945" s="124" t="str">
        <f t="shared" ca="1" si="3616"/>
        <v>тыс. руб.</v>
      </c>
      <c r="D945" s="57"/>
      <c r="E945" s="57"/>
      <c r="F945" s="57" t="s">
        <v>753</v>
      </c>
      <c r="G945" s="138">
        <f>IF(G$2=1,0,SUM($F935:G935)-SUM($F936:G936)-G939-G940+SUM($F937:G937)-SUM($F938:G938)-(SUM($F935:F935)-SUM($F936:F936)-F939-F940+SUM($F937:F937)-SUM($F938:F938)))</f>
        <v>0</v>
      </c>
      <c r="H945" s="138">
        <f>IF(H$2=1,0,SUM($F935:H935)-SUM($F936:H936)-H939-H940+SUM($F937:H937)-SUM($F938:H938)-(SUM($F935:G935)-SUM($F936:G936)-G939-G940+SUM($F937:G937)-SUM($F938:G938)))</f>
        <v>0</v>
      </c>
      <c r="I945" s="138">
        <f>IF(I$2=1,0,SUM($F935:I935)-SUM($F936:I936)-I939-I940+SUM($F937:I937)-SUM($F938:I938)-(SUM($F935:H935)-SUM($F936:H936)-H939-H940+SUM($F937:H937)-SUM($F938:H938)))</f>
        <v>0</v>
      </c>
      <c r="J945" s="138">
        <f>IF(J$2=1,0,SUM($F935:J935)-SUM($F936:J936)-J939-J940+SUM($F937:J937)-SUM($F938:J938)-(SUM($F935:I935)-SUM($F936:I936)-I939-I940+SUM($F937:I937)-SUM($F938:I938)))</f>
        <v>0</v>
      </c>
      <c r="K945" s="138">
        <f>IF(K$2=1,0,SUM($F935:K935)-SUM($F936:K936)-K939-K940+SUM($F937:K937)-SUM($F938:K938)-(SUM($F935:J935)-SUM($F936:J936)-J939-J940+SUM($F937:J937)-SUM($F938:J938)))</f>
        <v>0</v>
      </c>
      <c r="L945" s="138">
        <f>IF(L$2=1,0,SUM($F935:L935)-SUM($F936:L936)-L939-L940+SUM($F937:L937)-SUM($F938:L938)-(SUM($F935:K935)-SUM($F936:K936)-K939-K940+SUM($F937:K937)-SUM($F938:K938)))</f>
        <v>0</v>
      </c>
      <c r="M945" s="138">
        <f>IF(M$2=1,0,SUM($F935:M935)-SUM($F936:M936)-M939-M940+SUM($F937:M937)-SUM($F938:M938)-(SUM($F935:L935)-SUM($F936:L936)-L939-L940+SUM($F937:L937)-SUM($F938:L938)))</f>
        <v>0</v>
      </c>
      <c r="N945" s="138">
        <f>IF(N$2=1,0,SUM($F935:N935)-SUM($F936:N936)-N939-N940+SUM($F937:N937)-SUM($F938:N938)-(SUM($F935:M935)-SUM($F936:M936)-M939-M940+SUM($F937:M937)-SUM($F938:M938)))</f>
        <v>0</v>
      </c>
      <c r="O945" s="138">
        <f>IF(O$2=1,0,SUM($F935:O935)-SUM($F936:O936)-O939-O940+SUM($F937:O937)-SUM($F938:O938)-(SUM($F935:N935)-SUM($F936:N936)-N939-N940+SUM($F937:N937)-SUM($F938:N938)))</f>
        <v>0</v>
      </c>
      <c r="P945" s="138">
        <f>IF(P$2=1,0,SUM($F935:P935)-SUM($F936:P936)-P939-P940+SUM($F937:P937)-SUM($F938:P938)-(SUM($F935:O935)-SUM($F936:O936)-O939-O940+SUM($F937:O937)-SUM($F938:O938)))</f>
        <v>0</v>
      </c>
      <c r="Q945" s="138">
        <f>IF(Q$2=1,0,SUM($F935:Q935)-SUM($F936:Q936)-Q939-Q940+SUM($F937:Q937)-SUM($F938:Q938)-(SUM($F935:P935)-SUM($F936:P936)-P939-P940+SUM($F937:P937)-SUM($F938:P938)))</f>
        <v>0</v>
      </c>
      <c r="R945" s="138">
        <f>IF(R$2=1,0,SUM($F935:R935)-SUM($F936:R936)-R939-R940+SUM($F937:R937)-SUM($F938:R938)-(SUM($F935:Q935)-SUM($F936:Q936)-Q939-Q940+SUM($F937:Q937)-SUM($F938:Q938)))</f>
        <v>0</v>
      </c>
      <c r="S945" s="138">
        <f>IF(S$2=1,0,SUM($F935:S935)-SUM($F936:S936)-S939-S940+SUM($F937:S937)-SUM($F938:S938)-(SUM($F935:R935)-SUM($F936:R936)-R939-R940+SUM($F937:R937)-SUM($F938:R938)))</f>
        <v>0</v>
      </c>
      <c r="T945" s="138">
        <f>IF(T$2=1,0,SUM($F935:T935)-SUM($F936:T936)-T939-T940+SUM($F937:T937)-SUM($F938:T938)-(SUM($F935:S935)-SUM($F936:S936)-S939-S940+SUM($F937:S937)-SUM($F938:S938)))</f>
        <v>0</v>
      </c>
      <c r="U945" s="138">
        <f>IF(U$2=1,0,SUM($F935:U935)-SUM($F936:U936)-U939-U940+SUM($F937:U937)-SUM($F938:U938)-(SUM($F935:T935)-SUM($F936:T936)-T939-T940+SUM($F937:T937)-SUM($F938:T938)))</f>
        <v>0</v>
      </c>
      <c r="V945" s="138">
        <f>IF(V$2=1,0,SUM($F935:V935)-SUM($F936:V936)-V939-V940+SUM($F937:V937)-SUM($F938:V938)-(SUM($F935:U935)-SUM($F936:U936)-U939-U940+SUM($F937:U937)-SUM($F938:U938)))</f>
        <v>0</v>
      </c>
      <c r="W945" s="138">
        <f>IF(W$2=1,0,SUM($F935:W935)-SUM($F936:W936)-W939-W940+SUM($F937:W937)-SUM($F938:W938)-(SUM($F935:V935)-SUM($F936:V936)-V939-V940+SUM($F937:V937)-SUM($F938:V938)))</f>
        <v>0</v>
      </c>
      <c r="X945" s="138">
        <f>IF(X$2=1,0,SUM($F935:X935)-SUM($F936:X936)-X939-X940+SUM($F937:X937)-SUM($F938:X938)-(SUM($F935:W935)-SUM($F936:W936)-W939-W940+SUM($F937:W937)-SUM($F938:W938)))</f>
        <v>0</v>
      </c>
      <c r="Y945" s="138">
        <f>IF(Y$2=1,0,SUM($F935:Y935)-SUM($F936:Y936)-Y939-Y940+SUM($F937:Y937)-SUM($F938:Y938)-(SUM($F935:X935)-SUM($F936:X936)-X939-X940+SUM($F937:X937)-SUM($F938:X938)))</f>
        <v>-2.3283064365386963E-10</v>
      </c>
      <c r="Z945" s="138">
        <f>IF(Z$2=1,0,SUM($F935:Z935)-SUM($F936:Z936)-Z939-Z940+SUM($F937:Z937)-SUM($F938:Z938)-(SUM($F935:Y935)-SUM($F936:Y936)-Y939-Y940+SUM($F937:Y937)-SUM($F938:Y938)))</f>
        <v>2.3283064365386963E-10</v>
      </c>
      <c r="AA945" s="138">
        <f>IF(AA$2=1,0,SUM($F935:AA935)-SUM($F936:AA936)-AA939-AA940+SUM($F937:AA937)-SUM($F938:AA938)-(SUM($F935:Z935)-SUM($F936:Z936)-Z939-Z940+SUM($F937:Z937)-SUM($F938:Z938)))</f>
        <v>0</v>
      </c>
      <c r="AB945" s="138">
        <f>IF(AB$2=1,0,SUM($F935:AB935)-SUM($F936:AB936)-AB939-AB940+SUM($F937:AB937)-SUM($F938:AB938)-(SUM($F935:AA935)-SUM($F936:AA936)-AA939-AA940+SUM($F937:AA937)-SUM($F938:AA938)))</f>
        <v>0</v>
      </c>
      <c r="AC945" s="138">
        <f>IF(AC$2=1,0,SUM($F935:AC935)-SUM($F936:AC936)-AC939-AC940+SUM($F937:AC937)-SUM($F938:AC938)-(SUM($F935:AB935)-SUM($F936:AB936)-AB939-AB940+SUM($F937:AB937)-SUM($F938:AB938)))</f>
        <v>0</v>
      </c>
      <c r="AD945" s="138">
        <f>IF(AD$2=1,0,SUM($F935:AD935)-SUM($F936:AD936)-AD939-AD940+SUM($F937:AD937)-SUM($F938:AD938)-(SUM($F935:AC935)-SUM($F936:AC936)-AC939-AC940+SUM($F937:AC937)-SUM($F938:AC938)))</f>
        <v>0</v>
      </c>
      <c r="AE945" s="138">
        <f>IF(AE$2=1,0,SUM($F935:AE935)-SUM($F936:AE936)-AE939-AE940+SUM($F937:AE937)-SUM($F938:AE938)-(SUM($F935:AD935)-SUM($F936:AD936)-AD939-AD940+SUM($F937:AD937)-SUM($F938:AD938)))</f>
        <v>0</v>
      </c>
      <c r="AF945" s="138">
        <f>IF(AF$2=1,0,SUM($F935:AF935)-SUM($F936:AF936)-AF939-AF940+SUM($F937:AF937)-SUM($F938:AF938)-(SUM($F935:AE935)-SUM($F936:AE936)-AE939-AE940+SUM($F937:AE937)-SUM($F938:AE938)))</f>
        <v>0</v>
      </c>
      <c r="AG945" s="138">
        <f>IF(AG$2=1,0,SUM($F935:AG935)-SUM($F936:AG936)-AG939-AG940+SUM($F937:AG937)-SUM($F938:AG938)-(SUM($F935:AF935)-SUM($F936:AF936)-AF939-AF940+SUM($F937:AF937)-SUM($F938:AF938)))</f>
        <v>0</v>
      </c>
      <c r="AH945" s="138">
        <f>IF(AH$2=1,0,SUM($F935:AH935)-SUM($F936:AH936)-AH939-AH940+SUM($F937:AH937)-SUM($F938:AH938)-(SUM($F935:AG935)-SUM($F936:AG936)-AG939-AG940+SUM($F937:AG937)-SUM($F938:AG938)))</f>
        <v>0</v>
      </c>
      <c r="AI945" s="138">
        <f>IF(AI$2=1,0,SUM($F935:AI935)-SUM($F936:AI936)-AI939-AI940+SUM($F937:AI937)-SUM($F938:AI938)-(SUM($F935:AH935)-SUM($F936:AH936)-AH939-AH940+SUM($F937:AH937)-SUM($F938:AH938)))</f>
        <v>0</v>
      </c>
      <c r="AJ945" s="138">
        <f>IF(AJ$2=1,0,SUM($F935:AJ935)-SUM($F936:AJ936)-AJ939-AJ940+SUM($F937:AJ937)-SUM($F938:AJ938)-(SUM($F935:AI935)-SUM($F936:AI936)-AI939-AI940+SUM($F937:AI937)-SUM($F938:AI938)))</f>
        <v>-2.3283064365386963E-10</v>
      </c>
      <c r="AK945" s="138">
        <f>IF(AK$2=1,0,SUM($F935:AK935)-SUM($F936:AK936)-AK939-AK940+SUM($F937:AK937)-SUM($F938:AK938)-(SUM($F935:AJ935)-SUM($F936:AJ936)-AJ939-AJ940+SUM($F937:AJ937)-SUM($F938:AJ938)))</f>
        <v>-2.3283064365386963E-10</v>
      </c>
      <c r="AL945" s="138">
        <f>IF(AL$2=1,0,SUM($F935:AL935)-SUM($F936:AL936)-AL939-AL940+SUM($F937:AL937)-SUM($F938:AL938)-(SUM($F935:AK935)-SUM($F936:AK936)-AK939-AK940+SUM($F937:AK937)-SUM($F938:AK938)))</f>
        <v>0</v>
      </c>
      <c r="AM945" s="138">
        <f>IF(AM$2=1,0,SUM($F935:AM935)-SUM($F936:AM936)-AM939-AM940+SUM($F937:AM937)-SUM($F938:AM938)-(SUM($F935:AL935)-SUM($F936:AL936)-AL939-AL940+SUM($F937:AL937)-SUM($F938:AL938)))</f>
        <v>0</v>
      </c>
      <c r="AN945" s="138">
        <f>IF(AN$2=1,0,SUM($F935:AN935)-SUM($F936:AN936)-AN939-AN940+SUM($F937:AN937)-SUM($F938:AN938)-(SUM($F935:AM935)-SUM($F936:AM936)-AM939-AM940+SUM($F937:AM937)-SUM($F938:AM938)))</f>
        <v>0</v>
      </c>
      <c r="AO945" s="138">
        <f>IF(AO$2=1,0,SUM($F935:AO935)-SUM($F936:AO936)-AO939-AO940+SUM($F937:AO937)-SUM($F938:AO938)-(SUM($F935:AN935)-SUM($F936:AN936)-AN939-AN940+SUM($F937:AN937)-SUM($F938:AN938)))</f>
        <v>0</v>
      </c>
      <c r="AP945" s="138">
        <f>IF(AP$2=1,0,SUM($F935:AP935)-SUM($F936:AP936)-AP939-AP940+SUM($F937:AP937)-SUM($F938:AP938)-(SUM($F935:AO935)-SUM($F936:AO936)-AO939-AO940+SUM($F937:AO937)-SUM($F938:AO938)))</f>
        <v>0</v>
      </c>
      <c r="AQ945" s="138">
        <f>IF(AQ$2=1,0,SUM($F935:AQ935)-SUM($F936:AQ936)-AQ939-AQ940+SUM($F937:AQ937)-SUM($F938:AQ938)-(SUM($F935:AP935)-SUM($F936:AP936)-AP939-AP940+SUM($F937:AP937)-SUM($F938:AP938)))</f>
        <v>0</v>
      </c>
      <c r="AR945" s="138">
        <f>IF(AR$2=1,0,SUM($F935:AR935)-SUM($F936:AR936)-AR939-AR940+SUM($F937:AR937)-SUM($F938:AR938)-(SUM($F935:AQ935)-SUM($F936:AQ936)-AQ939-AQ940+SUM($F937:AQ937)-SUM($F938:AQ938)))</f>
        <v>0</v>
      </c>
      <c r="AS945" s="138">
        <f>IF(AS$2=1,0,SUM($F935:AS935)-SUM($F936:AS936)-AS939-AS940+SUM($F937:AS937)-SUM($F938:AS938)-(SUM($F935:AR935)-SUM($F936:AR936)-AR939-AR940+SUM($F937:AR937)-SUM($F938:AR938)))</f>
        <v>0</v>
      </c>
      <c r="AT945" s="138">
        <f>IF(AT$2=1,0,SUM($F935:AT935)-SUM($F936:AT936)-AT939-AT940+SUM($F937:AT937)-SUM($F938:AT938)-(SUM($F935:AS935)-SUM($F936:AS936)-AS939-AS940+SUM($F937:AS937)-SUM($F938:AS938)))</f>
        <v>0</v>
      </c>
      <c r="AU945" s="138">
        <f>IF(AU$2=1,0,SUM($F935:AU935)-SUM($F936:AU936)-AU939-AU940+SUM($F937:AU937)-SUM($F938:AU938)-(SUM($F935:AT935)-SUM($F936:AT936)-AT939-AT940+SUM($F937:AT937)-SUM($F938:AT938)))</f>
        <v>0</v>
      </c>
      <c r="AV945" s="138">
        <f>IF(AV$2=1,0,SUM($F935:AV935)-SUM($F936:AV936)-AV939-AV940+SUM($F937:AV937)-SUM($F938:AV938)-(SUM($F935:AU935)-SUM($F936:AU936)-AU939-AU940+SUM($F937:AU937)-SUM($F938:AU938)))</f>
        <v>0</v>
      </c>
      <c r="AW945" s="94"/>
      <c r="AX945" s="165">
        <f>SUM(G945:AW945)</f>
        <v>-4.6566128730773926E-10</v>
      </c>
    </row>
    <row r="946" spans="1:50" s="98" customFormat="1" x14ac:dyDescent="0.2">
      <c r="A946" s="38"/>
      <c r="B946" s="38"/>
      <c r="C946" s="124"/>
      <c r="D946" s="57"/>
      <c r="E946" s="57"/>
      <c r="F946" s="57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94"/>
      <c r="AX946" s="165"/>
    </row>
    <row r="947" spans="1:50" s="98" customFormat="1" x14ac:dyDescent="0.2">
      <c r="A947" s="170" t="str">
        <f ca="1">Language!A$1131</f>
        <v>Справочно: Остаток денег на счете</v>
      </c>
      <c r="B947" s="170"/>
      <c r="C947" s="136" t="str">
        <f t="shared" ca="1" si="3616"/>
        <v>тыс. руб.</v>
      </c>
      <c r="D947" s="87"/>
      <c r="E947" s="87"/>
      <c r="F947" s="87" t="s">
        <v>754</v>
      </c>
      <c r="G947" s="171">
        <f ca="1">OFFSET(Результаты!$F$69,0,G2) * Параметры!G$64</f>
        <v>119972.79571811709</v>
      </c>
      <c r="H947" s="171">
        <f ca="1">OFFSET(Результаты!$F$69,0,H2) * Параметры!H$64</f>
        <v>112807.11093958122</v>
      </c>
      <c r="I947" s="171">
        <f ca="1">OFFSET(Результаты!$F$69,0,I2) * Параметры!I$64</f>
        <v>160222.9519268329</v>
      </c>
      <c r="J947" s="171">
        <f ca="1">OFFSET(Результаты!$F$69,0,J2) * Параметры!J$64</f>
        <v>219315.53724885569</v>
      </c>
      <c r="K947" s="171">
        <f ca="1">OFFSET(Результаты!$F$69,0,K2) * Параметры!K$64</f>
        <v>367840.52987686254</v>
      </c>
      <c r="L947" s="171">
        <f ca="1">OFFSET(Результаты!$F$69,0,L2) * Параметры!L$64</f>
        <v>493882.90348529152</v>
      </c>
      <c r="M947" s="171">
        <f ca="1">OFFSET(Результаты!$F$69,0,M2) * Параметры!M$64</f>
        <v>533996.05872667581</v>
      </c>
      <c r="N947" s="171">
        <f ca="1">OFFSET(Результаты!$F$69,0,N2) * Параметры!N$64</f>
        <v>617061.45245610038</v>
      </c>
      <c r="O947" s="171">
        <f ca="1">OFFSET(Результаты!$F$69,0,O2) * Параметры!O$64</f>
        <v>819757.93219042872</v>
      </c>
      <c r="P947" s="171">
        <f ca="1">OFFSET(Результаты!$F$69,0,P2) * Параметры!P$64</f>
        <v>996031.97022708145</v>
      </c>
      <c r="Q947" s="171">
        <f ca="1">OFFSET(Результаты!$F$69,0,Q2) * Параметры!Q$64</f>
        <v>1082358.0512009782</v>
      </c>
      <c r="R947" s="171">
        <f ca="1">OFFSET(Результаты!$F$69,0,R2) * Параметры!R$64</f>
        <v>1208636.0716891577</v>
      </c>
      <c r="S947" s="171">
        <f ca="1">OFFSET(Результаты!$F$69,0,S2) * Параметры!S$64</f>
        <v>1450771.607296682</v>
      </c>
      <c r="T947" s="171">
        <f ca="1">OFFSET(Результаты!$F$69,0,T2) * Параметры!T$64</f>
        <v>1653618.367802311</v>
      </c>
      <c r="U947" s="171">
        <f ca="1">OFFSET(Результаты!$F$69,0,U2) * Параметры!U$64</f>
        <v>1706486.2554621981</v>
      </c>
      <c r="V947" s="171">
        <f ca="1">OFFSET(Результаты!$F$69,0,V2) * Параметры!V$64</f>
        <v>1773881.9077855702</v>
      </c>
      <c r="W947" s="171">
        <f ca="1">OFFSET(Результаты!$F$69,0,W2) * Параметры!W$64</f>
        <v>1874716.3256310825</v>
      </c>
      <c r="X947" s="171">
        <f ca="1">OFFSET(Результаты!$F$69,0,X2) * Параметры!X$64</f>
        <v>1962281.3729937081</v>
      </c>
      <c r="Y947" s="171">
        <f ca="1">OFFSET(Результаты!$F$69,0,Y2) * Параметры!Y$64</f>
        <v>2016987.3491881755</v>
      </c>
      <c r="Z947" s="171">
        <f ca="1">OFFSET(Результаты!$F$69,0,Z2) * Параметры!Z$64</f>
        <v>2081940.6657957111</v>
      </c>
      <c r="AA947" s="171">
        <f ca="1">OFFSET(Результаты!$F$69,0,AA2) * Параметры!AA$64</f>
        <v>2182266.3486307343</v>
      </c>
      <c r="AB947" s="171">
        <f ca="1">OFFSET(Результаты!$F$69,0,AB2) * Параметры!AB$64</f>
        <v>2268452.9898072802</v>
      </c>
      <c r="AC947" s="171">
        <f ca="1">OFFSET(Результаты!$F$69,0,AC2) * Параметры!AC$64</f>
        <v>2321239.6046860558</v>
      </c>
      <c r="AD947" s="171">
        <f ca="1">OFFSET(Результаты!$F$69,0,AD2) * Параметры!AD$64</f>
        <v>2385564.6296529486</v>
      </c>
      <c r="AE947" s="171">
        <f ca="1">OFFSET(Результаты!$F$69,0,AE2) * Параметры!AE$64</f>
        <v>2487281.2584154867</v>
      </c>
      <c r="AF947" s="171">
        <f ca="1">OFFSET(Результаты!$F$69,0,AF2) * Параметры!AF$64</f>
        <v>2573905.4211558555</v>
      </c>
      <c r="AG947" s="171">
        <f ca="1">OFFSET(Результаты!$F$69,0,AG2) * Параметры!AG$64</f>
        <v>2624281.3546338161</v>
      </c>
      <c r="AH947" s="171">
        <f ca="1">OFFSET(Результаты!$F$69,0,AH2) * Параметры!AH$64</f>
        <v>2686084.760577275</v>
      </c>
      <c r="AI947" s="171">
        <f ca="1">OFFSET(Результаты!$F$69,0,AI2) * Параметры!AI$64</f>
        <v>2787429.1548696696</v>
      </c>
      <c r="AJ947" s="171">
        <f ca="1">OFFSET(Результаты!$F$69,0,AJ2) * Параметры!AJ$64</f>
        <v>2872680.0364973815</v>
      </c>
      <c r="AK947" s="171">
        <f ca="1">OFFSET(Результаты!$F$69,0,AK2) * Параметры!AK$64</f>
        <v>2918875.3128243457</v>
      </c>
      <c r="AL947" s="171">
        <f ca="1">OFFSET(Результаты!$F$69,0,AL2) * Параметры!AL$64</f>
        <v>2976758.6727239108</v>
      </c>
      <c r="AM947" s="171">
        <f ca="1">OFFSET(Результаты!$F$69,0,AM2) * Параметры!AM$64</f>
        <v>3294041.2276852299</v>
      </c>
      <c r="AN947" s="171">
        <f ca="1">OFFSET(Результаты!$F$69,0,AN2) * Параметры!AN$64</f>
        <v>3598430.5403896044</v>
      </c>
      <c r="AO947" s="171">
        <f ca="1">OFFSET(Результаты!$F$69,0,AO2) * Параметры!AO$64</f>
        <v>3762300.3513836064</v>
      </c>
      <c r="AP947" s="171">
        <f ca="1">OFFSET(Результаты!$F$69,0,AP2) * Параметры!AP$64</f>
        <v>3975128.9161867653</v>
      </c>
      <c r="AQ947" s="171">
        <f ca="1">OFFSET(Результаты!$F$69,0,AQ2) * Параметры!AQ$64</f>
        <v>4352669.2219858766</v>
      </c>
      <c r="AR947" s="171">
        <f ca="1">OFFSET(Результаты!$F$69,0,AR2) * Параметры!AR$64</f>
        <v>4674848.6562736295</v>
      </c>
      <c r="AS947" s="171">
        <f ca="1">OFFSET(Результаты!$F$69,0,AS2) * Параметры!AS$64</f>
        <v>4830092.4596970826</v>
      </c>
      <c r="AT947" s="171">
        <f ca="1">OFFSET(Результаты!$F$69,0,AT2) * Параметры!AT$64</f>
        <v>5028794.1474371962</v>
      </c>
      <c r="AU947" s="171">
        <f ca="1">OFFSET(Результаты!$F$69,0,AU2) * Параметры!AU$64</f>
        <v>5401695.6041949401</v>
      </c>
      <c r="AV947" s="171">
        <f ca="1">OFFSET(Результаты!$F$69,0,AV2) * Параметры!AV$64</f>
        <v>5715514.0692912247</v>
      </c>
      <c r="AW947" s="160"/>
      <c r="AX947" s="165"/>
    </row>
    <row r="948" spans="1:50" s="98" customFormat="1" x14ac:dyDescent="0.2">
      <c r="A948" s="233" t="str">
        <f ca="1">Language!A$1132</f>
        <v>Покрытие выплаты долга, DSCR</v>
      </c>
      <c r="B948" s="170"/>
      <c r="C948" s="136" t="str">
        <f ca="1">Language!$A$1449</f>
        <v>раз</v>
      </c>
      <c r="D948" s="87"/>
      <c r="E948" s="87"/>
      <c r="F948" s="87" t="s">
        <v>756</v>
      </c>
      <c r="G948" s="234">
        <f ca="1">OFFSET(Результаты!$F$128,0,G2)</f>
        <v>2.0350062200852443</v>
      </c>
      <c r="H948" s="234">
        <f ca="1">OFFSET(Результаты!$F$128,0,H2)</f>
        <v>1.1651102841735719E-2</v>
      </c>
      <c r="I948" s="234" t="str">
        <f ca="1">OFFSET(Результаты!$F$128,0,I2)</f>
        <v>-</v>
      </c>
      <c r="J948" s="234">
        <f ca="1">OFFSET(Результаты!$F$128,0,J2)</f>
        <v>0.55953714907474128</v>
      </c>
      <c r="K948" s="234">
        <f ca="1">OFFSET(Результаты!$F$128,0,K2)</f>
        <v>2.5992147683144622</v>
      </c>
      <c r="L948" s="234">
        <f ca="1">OFFSET(Результаты!$F$128,0,L2)</f>
        <v>2.3571374200492605</v>
      </c>
      <c r="M948" s="234">
        <f ca="1">OFFSET(Результаты!$F$128,0,M2)</f>
        <v>1.4319108126561582</v>
      </c>
      <c r="N948" s="234">
        <f ca="1">OFFSET(Результаты!$F$128,0,N2)</f>
        <v>1.8943909172287166</v>
      </c>
      <c r="O948" s="234">
        <f ca="1">OFFSET(Результаты!$F$128,0,O2)</f>
        <v>3.1824960105425797</v>
      </c>
      <c r="P948" s="234">
        <f ca="1">OFFSET(Результаты!$F$128,0,P2)</f>
        <v>2.8979973667104115</v>
      </c>
      <c r="Q948" s="234">
        <f ca="1">OFFSET(Результаты!$F$128,0,Q2)</f>
        <v>1.9294997504556912</v>
      </c>
      <c r="R948" s="234">
        <f ca="1">OFFSET(Результаты!$F$128,0,R2)</f>
        <v>2.3596747032602305</v>
      </c>
      <c r="S948" s="234">
        <f ca="1">OFFSET(Результаты!$F$128,0,S2)</f>
        <v>3.6071485857408945</v>
      </c>
      <c r="T948" s="234">
        <f ca="1">OFFSET(Результаты!$F$128,0,T2)</f>
        <v>3.1841141303256895</v>
      </c>
      <c r="U948" s="234">
        <f ca="1">OFFSET(Результаты!$F$128,0,U2)</f>
        <v>1.3700539070975077</v>
      </c>
      <c r="V948" s="234">
        <f ca="1">OFFSET(Результаты!$F$128,0,V2)</f>
        <v>1.4000000056631281</v>
      </c>
      <c r="W948" s="234">
        <f ca="1">OFFSET(Результаты!$F$128,0,W2)</f>
        <v>1.4000000001945998</v>
      </c>
      <c r="X948" s="234">
        <f ca="1">OFFSET(Результаты!$F$128,0,X2)</f>
        <v>1.4000000001692507</v>
      </c>
      <c r="Y948" s="234">
        <f ca="1">OFFSET(Результаты!$F$128,0,Y2)</f>
        <v>1.4000000030637973</v>
      </c>
      <c r="Z948" s="234">
        <f ca="1">OFFSET(Результаты!$F$128,0,Z2)</f>
        <v>1.4000000001457644</v>
      </c>
      <c r="AA948" s="234">
        <f ca="1">OFFSET(Результаты!$F$128,0,AA2)</f>
        <v>1.4000000003154101</v>
      </c>
      <c r="AB948" s="234">
        <f ca="1">OFFSET(Результаты!$F$128,0,AB2)</f>
        <v>1.4000000003095474</v>
      </c>
      <c r="AC948" s="234">
        <f ca="1">OFFSET(Результаты!$F$128,0,AC2)</f>
        <v>1.4000000002477446</v>
      </c>
      <c r="AD948" s="234">
        <f ca="1">OFFSET(Результаты!$F$128,0,AD2)</f>
        <v>1.4000000002898547</v>
      </c>
      <c r="AE948" s="234">
        <f ca="1">OFFSET(Результаты!$F$128,0,AE2)</f>
        <v>1.4000000003515813</v>
      </c>
      <c r="AF948" s="234">
        <f ca="1">OFFSET(Результаты!$F$128,0,AF2)</f>
        <v>1.4000000003525499</v>
      </c>
      <c r="AG948" s="234">
        <f ca="1">OFFSET(Результаты!$F$128,0,AG2)</f>
        <v>1.4000000003144357</v>
      </c>
      <c r="AH948" s="234">
        <f ca="1">OFFSET(Результаты!$F$128,0,AH2)</f>
        <v>1.4000000003473319</v>
      </c>
      <c r="AI948" s="234">
        <f ca="1">OFFSET(Результаты!$F$128,0,AI2)</f>
        <v>1.400000000391094</v>
      </c>
      <c r="AJ948" s="234">
        <f ca="1">OFFSET(Результаты!$F$128,0,AJ2)</f>
        <v>1.4000000004002879</v>
      </c>
      <c r="AK948" s="234">
        <f ca="1">OFFSET(Результаты!$F$128,0,AK2)</f>
        <v>1.4000000003968953</v>
      </c>
      <c r="AL948" s="234">
        <f ca="1">OFFSET(Результаты!$F$128,0,AL2)</f>
        <v>1.4000000004176056</v>
      </c>
      <c r="AM948" s="234">
        <f ca="1">OFFSET(Результаты!$F$128,0,AM2)</f>
        <v>9.0676941939029483</v>
      </c>
      <c r="AN948" s="234" t="str">
        <f ca="1">OFFSET(Результаты!$F$128,0,AN2)</f>
        <v>-</v>
      </c>
      <c r="AO948" s="234" t="str">
        <f ca="1">OFFSET(Результаты!$F$128,0,AO2)</f>
        <v>-</v>
      </c>
      <c r="AP948" s="234" t="str">
        <f ca="1">OFFSET(Результаты!$F$128,0,AP2)</f>
        <v>-</v>
      </c>
      <c r="AQ948" s="234" t="str">
        <f ca="1">OFFSET(Результаты!$F$128,0,AQ2)</f>
        <v>-</v>
      </c>
      <c r="AR948" s="234" t="str">
        <f ca="1">OFFSET(Результаты!$F$128,0,AR2)</f>
        <v>-</v>
      </c>
      <c r="AS948" s="234" t="str">
        <f ca="1">OFFSET(Результаты!$F$128,0,AS2)</f>
        <v>-</v>
      </c>
      <c r="AT948" s="234" t="str">
        <f ca="1">OFFSET(Результаты!$F$128,0,AT2)</f>
        <v>-</v>
      </c>
      <c r="AU948" s="234" t="str">
        <f ca="1">OFFSET(Результаты!$F$128,0,AU2)</f>
        <v>-</v>
      </c>
      <c r="AV948" s="234" t="str">
        <f ca="1">OFFSET(Результаты!$F$128,0,AV2)</f>
        <v>-</v>
      </c>
      <c r="AW948" s="160"/>
      <c r="AX948" s="165"/>
    </row>
    <row r="949" spans="1:50" x14ac:dyDescent="0.2">
      <c r="A949" s="51"/>
      <c r="B949" s="51"/>
      <c r="C949" s="51"/>
      <c r="D949" s="68"/>
      <c r="E949" s="68" t="s">
        <v>656</v>
      </c>
      <c r="F949" s="68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51"/>
      <c r="AU949" s="51"/>
      <c r="AV949" s="51"/>
      <c r="AW949" s="112"/>
      <c r="AX949" s="149"/>
    </row>
    <row r="952" spans="1:50" s="64" customFormat="1" ht="25.5" customHeight="1" thickBot="1" x14ac:dyDescent="0.25">
      <c r="A952" s="118" t="str">
        <f ca="1">Language!A$1133</f>
        <v>НАЛОГОВЫЕ ПЛАТЕЖИ</v>
      </c>
      <c r="B952" s="119"/>
      <c r="C952" s="120"/>
      <c r="D952" s="121"/>
      <c r="E952" s="121" t="s">
        <v>981</v>
      </c>
      <c r="F952" s="121"/>
      <c r="G952" s="69" t="str">
        <f ca="1">Параметры!G$34</f>
        <v>4 кв. 2022</v>
      </c>
      <c r="H952" s="140" t="str">
        <f ca="1">Параметры!H$34</f>
        <v>1 кв. 2023</v>
      </c>
      <c r="I952" s="140" t="str">
        <f ca="1">Параметры!I$34</f>
        <v>2 кв. 2023</v>
      </c>
      <c r="J952" s="140" t="str">
        <f ca="1">Параметры!J$34</f>
        <v>3 кв. 2023</v>
      </c>
      <c r="K952" s="140" t="str">
        <f ca="1">Параметры!K$34</f>
        <v>4 кв. 2023</v>
      </c>
      <c r="L952" s="140" t="str">
        <f ca="1">Параметры!L$34</f>
        <v>1 кв. 2024</v>
      </c>
      <c r="M952" s="140" t="str">
        <f ca="1">Параметры!M$34</f>
        <v>2 кв. 2024</v>
      </c>
      <c r="N952" s="140" t="str">
        <f ca="1">Параметры!N$34</f>
        <v>3 кв. 2024</v>
      </c>
      <c r="O952" s="140" t="str">
        <f ca="1">Параметры!O$34</f>
        <v>4 кв. 2024</v>
      </c>
      <c r="P952" s="140" t="str">
        <f ca="1">Параметры!P$34</f>
        <v>1 кв. 2025</v>
      </c>
      <c r="Q952" s="140" t="str">
        <f ca="1">Параметры!Q$34</f>
        <v>2 кв. 2025</v>
      </c>
      <c r="R952" s="140" t="str">
        <f ca="1">Параметры!R$34</f>
        <v>3 кв. 2025</v>
      </c>
      <c r="S952" s="140" t="str">
        <f ca="1">Параметры!S$34</f>
        <v>4 кв. 2025</v>
      </c>
      <c r="T952" s="140" t="str">
        <f ca="1">Параметры!T$34</f>
        <v>1 кв. 2026</v>
      </c>
      <c r="U952" s="140" t="str">
        <f ca="1">Параметры!U$34</f>
        <v>2 кв. 2026</v>
      </c>
      <c r="V952" s="140" t="str">
        <f ca="1">Параметры!V$34</f>
        <v>3 кв. 2026</v>
      </c>
      <c r="W952" s="140" t="str">
        <f ca="1">Параметры!W$34</f>
        <v>4 кв. 2026</v>
      </c>
      <c r="X952" s="140" t="str">
        <f ca="1">Параметры!X$34</f>
        <v>1 кв. 2027</v>
      </c>
      <c r="Y952" s="140" t="str">
        <f ca="1">Параметры!Y$34</f>
        <v>2 кв. 2027</v>
      </c>
      <c r="Z952" s="140" t="str">
        <f ca="1">Параметры!Z$34</f>
        <v>3 кв. 2027</v>
      </c>
      <c r="AA952" s="140" t="str">
        <f ca="1">Параметры!AA$34</f>
        <v>4 кв. 2027</v>
      </c>
      <c r="AB952" s="140" t="str">
        <f ca="1">Параметры!AB$34</f>
        <v>1 кв. 2028</v>
      </c>
      <c r="AC952" s="140" t="str">
        <f ca="1">Параметры!AC$34</f>
        <v>2 кв. 2028</v>
      </c>
      <c r="AD952" s="140" t="str">
        <f ca="1">Параметры!AD$34</f>
        <v>3 кв. 2028</v>
      </c>
      <c r="AE952" s="140" t="str">
        <f ca="1">Параметры!AE$34</f>
        <v>4 кв. 2028</v>
      </c>
      <c r="AF952" s="140" t="str">
        <f ca="1">Параметры!AF$34</f>
        <v>1 кв. 2029</v>
      </c>
      <c r="AG952" s="140" t="str">
        <f ca="1">Параметры!AG$34</f>
        <v>2 кв. 2029</v>
      </c>
      <c r="AH952" s="140" t="str">
        <f ca="1">Параметры!AH$34</f>
        <v>3 кв. 2029</v>
      </c>
      <c r="AI952" s="140" t="str">
        <f ca="1">Параметры!AI$34</f>
        <v>4 кв. 2029</v>
      </c>
      <c r="AJ952" s="140" t="str">
        <f ca="1">Параметры!AJ$34</f>
        <v>1 кв. 2030</v>
      </c>
      <c r="AK952" s="140" t="str">
        <f ca="1">Параметры!AK$34</f>
        <v>2 кв. 2030</v>
      </c>
      <c r="AL952" s="140" t="str">
        <f ca="1">Параметры!AL$34</f>
        <v>3 кв. 2030</v>
      </c>
      <c r="AM952" s="140" t="str">
        <f ca="1">Параметры!AM$34</f>
        <v>4 кв. 2030</v>
      </c>
      <c r="AN952" s="140" t="str">
        <f ca="1">Параметры!AN$34</f>
        <v>1 кв. 2031</v>
      </c>
      <c r="AO952" s="140" t="str">
        <f ca="1">Параметры!AO$34</f>
        <v>2 кв. 2031</v>
      </c>
      <c r="AP952" s="140" t="str">
        <f ca="1">Параметры!AP$34</f>
        <v>3 кв. 2031</v>
      </c>
      <c r="AQ952" s="140" t="str">
        <f ca="1">Параметры!AQ$34</f>
        <v>4 кв. 2031</v>
      </c>
      <c r="AR952" s="140" t="str">
        <f ca="1">Параметры!AR$34</f>
        <v>1 кв. 2032</v>
      </c>
      <c r="AS952" s="140" t="str">
        <f ca="1">Параметры!AS$34</f>
        <v>2 кв. 2032</v>
      </c>
      <c r="AT952" s="140" t="str">
        <f ca="1">Параметры!AT$34</f>
        <v>3 кв. 2032</v>
      </c>
      <c r="AU952" s="140" t="str">
        <f ca="1">Параметры!AU$34</f>
        <v>4 кв. 2032</v>
      </c>
      <c r="AV952" s="140" t="str">
        <f ca="1">Параметры!AV$34</f>
        <v>1 кв. 2033</v>
      </c>
      <c r="AW952" s="140"/>
      <c r="AX952" s="141" t="str">
        <f ca="1">Language!$A$1445</f>
        <v>ИТОГО</v>
      </c>
    </row>
    <row r="953" spans="1:50" ht="13.5" thickTop="1" x14ac:dyDescent="0.2">
      <c r="A953" s="44"/>
      <c r="B953" s="44"/>
      <c r="C953" s="44"/>
      <c r="D953" s="100"/>
      <c r="E953" s="100"/>
      <c r="F953" s="100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58"/>
      <c r="AX953" s="150"/>
    </row>
    <row r="954" spans="1:50" x14ac:dyDescent="0.2">
      <c r="A954" s="44" t="str">
        <f ca="1">Language!A$1134</f>
        <v>Акцизы на проданные товары</v>
      </c>
      <c r="B954" s="44"/>
      <c r="C954" s="124" t="str">
        <f t="shared" ref="C954:C956" ca="1" si="3646">CurName1</f>
        <v>тыс. руб.</v>
      </c>
      <c r="D954" s="100"/>
      <c r="E954" s="100"/>
      <c r="F954" s="100" t="s">
        <v>753</v>
      </c>
      <c r="G954" s="235">
        <f t="shared" ref="G954:AV954" ca="1" si="3647">G327</f>
        <v>0</v>
      </c>
      <c r="H954" s="235">
        <f t="shared" ca="1" si="3647"/>
        <v>0</v>
      </c>
      <c r="I954" s="235">
        <f t="shared" ca="1" si="3647"/>
        <v>0</v>
      </c>
      <c r="J954" s="235">
        <f t="shared" ca="1" si="3647"/>
        <v>0</v>
      </c>
      <c r="K954" s="235">
        <f t="shared" ca="1" si="3647"/>
        <v>0</v>
      </c>
      <c r="L954" s="235">
        <f t="shared" ca="1" si="3647"/>
        <v>0</v>
      </c>
      <c r="M954" s="235">
        <f t="shared" ca="1" si="3647"/>
        <v>0</v>
      </c>
      <c r="N954" s="235">
        <f t="shared" ca="1" si="3647"/>
        <v>0</v>
      </c>
      <c r="O954" s="235">
        <f t="shared" ca="1" si="3647"/>
        <v>0</v>
      </c>
      <c r="P954" s="235">
        <f t="shared" ca="1" si="3647"/>
        <v>0</v>
      </c>
      <c r="Q954" s="235">
        <f t="shared" ca="1" si="3647"/>
        <v>0</v>
      </c>
      <c r="R954" s="235">
        <f t="shared" ca="1" si="3647"/>
        <v>0</v>
      </c>
      <c r="S954" s="235">
        <f t="shared" ca="1" si="3647"/>
        <v>0</v>
      </c>
      <c r="T954" s="235">
        <f t="shared" ca="1" si="3647"/>
        <v>0</v>
      </c>
      <c r="U954" s="235">
        <f t="shared" ca="1" si="3647"/>
        <v>0</v>
      </c>
      <c r="V954" s="235">
        <f t="shared" ca="1" si="3647"/>
        <v>0</v>
      </c>
      <c r="W954" s="235">
        <f t="shared" ca="1" si="3647"/>
        <v>0</v>
      </c>
      <c r="X954" s="235">
        <f t="shared" ca="1" si="3647"/>
        <v>0</v>
      </c>
      <c r="Y954" s="235">
        <f t="shared" ca="1" si="3647"/>
        <v>0</v>
      </c>
      <c r="Z954" s="235">
        <f t="shared" ca="1" si="3647"/>
        <v>0</v>
      </c>
      <c r="AA954" s="235">
        <f t="shared" ca="1" si="3647"/>
        <v>0</v>
      </c>
      <c r="AB954" s="235">
        <f t="shared" ca="1" si="3647"/>
        <v>0</v>
      </c>
      <c r="AC954" s="235">
        <f t="shared" ca="1" si="3647"/>
        <v>0</v>
      </c>
      <c r="AD954" s="235">
        <f t="shared" ca="1" si="3647"/>
        <v>0</v>
      </c>
      <c r="AE954" s="235">
        <f t="shared" ca="1" si="3647"/>
        <v>0</v>
      </c>
      <c r="AF954" s="235">
        <f t="shared" ca="1" si="3647"/>
        <v>0</v>
      </c>
      <c r="AG954" s="235">
        <f t="shared" ca="1" si="3647"/>
        <v>0</v>
      </c>
      <c r="AH954" s="235">
        <f t="shared" ca="1" si="3647"/>
        <v>0</v>
      </c>
      <c r="AI954" s="235">
        <f t="shared" ca="1" si="3647"/>
        <v>0</v>
      </c>
      <c r="AJ954" s="235">
        <f t="shared" ca="1" si="3647"/>
        <v>0</v>
      </c>
      <c r="AK954" s="235">
        <f t="shared" ca="1" si="3647"/>
        <v>0</v>
      </c>
      <c r="AL954" s="235">
        <f t="shared" ca="1" si="3647"/>
        <v>0</v>
      </c>
      <c r="AM954" s="235">
        <f t="shared" ca="1" si="3647"/>
        <v>0</v>
      </c>
      <c r="AN954" s="235">
        <f t="shared" ca="1" si="3647"/>
        <v>0</v>
      </c>
      <c r="AO954" s="235">
        <f t="shared" ca="1" si="3647"/>
        <v>0</v>
      </c>
      <c r="AP954" s="235">
        <f t="shared" ca="1" si="3647"/>
        <v>0</v>
      </c>
      <c r="AQ954" s="235">
        <f t="shared" ca="1" si="3647"/>
        <v>0</v>
      </c>
      <c r="AR954" s="235">
        <f t="shared" ca="1" si="3647"/>
        <v>0</v>
      </c>
      <c r="AS954" s="235">
        <f t="shared" ca="1" si="3647"/>
        <v>0</v>
      </c>
      <c r="AT954" s="235">
        <f t="shared" ca="1" si="3647"/>
        <v>0</v>
      </c>
      <c r="AU954" s="235">
        <f t="shared" ca="1" si="3647"/>
        <v>0</v>
      </c>
      <c r="AV954" s="235">
        <f t="shared" ca="1" si="3647"/>
        <v>0</v>
      </c>
      <c r="AW954" s="58"/>
      <c r="AX954" s="142">
        <f ca="1">SUM(G954:AW954)</f>
        <v>0</v>
      </c>
    </row>
    <row r="955" spans="1:50" x14ac:dyDescent="0.2">
      <c r="A955" s="44" t="str">
        <f ca="1">Language!A$1135</f>
        <v>Импортная пошлина на сырье и материалы</v>
      </c>
      <c r="B955" s="44"/>
      <c r="C955" s="124" t="str">
        <f t="shared" ca="1" si="3646"/>
        <v>тыс. руб.</v>
      </c>
      <c r="D955" s="100"/>
      <c r="E955" s="100"/>
      <c r="F955" s="100" t="s">
        <v>753</v>
      </c>
      <c r="G955" s="235">
        <f t="shared" ref="G955:AV955" ca="1" si="3648">G454</f>
        <v>0</v>
      </c>
      <c r="H955" s="235">
        <f t="shared" ca="1" si="3648"/>
        <v>0</v>
      </c>
      <c r="I955" s="235">
        <f t="shared" ca="1" si="3648"/>
        <v>0</v>
      </c>
      <c r="J955" s="235">
        <f t="shared" ca="1" si="3648"/>
        <v>0</v>
      </c>
      <c r="K955" s="235">
        <f t="shared" ca="1" si="3648"/>
        <v>0</v>
      </c>
      <c r="L955" s="235">
        <f t="shared" ca="1" si="3648"/>
        <v>0</v>
      </c>
      <c r="M955" s="235">
        <f t="shared" ca="1" si="3648"/>
        <v>0</v>
      </c>
      <c r="N955" s="235">
        <f t="shared" ca="1" si="3648"/>
        <v>0</v>
      </c>
      <c r="O955" s="235">
        <f t="shared" ca="1" si="3648"/>
        <v>0</v>
      </c>
      <c r="P955" s="235">
        <f t="shared" ca="1" si="3648"/>
        <v>0</v>
      </c>
      <c r="Q955" s="235">
        <f t="shared" ca="1" si="3648"/>
        <v>0</v>
      </c>
      <c r="R955" s="235">
        <f t="shared" ca="1" si="3648"/>
        <v>0</v>
      </c>
      <c r="S955" s="235">
        <f t="shared" ca="1" si="3648"/>
        <v>0</v>
      </c>
      <c r="T955" s="235">
        <f t="shared" ca="1" si="3648"/>
        <v>0</v>
      </c>
      <c r="U955" s="235">
        <f t="shared" ca="1" si="3648"/>
        <v>0</v>
      </c>
      <c r="V955" s="235">
        <f t="shared" ca="1" si="3648"/>
        <v>0</v>
      </c>
      <c r="W955" s="235">
        <f t="shared" ca="1" si="3648"/>
        <v>0</v>
      </c>
      <c r="X955" s="235">
        <f t="shared" ca="1" si="3648"/>
        <v>0</v>
      </c>
      <c r="Y955" s="235">
        <f t="shared" ca="1" si="3648"/>
        <v>0</v>
      </c>
      <c r="Z955" s="235">
        <f t="shared" ca="1" si="3648"/>
        <v>0</v>
      </c>
      <c r="AA955" s="235">
        <f t="shared" ca="1" si="3648"/>
        <v>0</v>
      </c>
      <c r="AB955" s="235">
        <f t="shared" ca="1" si="3648"/>
        <v>0</v>
      </c>
      <c r="AC955" s="235">
        <f t="shared" ca="1" si="3648"/>
        <v>0</v>
      </c>
      <c r="AD955" s="235">
        <f t="shared" ca="1" si="3648"/>
        <v>0</v>
      </c>
      <c r="AE955" s="235">
        <f t="shared" ca="1" si="3648"/>
        <v>0</v>
      </c>
      <c r="AF955" s="235">
        <f t="shared" ca="1" si="3648"/>
        <v>0</v>
      </c>
      <c r="AG955" s="235">
        <f t="shared" ca="1" si="3648"/>
        <v>0</v>
      </c>
      <c r="AH955" s="235">
        <f t="shared" ca="1" si="3648"/>
        <v>0</v>
      </c>
      <c r="AI955" s="235">
        <f t="shared" ca="1" si="3648"/>
        <v>0</v>
      </c>
      <c r="AJ955" s="235">
        <f t="shared" ca="1" si="3648"/>
        <v>0</v>
      </c>
      <c r="AK955" s="235">
        <f t="shared" ca="1" si="3648"/>
        <v>0</v>
      </c>
      <c r="AL955" s="235">
        <f t="shared" ca="1" si="3648"/>
        <v>0</v>
      </c>
      <c r="AM955" s="235">
        <f t="shared" ca="1" si="3648"/>
        <v>0</v>
      </c>
      <c r="AN955" s="235">
        <f t="shared" ca="1" si="3648"/>
        <v>0</v>
      </c>
      <c r="AO955" s="235">
        <f t="shared" ca="1" si="3648"/>
        <v>0</v>
      </c>
      <c r="AP955" s="235">
        <f t="shared" ca="1" si="3648"/>
        <v>0</v>
      </c>
      <c r="AQ955" s="235">
        <f t="shared" ca="1" si="3648"/>
        <v>0</v>
      </c>
      <c r="AR955" s="235">
        <f t="shared" ca="1" si="3648"/>
        <v>0</v>
      </c>
      <c r="AS955" s="235">
        <f t="shared" ca="1" si="3648"/>
        <v>0</v>
      </c>
      <c r="AT955" s="235">
        <f t="shared" ca="1" si="3648"/>
        <v>0</v>
      </c>
      <c r="AU955" s="235">
        <f t="shared" ca="1" si="3648"/>
        <v>0</v>
      </c>
      <c r="AV955" s="235">
        <f t="shared" ca="1" si="3648"/>
        <v>0</v>
      </c>
      <c r="AW955" s="58"/>
      <c r="AX955" s="142">
        <f ca="1">SUM(G955:AW955)</f>
        <v>0</v>
      </c>
    </row>
    <row r="956" spans="1:50" x14ac:dyDescent="0.2">
      <c r="A956" s="44" t="str">
        <f ca="1">Language!A$1136</f>
        <v>Импортная пошлина на оборудование</v>
      </c>
      <c r="B956" s="44"/>
      <c r="C956" s="124" t="str">
        <f t="shared" ca="1" si="3646"/>
        <v>тыс. руб.</v>
      </c>
      <c r="D956" s="100"/>
      <c r="E956" s="100"/>
      <c r="F956" s="100" t="s">
        <v>753</v>
      </c>
      <c r="G956" s="235">
        <f t="shared" ref="G956:AV956" si="3649">G792</f>
        <v>0</v>
      </c>
      <c r="H956" s="235">
        <f t="shared" si="3649"/>
        <v>0</v>
      </c>
      <c r="I956" s="235">
        <f t="shared" si="3649"/>
        <v>0</v>
      </c>
      <c r="J956" s="235">
        <f t="shared" si="3649"/>
        <v>0</v>
      </c>
      <c r="K956" s="235">
        <f t="shared" si="3649"/>
        <v>0</v>
      </c>
      <c r="L956" s="235">
        <f t="shared" si="3649"/>
        <v>0</v>
      </c>
      <c r="M956" s="235">
        <f t="shared" si="3649"/>
        <v>0</v>
      </c>
      <c r="N956" s="235">
        <f t="shared" si="3649"/>
        <v>0</v>
      </c>
      <c r="O956" s="235">
        <f t="shared" si="3649"/>
        <v>0</v>
      </c>
      <c r="P956" s="235">
        <f t="shared" si="3649"/>
        <v>0</v>
      </c>
      <c r="Q956" s="235">
        <f t="shared" si="3649"/>
        <v>0</v>
      </c>
      <c r="R956" s="235">
        <f t="shared" si="3649"/>
        <v>0</v>
      </c>
      <c r="S956" s="235">
        <f t="shared" si="3649"/>
        <v>0</v>
      </c>
      <c r="T956" s="235">
        <f t="shared" si="3649"/>
        <v>0</v>
      </c>
      <c r="U956" s="235">
        <f t="shared" si="3649"/>
        <v>0</v>
      </c>
      <c r="V956" s="235">
        <f t="shared" si="3649"/>
        <v>0</v>
      </c>
      <c r="W956" s="235">
        <f t="shared" si="3649"/>
        <v>0</v>
      </c>
      <c r="X956" s="235">
        <f t="shared" si="3649"/>
        <v>0</v>
      </c>
      <c r="Y956" s="235">
        <f t="shared" si="3649"/>
        <v>0</v>
      </c>
      <c r="Z956" s="235">
        <f t="shared" si="3649"/>
        <v>0</v>
      </c>
      <c r="AA956" s="235">
        <f t="shared" si="3649"/>
        <v>0</v>
      </c>
      <c r="AB956" s="235">
        <f t="shared" si="3649"/>
        <v>0</v>
      </c>
      <c r="AC956" s="235">
        <f t="shared" si="3649"/>
        <v>0</v>
      </c>
      <c r="AD956" s="235">
        <f t="shared" si="3649"/>
        <v>0</v>
      </c>
      <c r="AE956" s="235">
        <f t="shared" si="3649"/>
        <v>0</v>
      </c>
      <c r="AF956" s="235">
        <f t="shared" si="3649"/>
        <v>0</v>
      </c>
      <c r="AG956" s="235">
        <f t="shared" si="3649"/>
        <v>0</v>
      </c>
      <c r="AH956" s="235">
        <f t="shared" si="3649"/>
        <v>0</v>
      </c>
      <c r="AI956" s="235">
        <f t="shared" si="3649"/>
        <v>0</v>
      </c>
      <c r="AJ956" s="235">
        <f t="shared" si="3649"/>
        <v>0</v>
      </c>
      <c r="AK956" s="235">
        <f t="shared" si="3649"/>
        <v>0</v>
      </c>
      <c r="AL956" s="235">
        <f t="shared" si="3649"/>
        <v>0</v>
      </c>
      <c r="AM956" s="235">
        <f t="shared" si="3649"/>
        <v>0</v>
      </c>
      <c r="AN956" s="235">
        <f t="shared" si="3649"/>
        <v>0</v>
      </c>
      <c r="AO956" s="235">
        <f t="shared" si="3649"/>
        <v>0</v>
      </c>
      <c r="AP956" s="235">
        <f t="shared" si="3649"/>
        <v>0</v>
      </c>
      <c r="AQ956" s="235">
        <f t="shared" si="3649"/>
        <v>0</v>
      </c>
      <c r="AR956" s="235">
        <f t="shared" si="3649"/>
        <v>0</v>
      </c>
      <c r="AS956" s="235">
        <f t="shared" si="3649"/>
        <v>0</v>
      </c>
      <c r="AT956" s="235">
        <f t="shared" si="3649"/>
        <v>0</v>
      </c>
      <c r="AU956" s="235">
        <f t="shared" si="3649"/>
        <v>0</v>
      </c>
      <c r="AV956" s="235">
        <f t="shared" si="3649"/>
        <v>0</v>
      </c>
      <c r="AW956" s="58"/>
      <c r="AX956" s="142">
        <f>SUM(G956:AW956)</f>
        <v>0</v>
      </c>
    </row>
    <row r="957" spans="1:50" x14ac:dyDescent="0.2">
      <c r="A957" s="44"/>
      <c r="B957" s="44"/>
      <c r="C957" s="44"/>
      <c r="D957" s="100"/>
      <c r="E957" s="100"/>
      <c r="F957" s="100"/>
      <c r="G957" s="235"/>
      <c r="H957" s="235"/>
      <c r="I957" s="235"/>
      <c r="J957" s="235"/>
      <c r="K957" s="235"/>
      <c r="L957" s="235"/>
      <c r="M957" s="235"/>
      <c r="N957" s="235"/>
      <c r="O957" s="235"/>
      <c r="P957" s="235"/>
      <c r="Q957" s="235"/>
      <c r="R957" s="235"/>
      <c r="S957" s="235"/>
      <c r="T957" s="235"/>
      <c r="U957" s="235"/>
      <c r="V957" s="235"/>
      <c r="W957" s="235"/>
      <c r="X957" s="235"/>
      <c r="Y957" s="235"/>
      <c r="Z957" s="235"/>
      <c r="AA957" s="235"/>
      <c r="AB957" s="235"/>
      <c r="AC957" s="235"/>
      <c r="AD957" s="235"/>
      <c r="AE957" s="235"/>
      <c r="AF957" s="235"/>
      <c r="AG957" s="235"/>
      <c r="AH957" s="235"/>
      <c r="AI957" s="235"/>
      <c r="AJ957" s="235"/>
      <c r="AK957" s="235"/>
      <c r="AL957" s="235"/>
      <c r="AM957" s="235"/>
      <c r="AN957" s="235"/>
      <c r="AO957" s="235"/>
      <c r="AP957" s="235"/>
      <c r="AQ957" s="235"/>
      <c r="AR957" s="235"/>
      <c r="AS957" s="235"/>
      <c r="AT957" s="235"/>
      <c r="AU957" s="235"/>
      <c r="AV957" s="235"/>
      <c r="AW957" s="58"/>
      <c r="AX957" s="150"/>
    </row>
    <row r="958" spans="1:50" collapsed="1" x14ac:dyDescent="0.2">
      <c r="A958" s="207" t="str">
        <f ca="1">Language!A$1137</f>
        <v>Начисленный НДС</v>
      </c>
      <c r="B958" s="228"/>
      <c r="C958" s="124" t="str">
        <f t="shared" ref="C958:C1009" ca="1" si="3650">CurName1</f>
        <v>тыс. руб.</v>
      </c>
      <c r="D958" s="236"/>
      <c r="E958" s="236"/>
      <c r="F958" s="100" t="s">
        <v>753</v>
      </c>
      <c r="G958" s="237">
        <f ca="1">IF(Prj_VAT=1,MAX(G972-IF(G$2=1,0,F974),0),MAX(0,G972)+IF(G$2&gt;=Параметры!$B$75,MIN(0,OFFSET(G972,0,-Параметры!$B$75)),0))</f>
        <v>-49947.778506228846</v>
      </c>
      <c r="H958" s="237">
        <f ca="1">IF(Prj_VAT=1,MAX(H972-IF(H$2=1,0,G974),0),MAX(0,H972)+IF(H$2&gt;=Параметры!$B$75,MIN(0,OFFSET(H972,0,-Параметры!$B$75)),0))</f>
        <v>793.96035963187751</v>
      </c>
      <c r="I958" s="237">
        <f ca="1">IF(Prj_VAT=1,MAX(I972-IF(I$2=1,0,H974),0),MAX(0,I972)+IF(I$2&gt;=Параметры!$B$75,MIN(0,OFFSET(I972,0,-Параметры!$B$75)),0))</f>
        <v>-1521.2579181686542</v>
      </c>
      <c r="J958" s="237">
        <f ca="1">IF(Prj_VAT=1,MAX(J972-IF(J$2=1,0,I974),0),MAX(0,J972)+IF(J$2&gt;=Параметры!$B$75,MIN(0,OFFSET(J972,0,-Параметры!$B$75)),0))</f>
        <v>4084.6870432293117</v>
      </c>
      <c r="K958" s="237">
        <f ca="1">IF(Prj_VAT=1,MAX(K972-IF(K$2=1,0,J974),0),MAX(0,K972)+IF(K$2&gt;=Параметры!$B$75,MIN(0,OFFSET(K972,0,-Параметры!$B$75)),0))</f>
        <v>19919.693512548773</v>
      </c>
      <c r="L958" s="237">
        <f ca="1">IF(Prj_VAT=1,MAX(L972-IF(L$2=1,0,K974),0),MAX(0,L972)+IF(L$2&gt;=Параметры!$B$75,MIN(0,OFFSET(L972,0,-Параметры!$B$75)),0))</f>
        <v>5569.2455270354458</v>
      </c>
      <c r="M958" s="237">
        <f ca="1">IF(Prj_VAT=1,MAX(M972-IF(M$2=1,0,L974),0),MAX(0,M972)+IF(M$2&gt;=Параметры!$B$75,MIN(0,OFFSET(M972,0,-Параметры!$B$75)),0))</f>
        <v>1211.9864774971911</v>
      </c>
      <c r="N958" s="237">
        <f ca="1">IF(Prj_VAT=1,MAX(N972-IF(N$2=1,0,M974),0),MAX(0,N972)+IF(N$2&gt;=Параметры!$B$75,MIN(0,OFFSET(N972,0,-Параметры!$B$75)),0))</f>
        <v>6914.910517613368</v>
      </c>
      <c r="O958" s="237">
        <f ca="1">IF(Prj_VAT=1,MAX(O972-IF(O$2=1,0,N974),0),MAX(0,O972)+IF(O$2&gt;=Параметры!$B$75,MIN(0,OFFSET(O972,0,-Параметры!$B$75)),0))</f>
        <v>24944.866294818868</v>
      </c>
      <c r="P958" s="237">
        <f ca="1">IF(Prj_VAT=1,MAX(P972-IF(P$2=1,0,O974),0),MAX(0,P972)+IF(P$2&gt;=Параметры!$B$75,MIN(0,OFFSET(P972,0,-Параметры!$B$75)),0))</f>
        <v>8564.9671072847013</v>
      </c>
      <c r="Q958" s="237">
        <f ca="1">IF(Prj_VAT=1,MAX(Q972-IF(Q$2=1,0,P974),0),MAX(0,Q972)+IF(Q$2&gt;=Параметры!$B$75,MIN(0,OFFSET(Q972,0,-Параметры!$B$75)),0))</f>
        <v>4369.7427051053892</v>
      </c>
      <c r="R958" s="237">
        <f ca="1">IF(Prj_VAT=1,MAX(R972-IF(R$2=1,0,Q974),0),MAX(0,R972)+IF(R$2&gt;=Параметры!$B$75,MIN(0,OFFSET(R972,0,-Параметры!$B$75)),0))</f>
        <v>9715.927445581794</v>
      </c>
      <c r="S958" s="237">
        <f ca="1">IF(Prj_VAT=1,MAX(S972-IF(S$2=1,0,R974),0),MAX(0,S972)+IF(S$2&gt;=Параметры!$B$75,MIN(0,OFFSET(S972,0,-Параметры!$B$75)),0))</f>
        <v>28107.590016944105</v>
      </c>
      <c r="T958" s="237">
        <f ca="1">IF(Prj_VAT=1,MAX(T972-IF(T$2=1,0,S974),0),MAX(0,T972)+IF(T$2&gt;=Параметры!$B$75,MIN(0,OFFSET(T972,0,-Параметры!$B$75)),0))</f>
        <v>10003.159545637467</v>
      </c>
      <c r="U958" s="237">
        <f ca="1">IF(Prj_VAT=1,MAX(U972-IF(U$2=1,0,T974),0),MAX(0,U972)+IF(U$2&gt;=Параметры!$B$75,MIN(0,OFFSET(U972,0,-Параметры!$B$75)),0))</f>
        <v>5964.2884031325193</v>
      </c>
      <c r="V958" s="237">
        <f ca="1">IF(Prj_VAT=1,MAX(V972-IF(V$2=1,0,U974),0),MAX(0,V972)+IF(V$2&gt;=Параметры!$B$75,MIN(0,OFFSET(V972,0,-Параметры!$B$75)),0))</f>
        <v>11650.795090384181</v>
      </c>
      <c r="W958" s="237">
        <f ca="1">IF(Prj_VAT=1,MAX(W972-IF(W$2=1,0,V974),0),MAX(0,W972)+IF(W$2&gt;=Параметры!$B$75,MIN(0,OFFSET(W972,0,-Параметры!$B$75)),0))</f>
        <v>31165.79516472145</v>
      </c>
      <c r="X958" s="237">
        <f ca="1">IF(Prj_VAT=1,MAX(X972-IF(X$2=1,0,W974),0),MAX(0,X972)+IF(X$2&gt;=Параметры!$B$75,MIN(0,OFFSET(X972,0,-Параметры!$B$75)),0))</f>
        <v>11995.227709902276</v>
      </c>
      <c r="Y958" s="237">
        <f ca="1">IF(Prj_VAT=1,MAX(Y972-IF(Y$2=1,0,X974),0),MAX(0,Y972)+IF(Y$2&gt;=Параметры!$B$75,MIN(0,OFFSET(Y972,0,-Параметры!$B$75)),0))</f>
        <v>6186.0824231545912</v>
      </c>
      <c r="Z958" s="237">
        <f ca="1">IF(Prj_VAT=1,MAX(Z972-IF(Z$2=1,0,Y974),0),MAX(0,Z972)+IF(Z$2&gt;=Параметры!$B$75,MIN(0,OFFSET(Z972,0,-Параметры!$B$75)),0))</f>
        <v>12211.782939940284</v>
      </c>
      <c r="AA958" s="237">
        <f ca="1">IF(Prj_VAT=1,MAX(AA972-IF(AA$2=1,0,Z974),0),MAX(0,AA972)+IF(AA$2&gt;=Параметры!$B$75,MIN(0,OFFSET(AA972,0,-Параметры!$B$75)),0))</f>
        <v>32895.657149650739</v>
      </c>
      <c r="AB958" s="237">
        <f ca="1">IF(Prj_VAT=1,MAX(AB972-IF(AB$2=1,0,AA974),0),MAX(0,AB972)+IF(AB$2&gt;=Параметры!$B$75,MIN(0,OFFSET(AB972,0,-Параметры!$B$75)),0))</f>
        <v>12572.800051164004</v>
      </c>
      <c r="AC958" s="237">
        <f ca="1">IF(Prj_VAT=1,MAX(AC972-IF(AC$2=1,0,AB974),0),MAX(0,AC972)+IF(AC$2&gt;=Параметры!$B$75,MIN(0,OFFSET(AC972,0,-Параметры!$B$75)),0))</f>
        <v>7229.4914725227109</v>
      </c>
      <c r="AD958" s="237">
        <f ca="1">IF(Prj_VAT=1,MAX(AD972-IF(AD$2=1,0,AC974),0),MAX(0,AD972)+IF(AD$2&gt;=Параметры!$B$75,MIN(0,OFFSET(AD972,0,-Параметры!$B$75)),0))</f>
        <v>13626.598426885128</v>
      </c>
      <c r="AE958" s="237">
        <f ca="1">IF(Prj_VAT=1,MAX(AE972-IF(AE$2=1,0,AD974),0),MAX(0,AE972)+IF(AE$2&gt;=Параметры!$B$75,MIN(0,OFFSET(AE972,0,-Параметры!$B$75)),0))</f>
        <v>35561.514244532314</v>
      </c>
      <c r="AF958" s="237">
        <f ca="1">IF(Prj_VAT=1,MAX(AF972-IF(AF$2=1,0,AE974),0),MAX(0,AF972)+IF(AF$2&gt;=Параметры!$B$75,MIN(0,OFFSET(AF972,0,-Параметры!$B$75)),0))</f>
        <v>14029.441748296455</v>
      </c>
      <c r="AG958" s="237">
        <f ca="1">IF(Prj_VAT=1,MAX(AG972-IF(AG$2=1,0,AF974),0),MAX(0,AG972)+IF(AG$2&gt;=Параметры!$B$75,MIN(0,OFFSET(AG972,0,-Параметры!$B$75)),0))</f>
        <v>7858.8281279145676</v>
      </c>
      <c r="AH958" s="237">
        <f ca="1">IF(Prj_VAT=1,MAX(AH972-IF(AH$2=1,0,AG974),0),MAX(0,AH972)+IF(AH$2&gt;=Параметры!$B$75,MIN(0,OFFSET(AH972,0,-Параметры!$B$75)),0))</f>
        <v>14642.631222063537</v>
      </c>
      <c r="AI958" s="237">
        <f ca="1">IF(Prj_VAT=1,MAX(AI972-IF(AI$2=1,0,AH974),0),MAX(0,AI972)+IF(AI$2&gt;=Параметры!$B$75,MIN(0,OFFSET(AI972,0,-Параметры!$B$75)),0))</f>
        <v>37896.553821161244</v>
      </c>
      <c r="AJ958" s="237">
        <f ca="1">IF(Prj_VAT=1,MAX(AJ972-IF(AJ$2=1,0,AI974),0),MAX(0,AJ972)+IF(AJ$2&gt;=Параметры!$B$75,MIN(0,OFFSET(AJ972,0,-Параметры!$B$75)),0))</f>
        <v>15075.511535323463</v>
      </c>
      <c r="AK958" s="237">
        <f ca="1">IF(Prj_VAT=1,MAX(AK972-IF(AK$2=1,0,AJ974),0),MAX(0,AK972)+IF(AK$2&gt;=Параметры!$B$75,MIN(0,OFFSET(AK972,0,-Параметры!$B$75)),0))</f>
        <v>8225.785929621783</v>
      </c>
      <c r="AL958" s="237">
        <f ca="1">IF(Prj_VAT=1,MAX(AL972-IF(AL$2=1,0,AK974),0),MAX(0,AL972)+IF(AL$2&gt;=Параметры!$B$75,MIN(0,OFFSET(AL972,0,-Параметры!$B$75)),0))</f>
        <v>15415.082737651415</v>
      </c>
      <c r="AM958" s="237">
        <f ca="1">IF(Prj_VAT=1,MAX(AM972-IF(AM$2=1,0,AL974),0),MAX(0,AM972)+IF(AM$2&gt;=Параметры!$B$75,MIN(0,OFFSET(AM972,0,-Параметры!$B$75)),0))</f>
        <v>40062.683704324059</v>
      </c>
      <c r="AN958" s="237">
        <f ca="1">IF(Prj_VAT=1,MAX(AN972-IF(AN$2=1,0,AM974),0),MAX(0,AN972)+IF(AN$2&gt;=Параметры!$B$75,MIN(0,OFFSET(AN972,0,-Параметры!$B$75)),0))</f>
        <v>15870.799045957243</v>
      </c>
      <c r="AO958" s="237">
        <f ca="1">IF(Prj_VAT=1,MAX(AO972-IF(AO$2=1,0,AN974),0),MAX(0,AO972)+IF(AO$2&gt;=Параметры!$B$75,MIN(0,OFFSET(AO972,0,-Параметры!$B$75)),0))</f>
        <v>8673.9880875383787</v>
      </c>
      <c r="AP958" s="237">
        <f ca="1">IF(Prj_VAT=1,MAX(AP972-IF(AP$2=1,0,AO974),0),MAX(0,AP972)+IF(AP$2&gt;=Параметры!$B$75,MIN(0,OFFSET(AP972,0,-Параметры!$B$75)),0))</f>
        <v>16293.977318526677</v>
      </c>
      <c r="AQ958" s="237">
        <f ca="1">IF(Prj_VAT=1,MAX(AQ972-IF(AQ$2=1,0,AP974),0),MAX(0,AQ972)+IF(AQ$2&gt;=Параметры!$B$75,MIN(0,OFFSET(AQ972,0,-Параметры!$B$75)),0))</f>
        <v>42419.759193911741</v>
      </c>
      <c r="AR958" s="237">
        <f ca="1">IF(Prj_VAT=1,MAX(AR972-IF(AR$2=1,0,AQ974),0),MAX(0,AR972)+IF(AR$2&gt;=Параметры!$B$75,MIN(0,OFFSET(AR972,0,-Параметры!$B$75)),0))</f>
        <v>16775.676399718177</v>
      </c>
      <c r="AS958" s="237">
        <f ca="1">IF(Prj_VAT=1,MAX(AS972-IF(AS$2=1,0,AR974),0),MAX(0,AS972)+IF(AS$2&gt;=Параметры!$B$75,MIN(0,OFFSET(AS972,0,-Параметры!$B$75)),0))</f>
        <v>6531.8059919829484</v>
      </c>
      <c r="AT958" s="237">
        <f ca="1">IF(Prj_VAT=1,MAX(AT972-IF(AT$2=1,0,AS974),0),MAX(0,AT972)+IF(AT$2&gt;=Параметры!$B$75,MIN(0,OFFSET(AT972,0,-Параметры!$B$75)),0))</f>
        <v>14569.923680283184</v>
      </c>
      <c r="AU958" s="237">
        <f ca="1">IF(Prj_VAT=1,MAX(AU972-IF(AU$2=1,0,AT974),0),MAX(0,AU972)+IF(AU$2&gt;=Параметры!$B$75,MIN(0,OFFSET(AU972,0,-Параметры!$B$75)),0))</f>
        <v>42223.608251318408</v>
      </c>
      <c r="AV958" s="237">
        <f ca="1">IF(Prj_VAT=1,MAX(AV972-IF(AV$2=1,0,AU974),0),MAX(0,AV972)+IF(AV$2&gt;=Параметры!$B$75,MIN(0,OFFSET(AV972,0,-Параметры!$B$75)),0))</f>
        <v>15000.654539460371</v>
      </c>
      <c r="AW958" s="58"/>
      <c r="AX958" s="210">
        <f t="shared" ref="AX958:AX972" ca="1" si="3651">SUM(G958:AW958)</f>
        <v>585358.44453957456</v>
      </c>
    </row>
    <row r="959" spans="1:50" hidden="1" outlineLevel="1" x14ac:dyDescent="0.2">
      <c r="A959" s="179" t="str">
        <f ca="1">Language!A$1138</f>
        <v>задолженность по налогу</v>
      </c>
      <c r="B959" s="188"/>
      <c r="C959" s="82" t="str">
        <f t="shared" ca="1" si="3650"/>
        <v>тыс. руб.</v>
      </c>
      <c r="D959" s="155"/>
      <c r="F959" s="100" t="s">
        <v>754</v>
      </c>
      <c r="G959" s="316">
        <f ca="1">IF(AND(Параметры!$B$73=0,G$2&gt;1),F959,G958*Параметры!$B$73/Параметры!G$31)</f>
        <v>-16649.259502076282</v>
      </c>
      <c r="H959" s="316">
        <f ca="1">IF(AND(Параметры!$B$73=0,H$2&gt;1),G959,H958*Параметры!$B$73/Параметры!H$31)</f>
        <v>264.65345321062586</v>
      </c>
      <c r="I959" s="316">
        <f ca="1">IF(AND(Параметры!$B$73=0,I$2&gt;1),H959,I958*Параметры!$B$73/Параметры!I$31)</f>
        <v>-507.08597272288472</v>
      </c>
      <c r="J959" s="316">
        <f ca="1">IF(AND(Параметры!$B$73=0,J$2&gt;1),I959,J958*Параметры!$B$73/Параметры!J$31)</f>
        <v>1361.5623477431038</v>
      </c>
      <c r="K959" s="316">
        <f ca="1">IF(AND(Параметры!$B$73=0,K$2&gt;1),J959,K958*Параметры!$B$73/Параметры!K$31)</f>
        <v>6639.8978375162578</v>
      </c>
      <c r="L959" s="316">
        <f ca="1">IF(AND(Параметры!$B$73=0,L$2&gt;1),K959,L958*Параметры!$B$73/Параметры!L$31)</f>
        <v>1856.415175678482</v>
      </c>
      <c r="M959" s="316">
        <f ca="1">IF(AND(Параметры!$B$73=0,M$2&gt;1),L959,M958*Параметры!$B$73/Параметры!M$31)</f>
        <v>403.99549249906369</v>
      </c>
      <c r="N959" s="316">
        <f ca="1">IF(AND(Параметры!$B$73=0,N$2&gt;1),M959,N958*Параметры!$B$73/Параметры!N$31)</f>
        <v>2304.9701725377895</v>
      </c>
      <c r="O959" s="316">
        <f ca="1">IF(AND(Параметры!$B$73=0,O$2&gt;1),N959,O958*Параметры!$B$73/Параметры!O$31)</f>
        <v>8314.9554316062895</v>
      </c>
      <c r="P959" s="316">
        <f ca="1">IF(AND(Параметры!$B$73=0,P$2&gt;1),O959,P958*Параметры!$B$73/Параметры!P$31)</f>
        <v>2854.9890357615673</v>
      </c>
      <c r="Q959" s="316">
        <f ca="1">IF(AND(Параметры!$B$73=0,Q$2&gt;1),P959,Q958*Параметры!$B$73/Параметры!Q$31)</f>
        <v>1456.5809017017964</v>
      </c>
      <c r="R959" s="316">
        <f ca="1">IF(AND(Параметры!$B$73=0,R$2&gt;1),Q959,R958*Параметры!$B$73/Параметры!R$31)</f>
        <v>3238.6424818605979</v>
      </c>
      <c r="S959" s="316">
        <f ca="1">IF(AND(Параметры!$B$73=0,S$2&gt;1),R959,S958*Параметры!$B$73/Параметры!S$31)</f>
        <v>9369.1966723147016</v>
      </c>
      <c r="T959" s="316">
        <f ca="1">IF(AND(Параметры!$B$73=0,T$2&gt;1),S959,T958*Параметры!$B$73/Параметры!T$31)</f>
        <v>3334.386515212489</v>
      </c>
      <c r="U959" s="316">
        <f ca="1">IF(AND(Параметры!$B$73=0,U$2&gt;1),T959,U958*Параметры!$B$73/Параметры!U$31)</f>
        <v>1988.0961343775064</v>
      </c>
      <c r="V959" s="316">
        <f ca="1">IF(AND(Параметры!$B$73=0,V$2&gt;1),U959,V958*Параметры!$B$73/Параметры!V$31)</f>
        <v>3883.5983634613935</v>
      </c>
      <c r="W959" s="316">
        <f ca="1">IF(AND(Параметры!$B$73=0,W$2&gt;1),V959,W958*Параметры!$B$73/Параметры!W$31)</f>
        <v>10388.598388240483</v>
      </c>
      <c r="X959" s="316">
        <f ca="1">IF(AND(Параметры!$B$73=0,X$2&gt;1),W959,X958*Параметры!$B$73/Параметры!X$31)</f>
        <v>3998.4092366340919</v>
      </c>
      <c r="Y959" s="316">
        <f ca="1">IF(AND(Параметры!$B$73=0,Y$2&gt;1),X959,Y958*Параметры!$B$73/Параметры!Y$31)</f>
        <v>2062.0274743848636</v>
      </c>
      <c r="Z959" s="316">
        <f ca="1">IF(AND(Параметры!$B$73=0,Z$2&gt;1),Y959,Z958*Параметры!$B$73/Параметры!Z$31)</f>
        <v>4070.5943133134278</v>
      </c>
      <c r="AA959" s="316">
        <f ca="1">IF(AND(Параметры!$B$73=0,AA$2&gt;1),Z959,AA958*Параметры!$B$73/Параметры!AA$31)</f>
        <v>10965.219049883579</v>
      </c>
      <c r="AB959" s="316">
        <f ca="1">IF(AND(Параметры!$B$73=0,AB$2&gt;1),AA959,AB958*Параметры!$B$73/Параметры!AB$31)</f>
        <v>4190.9333503880016</v>
      </c>
      <c r="AC959" s="316">
        <f ca="1">IF(AND(Параметры!$B$73=0,AC$2&gt;1),AB959,AC958*Параметры!$B$73/Параметры!AC$31)</f>
        <v>2409.8304908409036</v>
      </c>
      <c r="AD959" s="316">
        <f ca="1">IF(AND(Параметры!$B$73=0,AD$2&gt;1),AC959,AD958*Параметры!$B$73/Параметры!AD$31)</f>
        <v>4542.1994756283757</v>
      </c>
      <c r="AE959" s="316">
        <f ca="1">IF(AND(Параметры!$B$73=0,AE$2&gt;1),AD959,AE958*Параметры!$B$73/Параметры!AE$31)</f>
        <v>11853.838081510772</v>
      </c>
      <c r="AF959" s="316">
        <f ca="1">IF(AND(Параметры!$B$73=0,AF$2&gt;1),AE959,AF958*Параметры!$B$73/Параметры!AF$31)</f>
        <v>4676.4805827654845</v>
      </c>
      <c r="AG959" s="316">
        <f ca="1">IF(AND(Параметры!$B$73=0,AG$2&gt;1),AF959,AG958*Параметры!$B$73/Параметры!AG$31)</f>
        <v>2619.6093759715227</v>
      </c>
      <c r="AH959" s="316">
        <f ca="1">IF(AND(Параметры!$B$73=0,AH$2&gt;1),AG959,AH958*Параметры!$B$73/Параметры!AH$31)</f>
        <v>4880.8770740211794</v>
      </c>
      <c r="AI959" s="316">
        <f ca="1">IF(AND(Параметры!$B$73=0,AI$2&gt;1),AH959,AI958*Параметры!$B$73/Параметры!AI$31)</f>
        <v>12632.184607053749</v>
      </c>
      <c r="AJ959" s="316">
        <f ca="1">IF(AND(Параметры!$B$73=0,AJ$2&gt;1),AI959,AJ958*Параметры!$B$73/Параметры!AJ$31)</f>
        <v>5025.1705117744877</v>
      </c>
      <c r="AK959" s="316">
        <f ca="1">IF(AND(Параметры!$B$73=0,AK$2&gt;1),AJ959,AK958*Параметры!$B$73/Параметры!AK$31)</f>
        <v>2741.9286432072608</v>
      </c>
      <c r="AL959" s="316">
        <f ca="1">IF(AND(Параметры!$B$73=0,AL$2&gt;1),AK959,AL958*Параметры!$B$73/Параметры!AL$31)</f>
        <v>5138.3609125504718</v>
      </c>
      <c r="AM959" s="316">
        <f ca="1">IF(AND(Параметры!$B$73=0,AM$2&gt;1),AL959,AM958*Параметры!$B$73/Параметры!AM$31)</f>
        <v>13354.227901441353</v>
      </c>
      <c r="AN959" s="316">
        <f ca="1">IF(AND(Параметры!$B$73=0,AN$2&gt;1),AM959,AN958*Параметры!$B$73/Параметры!AN$31)</f>
        <v>5290.2663486524143</v>
      </c>
      <c r="AO959" s="316">
        <f ca="1">IF(AND(Параметры!$B$73=0,AO$2&gt;1),AN959,AO958*Параметры!$B$73/Параметры!AO$31)</f>
        <v>2891.3293625127931</v>
      </c>
      <c r="AP959" s="316">
        <f ca="1">IF(AND(Параметры!$B$73=0,AP$2&gt;1),AO959,AP958*Параметры!$B$73/Параметры!AP$31)</f>
        <v>5431.3257728422259</v>
      </c>
      <c r="AQ959" s="316">
        <f ca="1">IF(AND(Параметры!$B$73=0,AQ$2&gt;1),AP959,AQ958*Параметры!$B$73/Параметры!AQ$31)</f>
        <v>14139.919731303913</v>
      </c>
      <c r="AR959" s="316">
        <f ca="1">IF(AND(Параметры!$B$73=0,AR$2&gt;1),AQ959,AR958*Параметры!$B$73/Параметры!AR$31)</f>
        <v>5591.892133239392</v>
      </c>
      <c r="AS959" s="316">
        <f ca="1">IF(AND(Параметры!$B$73=0,AS$2&gt;1),AR959,AS958*Параметры!$B$73/Параметры!AS$31)</f>
        <v>2177.2686639943163</v>
      </c>
      <c r="AT959" s="316">
        <f ca="1">IF(AND(Параметры!$B$73=0,AT$2&gt;1),AS959,AT958*Параметры!$B$73/Параметры!AT$31)</f>
        <v>4856.6412267610613</v>
      </c>
      <c r="AU959" s="316">
        <f ca="1">IF(AND(Параметры!$B$73=0,AU$2&gt;1),AT959,AU958*Параметры!$B$73/Параметры!AU$31)</f>
        <v>14074.536083772802</v>
      </c>
      <c r="AV959" s="316">
        <f ca="1">IF(AND(Параметры!$B$73=0,AV$2&gt;1),AU959,AV958*Параметры!$B$73/Параметры!AV$31)</f>
        <v>5000.2181798201236</v>
      </c>
      <c r="AW959" s="168"/>
      <c r="AX959" s="142">
        <f t="shared" ca="1" si="3651"/>
        <v>195119.4815131916</v>
      </c>
    </row>
    <row r="960" spans="1:50" hidden="1" outlineLevel="1" x14ac:dyDescent="0.2">
      <c r="A960" s="179" t="str">
        <f ca="1">Language!A$1139</f>
        <v>уплаченный НДС</v>
      </c>
      <c r="B960" s="228"/>
      <c r="C960" s="82" t="str">
        <f t="shared" ca="1" si="3650"/>
        <v>тыс. руб.</v>
      </c>
      <c r="D960" s="236"/>
      <c r="E960" s="236"/>
      <c r="F960" s="100" t="s">
        <v>753</v>
      </c>
      <c r="G960" s="180">
        <f ca="1">G958-IF(G$2=1,G959,G959-F959)</f>
        <v>-33298.519004152564</v>
      </c>
      <c r="H960" s="180">
        <f t="shared" ref="H960:AV960" ca="1" si="3652">H958-IF(H$2=1,H959,H959-G959)</f>
        <v>-16119.952595655031</v>
      </c>
      <c r="I960" s="180">
        <f t="shared" ca="1" si="3652"/>
        <v>-749.51849223514364</v>
      </c>
      <c r="J960" s="180">
        <f t="shared" ca="1" si="3652"/>
        <v>2216.0387227633232</v>
      </c>
      <c r="K960" s="180">
        <f t="shared" ca="1" si="3652"/>
        <v>14641.358022775617</v>
      </c>
      <c r="L960" s="180">
        <f t="shared" ca="1" si="3652"/>
        <v>10352.728188873221</v>
      </c>
      <c r="M960" s="180">
        <f t="shared" ca="1" si="3652"/>
        <v>2664.4061606766095</v>
      </c>
      <c r="N960" s="180">
        <f t="shared" ca="1" si="3652"/>
        <v>5013.9358375746424</v>
      </c>
      <c r="O960" s="180">
        <f t="shared" ca="1" si="3652"/>
        <v>18934.881035750368</v>
      </c>
      <c r="P960" s="180">
        <f t="shared" ca="1" si="3652"/>
        <v>14024.933503129423</v>
      </c>
      <c r="Q960" s="180">
        <f t="shared" ca="1" si="3652"/>
        <v>5768.1508391651605</v>
      </c>
      <c r="R960" s="180">
        <f t="shared" ca="1" si="3652"/>
        <v>7933.865865422993</v>
      </c>
      <c r="S960" s="180">
        <f t="shared" ca="1" si="3652"/>
        <v>21977.035826489999</v>
      </c>
      <c r="T960" s="180">
        <f t="shared" ca="1" si="3652"/>
        <v>16037.96970273968</v>
      </c>
      <c r="U960" s="180">
        <f t="shared" ca="1" si="3652"/>
        <v>7310.5787839675022</v>
      </c>
      <c r="V960" s="180">
        <f t="shared" ca="1" si="3652"/>
        <v>9755.2928613002932</v>
      </c>
      <c r="W960" s="180">
        <f t="shared" ca="1" si="3652"/>
        <v>24660.795139942362</v>
      </c>
      <c r="X960" s="180">
        <f t="shared" ca="1" si="3652"/>
        <v>18385.416861508667</v>
      </c>
      <c r="Y960" s="180">
        <f t="shared" ca="1" si="3652"/>
        <v>8122.46418540382</v>
      </c>
      <c r="Z960" s="180">
        <f t="shared" ca="1" si="3652"/>
        <v>10203.21610101172</v>
      </c>
      <c r="AA960" s="180">
        <f t="shared" ca="1" si="3652"/>
        <v>26001.032413080589</v>
      </c>
      <c r="AB960" s="180">
        <f t="shared" ca="1" si="3652"/>
        <v>19347.085750659582</v>
      </c>
      <c r="AC960" s="180">
        <f t="shared" ca="1" si="3652"/>
        <v>9010.5943320698098</v>
      </c>
      <c r="AD960" s="180">
        <f t="shared" ca="1" si="3652"/>
        <v>11494.229442097656</v>
      </c>
      <c r="AE960" s="180">
        <f t="shared" ca="1" si="3652"/>
        <v>28249.875638649919</v>
      </c>
      <c r="AF960" s="180">
        <f t="shared" ca="1" si="3652"/>
        <v>21206.799247041741</v>
      </c>
      <c r="AG960" s="180">
        <f t="shared" ca="1" si="3652"/>
        <v>9915.6993347085299</v>
      </c>
      <c r="AH960" s="180">
        <f t="shared" ca="1" si="3652"/>
        <v>12381.363524013881</v>
      </c>
      <c r="AI960" s="180">
        <f t="shared" ca="1" si="3652"/>
        <v>30145.246288128674</v>
      </c>
      <c r="AJ960" s="180">
        <f t="shared" ca="1" si="3652"/>
        <v>22682.525630602722</v>
      </c>
      <c r="AK960" s="180">
        <f t="shared" ca="1" si="3652"/>
        <v>10509.02779818901</v>
      </c>
      <c r="AL960" s="180">
        <f t="shared" ca="1" si="3652"/>
        <v>13018.650468308204</v>
      </c>
      <c r="AM960" s="180">
        <f t="shared" ca="1" si="3652"/>
        <v>31846.816715433179</v>
      </c>
      <c r="AN960" s="180">
        <f t="shared" ca="1" si="3652"/>
        <v>23934.760598746179</v>
      </c>
      <c r="AO960" s="180">
        <f t="shared" ca="1" si="3652"/>
        <v>11072.925073678</v>
      </c>
      <c r="AP960" s="180">
        <f t="shared" ca="1" si="3652"/>
        <v>13753.980908197243</v>
      </c>
      <c r="AQ960" s="180">
        <f t="shared" ca="1" si="3652"/>
        <v>33711.165235450055</v>
      </c>
      <c r="AR960" s="180">
        <f t="shared" ca="1" si="3652"/>
        <v>25323.703997782697</v>
      </c>
      <c r="AS960" s="180">
        <f t="shared" ca="1" si="3652"/>
        <v>9946.4294612280246</v>
      </c>
      <c r="AT960" s="180">
        <f t="shared" ca="1" si="3652"/>
        <v>11890.551117516439</v>
      </c>
      <c r="AU960" s="180">
        <f t="shared" ca="1" si="3652"/>
        <v>33005.713394306666</v>
      </c>
      <c r="AV960" s="180">
        <f t="shared" ca="1" si="3652"/>
        <v>24074.972443413048</v>
      </c>
      <c r="AW960" s="58"/>
      <c r="AX960" s="142">
        <f t="shared" ca="1" si="3651"/>
        <v>580358.22635975457</v>
      </c>
    </row>
    <row r="961" spans="1:50" hidden="1" outlineLevel="1" x14ac:dyDescent="0.2">
      <c r="A961" s="44" t="str">
        <f ca="1">Language!A$1140</f>
        <v>НДС полученный с доходами от продаж</v>
      </c>
      <c r="B961" s="44"/>
      <c r="C961" s="124" t="str">
        <f t="shared" ca="1" si="3650"/>
        <v>тыс. руб.</v>
      </c>
      <c r="D961" s="100"/>
      <c r="E961" s="100"/>
      <c r="F961" s="100" t="s">
        <v>753</v>
      </c>
      <c r="G961" s="235">
        <f t="shared" ref="G961:AV961" ca="1" si="3653">G322+G326-IF(G$2=1,0,F326)</f>
        <v>25062.867917076248</v>
      </c>
      <c r="H961" s="235">
        <f t="shared" ca="1" si="3653"/>
        <v>14363.81521754298</v>
      </c>
      <c r="I961" s="235">
        <f t="shared" ca="1" si="3653"/>
        <v>18952.31966149298</v>
      </c>
      <c r="J961" s="235">
        <f t="shared" ca="1" si="3653"/>
        <v>21276.515046057757</v>
      </c>
      <c r="K961" s="235">
        <f t="shared" ca="1" si="3653"/>
        <v>39701.091754848771</v>
      </c>
      <c r="L961" s="235">
        <f t="shared" ca="1" si="3653"/>
        <v>24914.913827210268</v>
      </c>
      <c r="M961" s="235">
        <f t="shared" ca="1" si="3653"/>
        <v>27126.903579771999</v>
      </c>
      <c r="N961" s="235">
        <f t="shared" ca="1" si="3653"/>
        <v>29074.143503499003</v>
      </c>
      <c r="O961" s="235">
        <f t="shared" ca="1" si="3653"/>
        <v>49906.79845675487</v>
      </c>
      <c r="P961" s="235">
        <f t="shared" ca="1" si="3653"/>
        <v>33123.627736687762</v>
      </c>
      <c r="Q961" s="235">
        <f t="shared" ca="1" si="3653"/>
        <v>35109.321956617088</v>
      </c>
      <c r="R961" s="235">
        <f t="shared" ca="1" si="3653"/>
        <v>35624.51074609442</v>
      </c>
      <c r="S961" s="235">
        <f t="shared" ca="1" si="3653"/>
        <v>56111.414923256358</v>
      </c>
      <c r="T961" s="235">
        <f t="shared" ca="1" si="3653"/>
        <v>36677.678659540492</v>
      </c>
      <c r="U961" s="235">
        <f t="shared" ca="1" si="3653"/>
        <v>38945.987164571336</v>
      </c>
      <c r="V961" s="235">
        <f t="shared" ca="1" si="3653"/>
        <v>39517.47458911084</v>
      </c>
      <c r="W961" s="235">
        <f t="shared" ca="1" si="3653"/>
        <v>61259.352854043755</v>
      </c>
      <c r="X961" s="235">
        <f t="shared" ca="1" si="3653"/>
        <v>40685.730247533749</v>
      </c>
      <c r="Y961" s="235">
        <f t="shared" ca="1" si="3653"/>
        <v>41367.791699091613</v>
      </c>
      <c r="Z961" s="235">
        <f t="shared" ca="1" si="3653"/>
        <v>41974.816310821217</v>
      </c>
      <c r="AA961" s="235">
        <f t="shared" ca="1" si="3653"/>
        <v>65022.473525472655</v>
      </c>
      <c r="AB961" s="235">
        <f t="shared" ca="1" si="3653"/>
        <v>43215.718397208373</v>
      </c>
      <c r="AC961" s="235">
        <f t="shared" ca="1" si="3653"/>
        <v>44691.977870131479</v>
      </c>
      <c r="AD961" s="235">
        <f t="shared" ca="1" si="3653"/>
        <v>45347.781078370914</v>
      </c>
      <c r="AE961" s="235">
        <f t="shared" ca="1" si="3653"/>
        <v>69790.836172182593</v>
      </c>
      <c r="AF961" s="235">
        <f t="shared" ca="1" si="3653"/>
        <v>46688.398169735556</v>
      </c>
      <c r="AG961" s="235">
        <f t="shared" ca="1" si="3653"/>
        <v>47597.819626506884</v>
      </c>
      <c r="AH961" s="235">
        <f t="shared" ca="1" si="3653"/>
        <v>48296.262709669849</v>
      </c>
      <c r="AI961" s="235">
        <f t="shared" ca="1" si="3653"/>
        <v>74209.241093181001</v>
      </c>
      <c r="AJ961" s="235">
        <f t="shared" ca="1" si="3653"/>
        <v>49724.045805070338</v>
      </c>
      <c r="AK961" s="235">
        <f t="shared" ca="1" si="3653"/>
        <v>50369.285354969696</v>
      </c>
      <c r="AL961" s="235">
        <f t="shared" ca="1" si="3653"/>
        <v>51108.396499893825</v>
      </c>
      <c r="AM961" s="235">
        <f t="shared" ca="1" si="3653"/>
        <v>78574.896889287716</v>
      </c>
      <c r="AN961" s="235">
        <f t="shared" ca="1" si="3653"/>
        <v>52619.314746182143</v>
      </c>
      <c r="AO961" s="235">
        <f t="shared" ca="1" si="3653"/>
        <v>53380.002868372496</v>
      </c>
      <c r="AP961" s="235">
        <f t="shared" ca="1" si="3653"/>
        <v>54163.292818945585</v>
      </c>
      <c r="AQ961" s="235">
        <f t="shared" ca="1" si="3653"/>
        <v>83277.612905460104</v>
      </c>
      <c r="AR961" s="235">
        <f t="shared" ca="1" si="3653"/>
        <v>55764.523008184093</v>
      </c>
      <c r="AS961" s="235">
        <f t="shared" ca="1" si="3653"/>
        <v>54329.58766353425</v>
      </c>
      <c r="AT961" s="235">
        <f t="shared" ca="1" si="3653"/>
        <v>55126.81167531565</v>
      </c>
      <c r="AU961" s="235">
        <f t="shared" ca="1" si="3653"/>
        <v>85954.442464891239</v>
      </c>
      <c r="AV961" s="235">
        <f t="shared" ca="1" si="3653"/>
        <v>56756.526386089376</v>
      </c>
      <c r="AW961" s="58"/>
      <c r="AX961" s="142">
        <f t="shared" ca="1" si="3651"/>
        <v>1976786.3235802797</v>
      </c>
    </row>
    <row r="962" spans="1:50" hidden="1" outlineLevel="1" x14ac:dyDescent="0.2">
      <c r="A962" s="58" t="str">
        <f ca="1">Language!A$1141</f>
        <v>НДС полученный при продаже основных средств</v>
      </c>
      <c r="B962" s="44"/>
      <c r="C962" s="124" t="str">
        <f t="shared" ca="1" si="3650"/>
        <v>тыс. руб.</v>
      </c>
      <c r="D962" s="100"/>
      <c r="E962" s="100"/>
      <c r="F962" s="100" t="s">
        <v>753</v>
      </c>
      <c r="G962" s="235">
        <f t="shared" ref="G962:AV962" si="3654">G789+G804+G815</f>
        <v>0</v>
      </c>
      <c r="H962" s="235">
        <f t="shared" si="3654"/>
        <v>0</v>
      </c>
      <c r="I962" s="235">
        <f t="shared" si="3654"/>
        <v>0</v>
      </c>
      <c r="J962" s="235">
        <f t="shared" si="3654"/>
        <v>0</v>
      </c>
      <c r="K962" s="235">
        <f t="shared" si="3654"/>
        <v>0</v>
      </c>
      <c r="L962" s="235">
        <f t="shared" si="3654"/>
        <v>0</v>
      </c>
      <c r="M962" s="235">
        <f t="shared" si="3654"/>
        <v>0</v>
      </c>
      <c r="N962" s="235">
        <f t="shared" si="3654"/>
        <v>0</v>
      </c>
      <c r="O962" s="235">
        <f t="shared" si="3654"/>
        <v>0</v>
      </c>
      <c r="P962" s="235">
        <f t="shared" si="3654"/>
        <v>0</v>
      </c>
      <c r="Q962" s="235">
        <f t="shared" si="3654"/>
        <v>0</v>
      </c>
      <c r="R962" s="235">
        <f t="shared" si="3654"/>
        <v>0</v>
      </c>
      <c r="S962" s="235">
        <f t="shared" si="3654"/>
        <v>0</v>
      </c>
      <c r="T962" s="235">
        <f t="shared" si="3654"/>
        <v>0</v>
      </c>
      <c r="U962" s="235">
        <f t="shared" si="3654"/>
        <v>0</v>
      </c>
      <c r="V962" s="235">
        <f t="shared" si="3654"/>
        <v>0</v>
      </c>
      <c r="W962" s="235">
        <f t="shared" si="3654"/>
        <v>0</v>
      </c>
      <c r="X962" s="235">
        <f t="shared" si="3654"/>
        <v>0</v>
      </c>
      <c r="Y962" s="235">
        <f t="shared" si="3654"/>
        <v>0</v>
      </c>
      <c r="Z962" s="235">
        <f t="shared" si="3654"/>
        <v>0</v>
      </c>
      <c r="AA962" s="235">
        <f t="shared" si="3654"/>
        <v>0</v>
      </c>
      <c r="AB962" s="235">
        <f t="shared" si="3654"/>
        <v>0</v>
      </c>
      <c r="AC962" s="235">
        <f t="shared" si="3654"/>
        <v>0</v>
      </c>
      <c r="AD962" s="235">
        <f t="shared" si="3654"/>
        <v>0</v>
      </c>
      <c r="AE962" s="235">
        <f t="shared" si="3654"/>
        <v>0</v>
      </c>
      <c r="AF962" s="235">
        <f t="shared" si="3654"/>
        <v>0</v>
      </c>
      <c r="AG962" s="235">
        <f t="shared" si="3654"/>
        <v>0</v>
      </c>
      <c r="AH962" s="235">
        <f t="shared" si="3654"/>
        <v>0</v>
      </c>
      <c r="AI962" s="235">
        <f t="shared" si="3654"/>
        <v>0</v>
      </c>
      <c r="AJ962" s="235">
        <f t="shared" si="3654"/>
        <v>0</v>
      </c>
      <c r="AK962" s="235">
        <f t="shared" si="3654"/>
        <v>0</v>
      </c>
      <c r="AL962" s="235">
        <f t="shared" si="3654"/>
        <v>0</v>
      </c>
      <c r="AM962" s="235">
        <f t="shared" si="3654"/>
        <v>0</v>
      </c>
      <c r="AN962" s="235">
        <f t="shared" si="3654"/>
        <v>0</v>
      </c>
      <c r="AO962" s="235">
        <f t="shared" si="3654"/>
        <v>0</v>
      </c>
      <c r="AP962" s="235">
        <f t="shared" si="3654"/>
        <v>0</v>
      </c>
      <c r="AQ962" s="235">
        <f t="shared" si="3654"/>
        <v>0</v>
      </c>
      <c r="AR962" s="235">
        <f t="shared" si="3654"/>
        <v>0</v>
      </c>
      <c r="AS962" s="235">
        <f t="shared" si="3654"/>
        <v>0</v>
      </c>
      <c r="AT962" s="235">
        <f t="shared" si="3654"/>
        <v>0</v>
      </c>
      <c r="AU962" s="235">
        <f t="shared" si="3654"/>
        <v>0</v>
      </c>
      <c r="AV962" s="235">
        <f t="shared" si="3654"/>
        <v>0</v>
      </c>
      <c r="AW962" s="58"/>
      <c r="AX962" s="142">
        <f t="shared" si="3651"/>
        <v>0</v>
      </c>
    </row>
    <row r="963" spans="1:50" hidden="1" outlineLevel="1" x14ac:dyDescent="0.2">
      <c r="A963" s="58" t="s">
        <v>1443</v>
      </c>
      <c r="B963" s="44"/>
      <c r="C963" s="124" t="str">
        <f t="shared" ca="1" si="3650"/>
        <v>тыс. руб.</v>
      </c>
      <c r="D963" s="100"/>
      <c r="E963" s="100"/>
      <c r="F963" s="100" t="s">
        <v>753</v>
      </c>
      <c r="G963" s="235">
        <f t="shared" ref="G963:AV963" si="3655">G873</f>
        <v>0</v>
      </c>
      <c r="H963" s="235">
        <f t="shared" si="3655"/>
        <v>0</v>
      </c>
      <c r="I963" s="235">
        <f t="shared" si="3655"/>
        <v>0</v>
      </c>
      <c r="J963" s="235">
        <f t="shared" si="3655"/>
        <v>0</v>
      </c>
      <c r="K963" s="235">
        <f t="shared" si="3655"/>
        <v>0</v>
      </c>
      <c r="L963" s="235">
        <f t="shared" si="3655"/>
        <v>0</v>
      </c>
      <c r="M963" s="235">
        <f t="shared" si="3655"/>
        <v>0</v>
      </c>
      <c r="N963" s="235">
        <f t="shared" si="3655"/>
        <v>0</v>
      </c>
      <c r="O963" s="235">
        <f t="shared" si="3655"/>
        <v>0</v>
      </c>
      <c r="P963" s="235">
        <f t="shared" si="3655"/>
        <v>0</v>
      </c>
      <c r="Q963" s="235">
        <f t="shared" si="3655"/>
        <v>0</v>
      </c>
      <c r="R963" s="235">
        <f t="shared" si="3655"/>
        <v>0</v>
      </c>
      <c r="S963" s="235">
        <f t="shared" si="3655"/>
        <v>0</v>
      </c>
      <c r="T963" s="235">
        <f t="shared" si="3655"/>
        <v>0</v>
      </c>
      <c r="U963" s="235">
        <f t="shared" si="3655"/>
        <v>0</v>
      </c>
      <c r="V963" s="235">
        <f t="shared" si="3655"/>
        <v>0</v>
      </c>
      <c r="W963" s="235">
        <f t="shared" si="3655"/>
        <v>0</v>
      </c>
      <c r="X963" s="235">
        <f t="shared" si="3655"/>
        <v>0</v>
      </c>
      <c r="Y963" s="235">
        <f t="shared" si="3655"/>
        <v>0</v>
      </c>
      <c r="Z963" s="235">
        <f t="shared" si="3655"/>
        <v>0</v>
      </c>
      <c r="AA963" s="235">
        <f t="shared" si="3655"/>
        <v>0</v>
      </c>
      <c r="AB963" s="235">
        <f t="shared" si="3655"/>
        <v>0</v>
      </c>
      <c r="AC963" s="235">
        <f t="shared" si="3655"/>
        <v>0</v>
      </c>
      <c r="AD963" s="235">
        <f t="shared" si="3655"/>
        <v>0</v>
      </c>
      <c r="AE963" s="235">
        <f t="shared" si="3655"/>
        <v>0</v>
      </c>
      <c r="AF963" s="235">
        <f t="shared" si="3655"/>
        <v>0</v>
      </c>
      <c r="AG963" s="235">
        <f t="shared" si="3655"/>
        <v>0</v>
      </c>
      <c r="AH963" s="235">
        <f t="shared" si="3655"/>
        <v>0</v>
      </c>
      <c r="AI963" s="235">
        <f t="shared" si="3655"/>
        <v>0</v>
      </c>
      <c r="AJ963" s="235">
        <f t="shared" si="3655"/>
        <v>0</v>
      </c>
      <c r="AK963" s="235">
        <f t="shared" si="3655"/>
        <v>0</v>
      </c>
      <c r="AL963" s="235">
        <f t="shared" si="3655"/>
        <v>0</v>
      </c>
      <c r="AM963" s="235">
        <f t="shared" si="3655"/>
        <v>0</v>
      </c>
      <c r="AN963" s="235">
        <f t="shared" si="3655"/>
        <v>0</v>
      </c>
      <c r="AO963" s="235">
        <f t="shared" si="3655"/>
        <v>0</v>
      </c>
      <c r="AP963" s="235">
        <f t="shared" si="3655"/>
        <v>0</v>
      </c>
      <c r="AQ963" s="235">
        <f t="shared" si="3655"/>
        <v>0</v>
      </c>
      <c r="AR963" s="235">
        <f t="shared" si="3655"/>
        <v>0</v>
      </c>
      <c r="AS963" s="235">
        <f t="shared" si="3655"/>
        <v>0</v>
      </c>
      <c r="AT963" s="235">
        <f t="shared" si="3655"/>
        <v>0</v>
      </c>
      <c r="AU963" s="235">
        <f t="shared" si="3655"/>
        <v>0</v>
      </c>
      <c r="AV963" s="235">
        <f t="shared" si="3655"/>
        <v>0</v>
      </c>
      <c r="AW963" s="58"/>
      <c r="AX963" s="142">
        <f t="shared" si="3651"/>
        <v>0</v>
      </c>
    </row>
    <row r="964" spans="1:50" hidden="1" outlineLevel="1" x14ac:dyDescent="0.2">
      <c r="A964" s="44" t="str">
        <f ca="1">Language!A$1142</f>
        <v>НДС уплаченный на сырье и материалы</v>
      </c>
      <c r="B964" s="44"/>
      <c r="C964" s="124" t="str">
        <f t="shared" ca="1" si="3650"/>
        <v>тыс. руб.</v>
      </c>
      <c r="D964" s="100"/>
      <c r="E964" s="100"/>
      <c r="F964" s="100" t="s">
        <v>753</v>
      </c>
      <c r="G964" s="235">
        <f t="shared" ref="G964:AV964" ca="1" si="3656">G453</f>
        <v>8954.6125250000005</v>
      </c>
      <c r="H964" s="235">
        <f t="shared" ca="1" si="3656"/>
        <v>8711.5964824555631</v>
      </c>
      <c r="I964" s="235">
        <f t="shared" ca="1" si="3656"/>
        <v>15544.029868157058</v>
      </c>
      <c r="J964" s="235">
        <f t="shared" ca="1" si="3656"/>
        <v>12189.944866524185</v>
      </c>
      <c r="K964" s="235">
        <f t="shared" ca="1" si="3656"/>
        <v>14706.118242299999</v>
      </c>
      <c r="L964" s="235">
        <f t="shared" ca="1" si="3656"/>
        <v>14195.914422191949</v>
      </c>
      <c r="M964" s="235">
        <f t="shared" ca="1" si="3656"/>
        <v>20689.596528079957</v>
      </c>
      <c r="N964" s="235">
        <f t="shared" ca="1" si="3656"/>
        <v>16857.236861403118</v>
      </c>
      <c r="O964" s="235">
        <f t="shared" ca="1" si="3656"/>
        <v>19582.135361936002</v>
      </c>
      <c r="P964" s="235">
        <f t="shared" ca="1" si="3656"/>
        <v>19099.921518741216</v>
      </c>
      <c r="Q964" s="235">
        <f t="shared" ca="1" si="3656"/>
        <v>25200.739442865157</v>
      </c>
      <c r="R964" s="235">
        <f t="shared" ca="1" si="3656"/>
        <v>20288.467408561159</v>
      </c>
      <c r="S964" s="235">
        <f t="shared" ca="1" si="3656"/>
        <v>22301.240298312248</v>
      </c>
      <c r="T964" s="235">
        <f t="shared" ca="1" si="3656"/>
        <v>20888.255656601468</v>
      </c>
      <c r="U964" s="235">
        <f t="shared" ca="1" si="3656"/>
        <v>27110.528564273482</v>
      </c>
      <c r="V964" s="235">
        <f t="shared" ca="1" si="3656"/>
        <v>21909.356653258103</v>
      </c>
      <c r="W964" s="235">
        <f t="shared" ca="1" si="3656"/>
        <v>24048.818004842302</v>
      </c>
      <c r="X964" s="235">
        <f t="shared" ca="1" si="3656"/>
        <v>22557.063272891821</v>
      </c>
      <c r="Y964" s="235">
        <f t="shared" ca="1" si="3656"/>
        <v>28958.268866941766</v>
      </c>
      <c r="Z964" s="235">
        <f t="shared" ca="1" si="3656"/>
        <v>23448.271154684266</v>
      </c>
      <c r="AA964" s="235">
        <f t="shared" ca="1" si="3656"/>
        <v>25719.392310273113</v>
      </c>
      <c r="AB964" s="235">
        <f t="shared" ca="1" si="3656"/>
        <v>24141.472725420339</v>
      </c>
      <c r="AC964" s="235">
        <f t="shared" ca="1" si="3656"/>
        <v>30865.639564073797</v>
      </c>
      <c r="AD964" s="235">
        <f t="shared" ca="1" si="3656"/>
        <v>25027.534702317316</v>
      </c>
      <c r="AE964" s="235">
        <f t="shared" ca="1" si="3656"/>
        <v>27437.452418168548</v>
      </c>
      <c r="AF964" s="235">
        <f t="shared" ca="1" si="3656"/>
        <v>25767.42406357763</v>
      </c>
      <c r="AG964" s="235">
        <f t="shared" ca="1" si="3656"/>
        <v>32746.333855045246</v>
      </c>
      <c r="AH964" s="235">
        <f t="shared" ca="1" si="3656"/>
        <v>26558.364661487733</v>
      </c>
      <c r="AI964" s="235">
        <f t="shared" ca="1" si="3656"/>
        <v>29113.305591969121</v>
      </c>
      <c r="AJ964" s="235">
        <f t="shared" ca="1" si="3656"/>
        <v>27343.509970413714</v>
      </c>
      <c r="AK964" s="235">
        <f t="shared" ca="1" si="3656"/>
        <v>34731.282323188017</v>
      </c>
      <c r="AL964" s="235">
        <f t="shared" ca="1" si="3656"/>
        <v>28172.330926556715</v>
      </c>
      <c r="AM964" s="235">
        <f t="shared" ca="1" si="3656"/>
        <v>30880.868604109983</v>
      </c>
      <c r="AN964" s="235">
        <f t="shared" ca="1" si="3656"/>
        <v>29005.189942931749</v>
      </c>
      <c r="AO964" s="235">
        <f t="shared" ca="1" si="3656"/>
        <v>36849.064652544628</v>
      </c>
      <c r="AP964" s="235">
        <f t="shared" ca="1" si="3656"/>
        <v>29897.073694592073</v>
      </c>
      <c r="AQ964" s="235">
        <f t="shared" ca="1" si="3656"/>
        <v>32768.628455843471</v>
      </c>
      <c r="AR964" s="235">
        <f t="shared" ca="1" si="3656"/>
        <v>30780.921305735177</v>
      </c>
      <c r="AS964" s="235">
        <f t="shared" ca="1" si="3656"/>
        <v>39469.414535564443</v>
      </c>
      <c r="AT964" s="235">
        <f t="shared" ca="1" si="3656"/>
        <v>32106.311680856019</v>
      </c>
      <c r="AU964" s="235">
        <f t="shared" ca="1" si="3656"/>
        <v>35156.255442525639</v>
      </c>
      <c r="AV964" s="235">
        <f t="shared" ca="1" si="3656"/>
        <v>33055.47102573442</v>
      </c>
      <c r="AW964" s="58"/>
      <c r="AX964" s="142">
        <f t="shared" ca="1" si="3651"/>
        <v>1054835.3584529499</v>
      </c>
    </row>
    <row r="965" spans="1:50" hidden="1" outlineLevel="1" x14ac:dyDescent="0.2">
      <c r="A965" s="58" t="str">
        <f ca="1">Language!A$1143</f>
        <v>НДС уплаченный с постоянными издержками</v>
      </c>
      <c r="B965" s="44"/>
      <c r="C965" s="124" t="str">
        <f t="shared" ca="1" si="3650"/>
        <v>тыс. руб.</v>
      </c>
      <c r="D965" s="100"/>
      <c r="E965" s="100"/>
      <c r="F965" s="100" t="s">
        <v>753</v>
      </c>
      <c r="G965" s="235">
        <f t="shared" ref="G965:AV965" ca="1" si="3657">G574+G600+G587</f>
        <v>4788</v>
      </c>
      <c r="H965" s="235">
        <f t="shared" ca="1" si="3657"/>
        <v>4858.2583754555399</v>
      </c>
      <c r="I965" s="235">
        <f t="shared" ca="1" si="3657"/>
        <v>4929.547711504576</v>
      </c>
      <c r="J965" s="235">
        <f t="shared" ca="1" si="3657"/>
        <v>5001.88313630426</v>
      </c>
      <c r="K965" s="235">
        <f t="shared" ca="1" si="3657"/>
        <v>5075.28</v>
      </c>
      <c r="L965" s="235">
        <f t="shared" ca="1" si="3657"/>
        <v>5149.7538779828737</v>
      </c>
      <c r="M965" s="235">
        <f t="shared" ca="1" si="3657"/>
        <v>5225.3205741948505</v>
      </c>
      <c r="N965" s="235">
        <f t="shared" ca="1" si="3657"/>
        <v>5301.9961244825163</v>
      </c>
      <c r="O965" s="235">
        <f t="shared" ca="1" si="3657"/>
        <v>5379.7968000000001</v>
      </c>
      <c r="P965" s="235">
        <f t="shared" ca="1" si="3657"/>
        <v>5458.7391106618452</v>
      </c>
      <c r="Q965" s="235">
        <f t="shared" ca="1" si="3657"/>
        <v>5538.8398086465422</v>
      </c>
      <c r="R965" s="235">
        <f t="shared" ca="1" si="3657"/>
        <v>5620.1158919514673</v>
      </c>
      <c r="S965" s="235">
        <f t="shared" ca="1" si="3657"/>
        <v>5702.584608000001</v>
      </c>
      <c r="T965" s="235">
        <f t="shared" ca="1" si="3657"/>
        <v>5786.2634573015575</v>
      </c>
      <c r="U965" s="235">
        <f t="shared" ca="1" si="3657"/>
        <v>5871.1701971653347</v>
      </c>
      <c r="V965" s="235">
        <f t="shared" ca="1" si="3657"/>
        <v>5957.3228454685559</v>
      </c>
      <c r="W965" s="235">
        <f t="shared" ca="1" si="3657"/>
        <v>6044.7396844800014</v>
      </c>
      <c r="X965" s="235">
        <f t="shared" ca="1" si="3657"/>
        <v>6133.4392647396517</v>
      </c>
      <c r="Y965" s="235">
        <f t="shared" ca="1" si="3657"/>
        <v>6223.4404089952559</v>
      </c>
      <c r="Z965" s="235">
        <f t="shared" ca="1" si="3657"/>
        <v>6314.7622161966692</v>
      </c>
      <c r="AA965" s="235">
        <f t="shared" ca="1" si="3657"/>
        <v>6407.4240655488011</v>
      </c>
      <c r="AB965" s="235">
        <f t="shared" ca="1" si="3657"/>
        <v>6501.4456206240302</v>
      </c>
      <c r="AC965" s="235">
        <f t="shared" ca="1" si="3657"/>
        <v>6596.8468335349708</v>
      </c>
      <c r="AD965" s="235">
        <f t="shared" ca="1" si="3657"/>
        <v>6693.6479491684695</v>
      </c>
      <c r="AE965" s="235">
        <f t="shared" ca="1" si="3657"/>
        <v>6791.8695094817303</v>
      </c>
      <c r="AF965" s="235">
        <f t="shared" ca="1" si="3657"/>
        <v>6891.5323578614716</v>
      </c>
      <c r="AG965" s="235">
        <f t="shared" ca="1" si="3657"/>
        <v>6992.6576435470697</v>
      </c>
      <c r="AH965" s="235">
        <f t="shared" ca="1" si="3657"/>
        <v>7095.266826118579</v>
      </c>
      <c r="AI965" s="235">
        <f t="shared" ca="1" si="3657"/>
        <v>7199.3816800506338</v>
      </c>
      <c r="AJ965" s="235">
        <f t="shared" ca="1" si="3657"/>
        <v>7305.0242993331613</v>
      </c>
      <c r="AK965" s="235">
        <f t="shared" ca="1" si="3657"/>
        <v>7412.2171021598942</v>
      </c>
      <c r="AL965" s="235">
        <f t="shared" ca="1" si="3657"/>
        <v>7520.9828356856942</v>
      </c>
      <c r="AM965" s="235">
        <f t="shared" ca="1" si="3657"/>
        <v>7631.3445808536726</v>
      </c>
      <c r="AN965" s="235">
        <f t="shared" ca="1" si="3657"/>
        <v>7743.3257572931507</v>
      </c>
      <c r="AO965" s="235">
        <f t="shared" ca="1" si="3657"/>
        <v>7856.9501282894889</v>
      </c>
      <c r="AP965" s="235">
        <f t="shared" ca="1" si="3657"/>
        <v>7972.2418058268358</v>
      </c>
      <c r="AQ965" s="235">
        <f t="shared" ca="1" si="3657"/>
        <v>8089.2252557048923</v>
      </c>
      <c r="AR965" s="235">
        <f t="shared" ca="1" si="3657"/>
        <v>8207.9253027307404</v>
      </c>
      <c r="AS965" s="235">
        <f t="shared" ca="1" si="3657"/>
        <v>8328.3671359868586</v>
      </c>
      <c r="AT965" s="235">
        <f t="shared" ca="1" si="3657"/>
        <v>8450.5763141764473</v>
      </c>
      <c r="AU965" s="235">
        <f t="shared" ca="1" si="3657"/>
        <v>8574.5787710471886</v>
      </c>
      <c r="AV965" s="235">
        <f t="shared" ca="1" si="3657"/>
        <v>8700.4008208945852</v>
      </c>
      <c r="AW965" s="58"/>
      <c r="AX965" s="142">
        <f t="shared" ca="1" si="3651"/>
        <v>275324.48668944981</v>
      </c>
    </row>
    <row r="966" spans="1:50" hidden="1" outlineLevel="1" x14ac:dyDescent="0.2">
      <c r="A966" s="58" t="s">
        <v>1444</v>
      </c>
      <c r="B966" s="44"/>
      <c r="C966" s="124" t="str">
        <f t="shared" ca="1" si="3650"/>
        <v>тыс. руб.</v>
      </c>
      <c r="D966" s="100"/>
      <c r="E966" s="100"/>
      <c r="F966" s="100" t="s">
        <v>753</v>
      </c>
      <c r="G966" s="235">
        <f t="shared" ref="G966:AV966" si="3658">G876</f>
        <v>0</v>
      </c>
      <c r="H966" s="235">
        <f t="shared" si="3658"/>
        <v>0</v>
      </c>
      <c r="I966" s="235">
        <f t="shared" si="3658"/>
        <v>0</v>
      </c>
      <c r="J966" s="235">
        <f t="shared" si="3658"/>
        <v>0</v>
      </c>
      <c r="K966" s="235">
        <f t="shared" si="3658"/>
        <v>0</v>
      </c>
      <c r="L966" s="235">
        <f t="shared" si="3658"/>
        <v>0</v>
      </c>
      <c r="M966" s="235">
        <f t="shared" si="3658"/>
        <v>0</v>
      </c>
      <c r="N966" s="235">
        <f t="shared" si="3658"/>
        <v>0</v>
      </c>
      <c r="O966" s="235">
        <f t="shared" si="3658"/>
        <v>0</v>
      </c>
      <c r="P966" s="235">
        <f t="shared" si="3658"/>
        <v>0</v>
      </c>
      <c r="Q966" s="235">
        <f t="shared" si="3658"/>
        <v>0</v>
      </c>
      <c r="R966" s="235">
        <f t="shared" si="3658"/>
        <v>0</v>
      </c>
      <c r="S966" s="235">
        <f t="shared" si="3658"/>
        <v>0</v>
      </c>
      <c r="T966" s="235">
        <f t="shared" si="3658"/>
        <v>0</v>
      </c>
      <c r="U966" s="235">
        <f t="shared" si="3658"/>
        <v>0</v>
      </c>
      <c r="V966" s="235">
        <f t="shared" si="3658"/>
        <v>0</v>
      </c>
      <c r="W966" s="235">
        <f t="shared" si="3658"/>
        <v>0</v>
      </c>
      <c r="X966" s="235">
        <f t="shared" si="3658"/>
        <v>0</v>
      </c>
      <c r="Y966" s="235">
        <f t="shared" si="3658"/>
        <v>0</v>
      </c>
      <c r="Z966" s="235">
        <f t="shared" si="3658"/>
        <v>0</v>
      </c>
      <c r="AA966" s="235">
        <f t="shared" si="3658"/>
        <v>0</v>
      </c>
      <c r="AB966" s="235">
        <f t="shared" si="3658"/>
        <v>0</v>
      </c>
      <c r="AC966" s="235">
        <f t="shared" si="3658"/>
        <v>0</v>
      </c>
      <c r="AD966" s="235">
        <f t="shared" si="3658"/>
        <v>0</v>
      </c>
      <c r="AE966" s="235">
        <f t="shared" si="3658"/>
        <v>0</v>
      </c>
      <c r="AF966" s="235">
        <f t="shared" si="3658"/>
        <v>0</v>
      </c>
      <c r="AG966" s="235">
        <f t="shared" si="3658"/>
        <v>0</v>
      </c>
      <c r="AH966" s="235">
        <f t="shared" si="3658"/>
        <v>0</v>
      </c>
      <c r="AI966" s="235">
        <f t="shared" si="3658"/>
        <v>0</v>
      </c>
      <c r="AJ966" s="235">
        <f t="shared" si="3658"/>
        <v>0</v>
      </c>
      <c r="AK966" s="235">
        <f t="shared" si="3658"/>
        <v>0</v>
      </c>
      <c r="AL966" s="235">
        <f t="shared" si="3658"/>
        <v>0</v>
      </c>
      <c r="AM966" s="235">
        <f t="shared" si="3658"/>
        <v>0</v>
      </c>
      <c r="AN966" s="235">
        <f t="shared" si="3658"/>
        <v>0</v>
      </c>
      <c r="AO966" s="235">
        <f t="shared" si="3658"/>
        <v>0</v>
      </c>
      <c r="AP966" s="235">
        <f t="shared" si="3658"/>
        <v>0</v>
      </c>
      <c r="AQ966" s="235">
        <f t="shared" si="3658"/>
        <v>0</v>
      </c>
      <c r="AR966" s="235">
        <f t="shared" si="3658"/>
        <v>0</v>
      </c>
      <c r="AS966" s="235">
        <f t="shared" si="3658"/>
        <v>0</v>
      </c>
      <c r="AT966" s="235">
        <f t="shared" si="3658"/>
        <v>0</v>
      </c>
      <c r="AU966" s="235">
        <f t="shared" si="3658"/>
        <v>0</v>
      </c>
      <c r="AV966" s="235">
        <f t="shared" si="3658"/>
        <v>0</v>
      </c>
      <c r="AW966" s="58"/>
      <c r="AX966" s="142">
        <f t="shared" si="3651"/>
        <v>0</v>
      </c>
    </row>
    <row r="967" spans="1:50" hidden="1" outlineLevel="1" x14ac:dyDescent="0.2">
      <c r="A967" s="58" t="str">
        <f ca="1">Language!A$1144</f>
        <v>НДС уплаченный по финансовой аренде</v>
      </c>
      <c r="B967" s="44"/>
      <c r="C967" s="124" t="str">
        <f t="shared" ca="1" si="3650"/>
        <v>тыс. руб.</v>
      </c>
      <c r="D967" s="100"/>
      <c r="E967" s="100"/>
      <c r="F967" s="100" t="s">
        <v>753</v>
      </c>
      <c r="G967" s="235">
        <f t="shared" ref="G967:AV967" si="3659">G830</f>
        <v>0</v>
      </c>
      <c r="H967" s="235">
        <f t="shared" si="3659"/>
        <v>0</v>
      </c>
      <c r="I967" s="235">
        <f t="shared" si="3659"/>
        <v>0</v>
      </c>
      <c r="J967" s="235">
        <f t="shared" si="3659"/>
        <v>0</v>
      </c>
      <c r="K967" s="235">
        <f t="shared" si="3659"/>
        <v>0</v>
      </c>
      <c r="L967" s="235">
        <f t="shared" si="3659"/>
        <v>0</v>
      </c>
      <c r="M967" s="235">
        <f t="shared" si="3659"/>
        <v>0</v>
      </c>
      <c r="N967" s="235">
        <f t="shared" si="3659"/>
        <v>0</v>
      </c>
      <c r="O967" s="235">
        <f t="shared" si="3659"/>
        <v>0</v>
      </c>
      <c r="P967" s="235">
        <f t="shared" si="3659"/>
        <v>0</v>
      </c>
      <c r="Q967" s="235">
        <f t="shared" si="3659"/>
        <v>0</v>
      </c>
      <c r="R967" s="235">
        <f t="shared" si="3659"/>
        <v>0</v>
      </c>
      <c r="S967" s="235">
        <f t="shared" si="3659"/>
        <v>0</v>
      </c>
      <c r="T967" s="235">
        <f t="shared" si="3659"/>
        <v>0</v>
      </c>
      <c r="U967" s="235">
        <f t="shared" si="3659"/>
        <v>0</v>
      </c>
      <c r="V967" s="235">
        <f t="shared" si="3659"/>
        <v>0</v>
      </c>
      <c r="W967" s="235">
        <f t="shared" si="3659"/>
        <v>0</v>
      </c>
      <c r="X967" s="235">
        <f t="shared" si="3659"/>
        <v>0</v>
      </c>
      <c r="Y967" s="235">
        <f t="shared" si="3659"/>
        <v>0</v>
      </c>
      <c r="Z967" s="235">
        <f t="shared" si="3659"/>
        <v>0</v>
      </c>
      <c r="AA967" s="235">
        <f t="shared" si="3659"/>
        <v>0</v>
      </c>
      <c r="AB967" s="235">
        <f t="shared" si="3659"/>
        <v>0</v>
      </c>
      <c r="AC967" s="235">
        <f t="shared" si="3659"/>
        <v>0</v>
      </c>
      <c r="AD967" s="235">
        <f t="shared" si="3659"/>
        <v>0</v>
      </c>
      <c r="AE967" s="235">
        <f t="shared" si="3659"/>
        <v>0</v>
      </c>
      <c r="AF967" s="235">
        <f t="shared" si="3659"/>
        <v>0</v>
      </c>
      <c r="AG967" s="235">
        <f t="shared" si="3659"/>
        <v>0</v>
      </c>
      <c r="AH967" s="235">
        <f t="shared" si="3659"/>
        <v>0</v>
      </c>
      <c r="AI967" s="235">
        <f t="shared" si="3659"/>
        <v>0</v>
      </c>
      <c r="AJ967" s="235">
        <f t="shared" si="3659"/>
        <v>0</v>
      </c>
      <c r="AK967" s="235">
        <f t="shared" si="3659"/>
        <v>0</v>
      </c>
      <c r="AL967" s="235">
        <f t="shared" si="3659"/>
        <v>0</v>
      </c>
      <c r="AM967" s="235">
        <f t="shared" si="3659"/>
        <v>0</v>
      </c>
      <c r="AN967" s="235">
        <f t="shared" si="3659"/>
        <v>0</v>
      </c>
      <c r="AO967" s="235">
        <f t="shared" si="3659"/>
        <v>0</v>
      </c>
      <c r="AP967" s="235">
        <f t="shared" si="3659"/>
        <v>0</v>
      </c>
      <c r="AQ967" s="235">
        <f t="shared" si="3659"/>
        <v>0</v>
      </c>
      <c r="AR967" s="235">
        <f t="shared" si="3659"/>
        <v>0</v>
      </c>
      <c r="AS967" s="235">
        <f t="shared" si="3659"/>
        <v>0</v>
      </c>
      <c r="AT967" s="235">
        <f t="shared" si="3659"/>
        <v>0</v>
      </c>
      <c r="AU967" s="235">
        <f t="shared" si="3659"/>
        <v>0</v>
      </c>
      <c r="AV967" s="235">
        <f t="shared" si="3659"/>
        <v>0</v>
      </c>
      <c r="AW967" s="58"/>
      <c r="AX967" s="142">
        <f t="shared" si="3651"/>
        <v>0</v>
      </c>
    </row>
    <row r="968" spans="1:50" hidden="1" outlineLevel="1" x14ac:dyDescent="0.2">
      <c r="A968" s="58" t="str">
        <f ca="1">Language!A$1145</f>
        <v>НДС уплаченный по инвестициям</v>
      </c>
      <c r="B968" s="44"/>
      <c r="C968" s="124" t="str">
        <f t="shared" ca="1" si="3650"/>
        <v>тыс. руб.</v>
      </c>
      <c r="D968" s="100"/>
      <c r="E968" s="100"/>
      <c r="F968" s="100" t="s">
        <v>753</v>
      </c>
      <c r="G968" s="235">
        <f t="shared" ref="G968:AV968" si="3660">G818+G820</f>
        <v>15118.169491525423</v>
      </c>
      <c r="H968" s="235">
        <f t="shared" si="3660"/>
        <v>19488.813559322036</v>
      </c>
      <c r="I968" s="235">
        <f t="shared" si="3660"/>
        <v>14149.830508474577</v>
      </c>
      <c r="J968" s="235">
        <f t="shared" si="3660"/>
        <v>12511.220338983052</v>
      </c>
      <c r="K968" s="235">
        <f t="shared" si="3660"/>
        <v>0</v>
      </c>
      <c r="L968" s="235">
        <f t="shared" si="3660"/>
        <v>0</v>
      </c>
      <c r="M968" s="235">
        <f t="shared" si="3660"/>
        <v>0</v>
      </c>
      <c r="N968" s="235">
        <f t="shared" si="3660"/>
        <v>0</v>
      </c>
      <c r="O968" s="235">
        <f t="shared" si="3660"/>
        <v>0</v>
      </c>
      <c r="P968" s="235">
        <f t="shared" si="3660"/>
        <v>0</v>
      </c>
      <c r="Q968" s="235">
        <f t="shared" si="3660"/>
        <v>0</v>
      </c>
      <c r="R968" s="235">
        <f t="shared" si="3660"/>
        <v>0</v>
      </c>
      <c r="S968" s="235">
        <f t="shared" si="3660"/>
        <v>0</v>
      </c>
      <c r="T968" s="235">
        <f t="shared" si="3660"/>
        <v>0</v>
      </c>
      <c r="U968" s="235">
        <f t="shared" si="3660"/>
        <v>0</v>
      </c>
      <c r="V968" s="235">
        <f t="shared" si="3660"/>
        <v>0</v>
      </c>
      <c r="W968" s="235">
        <f t="shared" si="3660"/>
        <v>0</v>
      </c>
      <c r="X968" s="235">
        <f t="shared" si="3660"/>
        <v>0</v>
      </c>
      <c r="Y968" s="235">
        <f t="shared" si="3660"/>
        <v>0</v>
      </c>
      <c r="Z968" s="235">
        <f t="shared" si="3660"/>
        <v>0</v>
      </c>
      <c r="AA968" s="235">
        <f t="shared" si="3660"/>
        <v>0</v>
      </c>
      <c r="AB968" s="235">
        <f t="shared" si="3660"/>
        <v>0</v>
      </c>
      <c r="AC968" s="235">
        <f t="shared" si="3660"/>
        <v>0</v>
      </c>
      <c r="AD968" s="235">
        <f t="shared" si="3660"/>
        <v>0</v>
      </c>
      <c r="AE968" s="235">
        <f t="shared" si="3660"/>
        <v>0</v>
      </c>
      <c r="AF968" s="235">
        <f t="shared" si="3660"/>
        <v>0</v>
      </c>
      <c r="AG968" s="235">
        <f t="shared" si="3660"/>
        <v>0</v>
      </c>
      <c r="AH968" s="235">
        <f t="shared" si="3660"/>
        <v>0</v>
      </c>
      <c r="AI968" s="235">
        <f t="shared" si="3660"/>
        <v>0</v>
      </c>
      <c r="AJ968" s="235">
        <f t="shared" si="3660"/>
        <v>0</v>
      </c>
      <c r="AK968" s="235">
        <f t="shared" si="3660"/>
        <v>0</v>
      </c>
      <c r="AL968" s="235">
        <f t="shared" si="3660"/>
        <v>0</v>
      </c>
      <c r="AM968" s="235">
        <f t="shared" si="3660"/>
        <v>0</v>
      </c>
      <c r="AN968" s="235">
        <f t="shared" si="3660"/>
        <v>0</v>
      </c>
      <c r="AO968" s="235">
        <f t="shared" si="3660"/>
        <v>0</v>
      </c>
      <c r="AP968" s="235">
        <f t="shared" si="3660"/>
        <v>0</v>
      </c>
      <c r="AQ968" s="235">
        <f t="shared" si="3660"/>
        <v>0</v>
      </c>
      <c r="AR968" s="235">
        <f t="shared" si="3660"/>
        <v>0</v>
      </c>
      <c r="AS968" s="235">
        <f t="shared" si="3660"/>
        <v>0</v>
      </c>
      <c r="AT968" s="235">
        <f t="shared" si="3660"/>
        <v>0</v>
      </c>
      <c r="AU968" s="235">
        <f t="shared" si="3660"/>
        <v>0</v>
      </c>
      <c r="AV968" s="235">
        <f t="shared" si="3660"/>
        <v>0</v>
      </c>
      <c r="AW968" s="58"/>
      <c r="AX968" s="142">
        <f t="shared" si="3651"/>
        <v>61268.03389830509</v>
      </c>
    </row>
    <row r="969" spans="1:50" hidden="1" outlineLevel="1" x14ac:dyDescent="0.2">
      <c r="A969" s="58" t="str">
        <f ca="1">Language!A$1146</f>
        <v>НДС зачтенный по финансовой аренде</v>
      </c>
      <c r="B969" s="44"/>
      <c r="C969" s="124" t="str">
        <f t="shared" ca="1" si="3650"/>
        <v>тыс. руб.</v>
      </c>
      <c r="D969" s="100"/>
      <c r="E969" s="100"/>
      <c r="F969" s="100" t="s">
        <v>753</v>
      </c>
      <c r="G969" s="235">
        <f t="shared" ref="G969:AV969" si="3661">G832</f>
        <v>0</v>
      </c>
      <c r="H969" s="235">
        <f t="shared" si="3661"/>
        <v>0</v>
      </c>
      <c r="I969" s="235">
        <f t="shared" si="3661"/>
        <v>0</v>
      </c>
      <c r="J969" s="235">
        <f t="shared" si="3661"/>
        <v>0</v>
      </c>
      <c r="K969" s="235">
        <f t="shared" si="3661"/>
        <v>0</v>
      </c>
      <c r="L969" s="235">
        <f t="shared" si="3661"/>
        <v>0</v>
      </c>
      <c r="M969" s="235">
        <f t="shared" si="3661"/>
        <v>0</v>
      </c>
      <c r="N969" s="235">
        <f t="shared" si="3661"/>
        <v>0</v>
      </c>
      <c r="O969" s="235">
        <f t="shared" si="3661"/>
        <v>0</v>
      </c>
      <c r="P969" s="235">
        <f t="shared" si="3661"/>
        <v>0</v>
      </c>
      <c r="Q969" s="235">
        <f t="shared" si="3661"/>
        <v>0</v>
      </c>
      <c r="R969" s="235">
        <f t="shared" si="3661"/>
        <v>0</v>
      </c>
      <c r="S969" s="235">
        <f t="shared" si="3661"/>
        <v>0</v>
      </c>
      <c r="T969" s="235">
        <f t="shared" si="3661"/>
        <v>0</v>
      </c>
      <c r="U969" s="235">
        <f t="shared" si="3661"/>
        <v>0</v>
      </c>
      <c r="V969" s="235">
        <f t="shared" si="3661"/>
        <v>0</v>
      </c>
      <c r="W969" s="235">
        <f t="shared" si="3661"/>
        <v>0</v>
      </c>
      <c r="X969" s="235">
        <f t="shared" si="3661"/>
        <v>0</v>
      </c>
      <c r="Y969" s="235">
        <f t="shared" si="3661"/>
        <v>0</v>
      </c>
      <c r="Z969" s="235">
        <f t="shared" si="3661"/>
        <v>0</v>
      </c>
      <c r="AA969" s="235">
        <f t="shared" si="3661"/>
        <v>0</v>
      </c>
      <c r="AB969" s="235">
        <f t="shared" si="3661"/>
        <v>0</v>
      </c>
      <c r="AC969" s="235">
        <f t="shared" si="3661"/>
        <v>0</v>
      </c>
      <c r="AD969" s="235">
        <f t="shared" si="3661"/>
        <v>0</v>
      </c>
      <c r="AE969" s="235">
        <f t="shared" si="3661"/>
        <v>0</v>
      </c>
      <c r="AF969" s="235">
        <f t="shared" si="3661"/>
        <v>0</v>
      </c>
      <c r="AG969" s="235">
        <f t="shared" si="3661"/>
        <v>0</v>
      </c>
      <c r="AH969" s="235">
        <f t="shared" si="3661"/>
        <v>0</v>
      </c>
      <c r="AI969" s="235">
        <f t="shared" si="3661"/>
        <v>0</v>
      </c>
      <c r="AJ969" s="235">
        <f t="shared" si="3661"/>
        <v>0</v>
      </c>
      <c r="AK969" s="235">
        <f t="shared" si="3661"/>
        <v>0</v>
      </c>
      <c r="AL969" s="235">
        <f t="shared" si="3661"/>
        <v>0</v>
      </c>
      <c r="AM969" s="235">
        <f t="shared" si="3661"/>
        <v>0</v>
      </c>
      <c r="AN969" s="235">
        <f t="shared" si="3661"/>
        <v>0</v>
      </c>
      <c r="AO969" s="235">
        <f t="shared" si="3661"/>
        <v>0</v>
      </c>
      <c r="AP969" s="235">
        <f t="shared" si="3661"/>
        <v>0</v>
      </c>
      <c r="AQ969" s="235">
        <f t="shared" si="3661"/>
        <v>0</v>
      </c>
      <c r="AR969" s="235">
        <f t="shared" si="3661"/>
        <v>0</v>
      </c>
      <c r="AS969" s="235">
        <f t="shared" si="3661"/>
        <v>0</v>
      </c>
      <c r="AT969" s="235">
        <f t="shared" si="3661"/>
        <v>0</v>
      </c>
      <c r="AU969" s="235">
        <f t="shared" si="3661"/>
        <v>0</v>
      </c>
      <c r="AV969" s="235">
        <f t="shared" si="3661"/>
        <v>0</v>
      </c>
      <c r="AW969" s="58"/>
      <c r="AX969" s="142">
        <f t="shared" si="3651"/>
        <v>0</v>
      </c>
    </row>
    <row r="970" spans="1:50" hidden="1" outlineLevel="1" x14ac:dyDescent="0.2">
      <c r="A970" s="58" t="str">
        <f ca="1">Language!A$1147</f>
        <v>НДС зачтенный по инвестициям</v>
      </c>
      <c r="B970" s="44"/>
      <c r="C970" s="124" t="str">
        <f t="shared" ca="1" si="3650"/>
        <v>тыс. руб.</v>
      </c>
      <c r="D970" s="100"/>
      <c r="E970" s="100"/>
      <c r="F970" s="100" t="s">
        <v>753</v>
      </c>
      <c r="G970" s="235">
        <f t="shared" ref="G970:AV970" si="3662">G783+G798+G812</f>
        <v>61268.03389830509</v>
      </c>
      <c r="H970" s="235">
        <f t="shared" si="3662"/>
        <v>0</v>
      </c>
      <c r="I970" s="235">
        <f t="shared" si="3662"/>
        <v>0</v>
      </c>
      <c r="J970" s="235">
        <f t="shared" si="3662"/>
        <v>0</v>
      </c>
      <c r="K970" s="235">
        <f t="shared" si="3662"/>
        <v>0</v>
      </c>
      <c r="L970" s="235">
        <f t="shared" si="3662"/>
        <v>0</v>
      </c>
      <c r="M970" s="235">
        <f t="shared" si="3662"/>
        <v>0</v>
      </c>
      <c r="N970" s="235">
        <f t="shared" si="3662"/>
        <v>0</v>
      </c>
      <c r="O970" s="235">
        <f t="shared" si="3662"/>
        <v>0</v>
      </c>
      <c r="P970" s="235">
        <f t="shared" si="3662"/>
        <v>0</v>
      </c>
      <c r="Q970" s="235">
        <f t="shared" si="3662"/>
        <v>0</v>
      </c>
      <c r="R970" s="235">
        <f t="shared" si="3662"/>
        <v>0</v>
      </c>
      <c r="S970" s="235">
        <f t="shared" si="3662"/>
        <v>0</v>
      </c>
      <c r="T970" s="235">
        <f t="shared" si="3662"/>
        <v>0</v>
      </c>
      <c r="U970" s="235">
        <f t="shared" si="3662"/>
        <v>0</v>
      </c>
      <c r="V970" s="235">
        <f t="shared" si="3662"/>
        <v>0</v>
      </c>
      <c r="W970" s="235">
        <f t="shared" si="3662"/>
        <v>0</v>
      </c>
      <c r="X970" s="235">
        <f t="shared" si="3662"/>
        <v>0</v>
      </c>
      <c r="Y970" s="235">
        <f t="shared" si="3662"/>
        <v>0</v>
      </c>
      <c r="Z970" s="235">
        <f t="shared" si="3662"/>
        <v>0</v>
      </c>
      <c r="AA970" s="235">
        <f t="shared" si="3662"/>
        <v>0</v>
      </c>
      <c r="AB970" s="235">
        <f t="shared" si="3662"/>
        <v>0</v>
      </c>
      <c r="AC970" s="235">
        <f t="shared" si="3662"/>
        <v>0</v>
      </c>
      <c r="AD970" s="235">
        <f t="shared" si="3662"/>
        <v>0</v>
      </c>
      <c r="AE970" s="235">
        <f t="shared" si="3662"/>
        <v>0</v>
      </c>
      <c r="AF970" s="235">
        <f t="shared" si="3662"/>
        <v>0</v>
      </c>
      <c r="AG970" s="235">
        <f t="shared" si="3662"/>
        <v>0</v>
      </c>
      <c r="AH970" s="235">
        <f t="shared" si="3662"/>
        <v>0</v>
      </c>
      <c r="AI970" s="235">
        <f t="shared" si="3662"/>
        <v>0</v>
      </c>
      <c r="AJ970" s="235">
        <f t="shared" si="3662"/>
        <v>0</v>
      </c>
      <c r="AK970" s="235">
        <f t="shared" si="3662"/>
        <v>0</v>
      </c>
      <c r="AL970" s="235">
        <f t="shared" si="3662"/>
        <v>0</v>
      </c>
      <c r="AM970" s="235">
        <f t="shared" si="3662"/>
        <v>0</v>
      </c>
      <c r="AN970" s="235">
        <f t="shared" si="3662"/>
        <v>0</v>
      </c>
      <c r="AO970" s="235">
        <f t="shared" si="3662"/>
        <v>0</v>
      </c>
      <c r="AP970" s="235">
        <f t="shared" si="3662"/>
        <v>0</v>
      </c>
      <c r="AQ970" s="235">
        <f t="shared" si="3662"/>
        <v>0</v>
      </c>
      <c r="AR970" s="235">
        <f t="shared" si="3662"/>
        <v>0</v>
      </c>
      <c r="AS970" s="235">
        <f t="shared" si="3662"/>
        <v>0</v>
      </c>
      <c r="AT970" s="235">
        <f t="shared" si="3662"/>
        <v>0</v>
      </c>
      <c r="AU970" s="235">
        <f t="shared" si="3662"/>
        <v>0</v>
      </c>
      <c r="AV970" s="235">
        <f t="shared" si="3662"/>
        <v>0</v>
      </c>
      <c r="AW970" s="58"/>
      <c r="AX970" s="142">
        <f t="shared" si="3651"/>
        <v>61268.03389830509</v>
      </c>
    </row>
    <row r="971" spans="1:50" hidden="1" outlineLevel="1" x14ac:dyDescent="0.2">
      <c r="A971" s="58" t="str">
        <f ca="1">Language!A$1148</f>
        <v>Зачет НДС из активов стартового баланса</v>
      </c>
      <c r="B971" s="238">
        <f>Старт!B12</f>
        <v>5287</v>
      </c>
      <c r="C971" s="124" t="str">
        <f t="shared" ca="1" si="3650"/>
        <v>тыс. руб.</v>
      </c>
      <c r="D971" s="100"/>
      <c r="E971" s="100"/>
      <c r="F971" s="100" t="s">
        <v>753</v>
      </c>
      <c r="G971" s="310">
        <v>0</v>
      </c>
      <c r="H971" s="310">
        <v>0</v>
      </c>
      <c r="I971" s="310">
        <v>0</v>
      </c>
      <c r="J971" s="310">
        <v>0</v>
      </c>
      <c r="K971" s="310">
        <v>0</v>
      </c>
      <c r="L971" s="310">
        <v>0</v>
      </c>
      <c r="M971" s="310">
        <v>0</v>
      </c>
      <c r="N971" s="310">
        <v>0</v>
      </c>
      <c r="O971" s="310">
        <v>0</v>
      </c>
      <c r="P971" s="310">
        <v>0</v>
      </c>
      <c r="Q971" s="310">
        <v>0</v>
      </c>
      <c r="R971" s="310">
        <v>0</v>
      </c>
      <c r="S971" s="310">
        <v>0</v>
      </c>
      <c r="T971" s="310">
        <v>0</v>
      </c>
      <c r="U971" s="310">
        <v>0</v>
      </c>
      <c r="V971" s="310">
        <v>0</v>
      </c>
      <c r="W971" s="310">
        <v>0</v>
      </c>
      <c r="X971" s="310">
        <v>0</v>
      </c>
      <c r="Y971" s="310">
        <v>0</v>
      </c>
      <c r="Z971" s="310">
        <v>0</v>
      </c>
      <c r="AA971" s="310">
        <v>0</v>
      </c>
      <c r="AB971" s="310">
        <v>0</v>
      </c>
      <c r="AC971" s="310">
        <v>0</v>
      </c>
      <c r="AD971" s="310">
        <v>0</v>
      </c>
      <c r="AE971" s="310">
        <v>0</v>
      </c>
      <c r="AF971" s="310">
        <v>0</v>
      </c>
      <c r="AG971" s="310">
        <v>0</v>
      </c>
      <c r="AH971" s="310">
        <v>0</v>
      </c>
      <c r="AI971" s="310">
        <v>0</v>
      </c>
      <c r="AJ971" s="310">
        <v>0</v>
      </c>
      <c r="AK971" s="310">
        <v>0</v>
      </c>
      <c r="AL971" s="310">
        <v>0</v>
      </c>
      <c r="AM971" s="310">
        <v>0</v>
      </c>
      <c r="AN971" s="310">
        <v>0</v>
      </c>
      <c r="AO971" s="310">
        <v>0</v>
      </c>
      <c r="AP971" s="310">
        <v>0</v>
      </c>
      <c r="AQ971" s="310">
        <v>0</v>
      </c>
      <c r="AR971" s="310">
        <v>0</v>
      </c>
      <c r="AS971" s="310">
        <v>0</v>
      </c>
      <c r="AT971" s="310">
        <v>0</v>
      </c>
      <c r="AU971" s="310">
        <v>0</v>
      </c>
      <c r="AV971" s="310">
        <v>0</v>
      </c>
      <c r="AW971" s="58"/>
      <c r="AX971" s="142">
        <f t="shared" si="3651"/>
        <v>0</v>
      </c>
    </row>
    <row r="972" spans="1:50" hidden="1" outlineLevel="1" x14ac:dyDescent="0.2">
      <c r="A972" s="58" t="str">
        <f ca="1">Language!A$1149</f>
        <v>Итого, баланс расчетов по НДС</v>
      </c>
      <c r="B972" s="44"/>
      <c r="C972" s="124" t="str">
        <f t="shared" ca="1" si="3650"/>
        <v>тыс. руб.</v>
      </c>
      <c r="D972" s="100"/>
      <c r="E972" s="100"/>
      <c r="F972" s="100" t="s">
        <v>753</v>
      </c>
      <c r="G972" s="235">
        <f ca="1">G961+G962+G963-G964-G965-G966-G969-G970-G971</f>
        <v>-49947.778506228846</v>
      </c>
      <c r="H972" s="235">
        <f t="shared" ref="H972:K972" ca="1" si="3663">H961+H962+H963-H964-H965-H966-H969-H970-H971</f>
        <v>793.96035963187751</v>
      </c>
      <c r="I972" s="235">
        <f t="shared" ca="1" si="3663"/>
        <v>-1521.2579181686542</v>
      </c>
      <c r="J972" s="235">
        <f t="shared" ca="1" si="3663"/>
        <v>4084.6870432293117</v>
      </c>
      <c r="K972" s="235">
        <f t="shared" ca="1" si="3663"/>
        <v>19919.693512548773</v>
      </c>
      <c r="L972" s="235">
        <f t="shared" ref="L972:M972" ca="1" si="3664">L961+L962+L963-L964-L965-L966-L969-L970-L971</f>
        <v>5569.2455270354458</v>
      </c>
      <c r="M972" s="235">
        <f t="shared" ca="1" si="3664"/>
        <v>1211.9864774971911</v>
      </c>
      <c r="N972" s="235">
        <f t="shared" ref="N972:O972" ca="1" si="3665">N961+N962+N963-N964-N965-N966-N969-N970-N971</f>
        <v>6914.910517613368</v>
      </c>
      <c r="O972" s="235">
        <f t="shared" ca="1" si="3665"/>
        <v>24944.866294818868</v>
      </c>
      <c r="P972" s="235">
        <f t="shared" ref="P972:Q972" ca="1" si="3666">P961+P962+P963-P964-P965-P966-P969-P970-P971</f>
        <v>8564.9671072847013</v>
      </c>
      <c r="Q972" s="235">
        <f t="shared" ca="1" si="3666"/>
        <v>4369.7427051053892</v>
      </c>
      <c r="R972" s="235">
        <f t="shared" ref="R972:S972" ca="1" si="3667">R961+R962+R963-R964-R965-R966-R969-R970-R971</f>
        <v>9715.927445581794</v>
      </c>
      <c r="S972" s="235">
        <f t="shared" ca="1" si="3667"/>
        <v>28107.590016944105</v>
      </c>
      <c r="T972" s="235">
        <f t="shared" ref="T972:U972" ca="1" si="3668">T961+T962+T963-T964-T965-T966-T969-T970-T971</f>
        <v>10003.159545637467</v>
      </c>
      <c r="U972" s="235">
        <f t="shared" ca="1" si="3668"/>
        <v>5964.2884031325193</v>
      </c>
      <c r="V972" s="235">
        <f t="shared" ref="V972:W972" ca="1" si="3669">V961+V962+V963-V964-V965-V966-V969-V970-V971</f>
        <v>11650.795090384181</v>
      </c>
      <c r="W972" s="235">
        <f t="shared" ca="1" si="3669"/>
        <v>31165.79516472145</v>
      </c>
      <c r="X972" s="235">
        <f t="shared" ref="X972:Y972" ca="1" si="3670">X961+X962+X963-X964-X965-X966-X969-X970-X971</f>
        <v>11995.227709902276</v>
      </c>
      <c r="Y972" s="235">
        <f t="shared" ca="1" si="3670"/>
        <v>6186.0824231545912</v>
      </c>
      <c r="Z972" s="235">
        <f t="shared" ref="Z972:AA972" ca="1" si="3671">Z961+Z962+Z963-Z964-Z965-Z966-Z969-Z970-Z971</f>
        <v>12211.782939940284</v>
      </c>
      <c r="AA972" s="235">
        <f t="shared" ca="1" si="3671"/>
        <v>32895.657149650739</v>
      </c>
      <c r="AB972" s="235">
        <f t="shared" ref="AB972:AC972" ca="1" si="3672">AB961+AB962+AB963-AB964-AB965-AB966-AB969-AB970-AB971</f>
        <v>12572.800051164004</v>
      </c>
      <c r="AC972" s="235">
        <f t="shared" ca="1" si="3672"/>
        <v>7229.4914725227109</v>
      </c>
      <c r="AD972" s="235">
        <f t="shared" ref="AD972:AE972" ca="1" si="3673">AD961+AD962+AD963-AD964-AD965-AD966-AD969-AD970-AD971</f>
        <v>13626.598426885128</v>
      </c>
      <c r="AE972" s="235">
        <f t="shared" ca="1" si="3673"/>
        <v>35561.514244532314</v>
      </c>
      <c r="AF972" s="235">
        <f t="shared" ref="AF972:AG972" ca="1" si="3674">AF961+AF962+AF963-AF964-AF965-AF966-AF969-AF970-AF971</f>
        <v>14029.441748296455</v>
      </c>
      <c r="AG972" s="235">
        <f t="shared" ca="1" si="3674"/>
        <v>7858.8281279145676</v>
      </c>
      <c r="AH972" s="235">
        <f t="shared" ref="AH972:AI972" ca="1" si="3675">AH961+AH962+AH963-AH964-AH965-AH966-AH969-AH970-AH971</f>
        <v>14642.631222063537</v>
      </c>
      <c r="AI972" s="235">
        <f t="shared" ca="1" si="3675"/>
        <v>37896.553821161244</v>
      </c>
      <c r="AJ972" s="235">
        <f t="shared" ref="AJ972:AK972" ca="1" si="3676">AJ961+AJ962+AJ963-AJ964-AJ965-AJ966-AJ969-AJ970-AJ971</f>
        <v>15075.511535323463</v>
      </c>
      <c r="AK972" s="235">
        <f t="shared" ca="1" si="3676"/>
        <v>8225.785929621783</v>
      </c>
      <c r="AL972" s="235">
        <f t="shared" ref="AL972:AM972" ca="1" si="3677">AL961+AL962+AL963-AL964-AL965-AL966-AL969-AL970-AL971</f>
        <v>15415.082737651415</v>
      </c>
      <c r="AM972" s="235">
        <f t="shared" ca="1" si="3677"/>
        <v>40062.683704324059</v>
      </c>
      <c r="AN972" s="235">
        <f t="shared" ref="AN972:AO972" ca="1" si="3678">AN961+AN962+AN963-AN964-AN965-AN966-AN969-AN970-AN971</f>
        <v>15870.799045957243</v>
      </c>
      <c r="AO972" s="235">
        <f t="shared" ca="1" si="3678"/>
        <v>8673.9880875383787</v>
      </c>
      <c r="AP972" s="235">
        <f t="shared" ref="AP972:AQ972" ca="1" si="3679">AP961+AP962+AP963-AP964-AP965-AP966-AP969-AP970-AP971</f>
        <v>16293.977318526677</v>
      </c>
      <c r="AQ972" s="235">
        <f t="shared" ca="1" si="3679"/>
        <v>42419.759193911741</v>
      </c>
      <c r="AR972" s="235">
        <f t="shared" ref="AR972:AS972" ca="1" si="3680">AR961+AR962+AR963-AR964-AR965-AR966-AR969-AR970-AR971</f>
        <v>16775.676399718177</v>
      </c>
      <c r="AS972" s="235">
        <f t="shared" ca="1" si="3680"/>
        <v>6531.8059919829484</v>
      </c>
      <c r="AT972" s="235">
        <f t="shared" ref="AT972:AU972" ca="1" si="3681">AT961+AT962+AT963-AT964-AT965-AT966-AT969-AT970-AT971</f>
        <v>14569.923680283184</v>
      </c>
      <c r="AU972" s="235">
        <f t="shared" ca="1" si="3681"/>
        <v>42223.608251318408</v>
      </c>
      <c r="AV972" s="235">
        <f t="shared" ref="AV972" ca="1" si="3682">AV961+AV962+AV963-AV964-AV965-AV966-AV969-AV970-AV971</f>
        <v>15000.654539460371</v>
      </c>
      <c r="AW972" s="58"/>
      <c r="AX972" s="142">
        <f t="shared" ca="1" si="3651"/>
        <v>585358.44453957456</v>
      </c>
    </row>
    <row r="973" spans="1:50" hidden="1" outlineLevel="1" x14ac:dyDescent="0.2">
      <c r="A973" s="58" t="str">
        <f ca="1">Language!A$1150</f>
        <v>НДС как актив по инвестициям</v>
      </c>
      <c r="B973" s="44"/>
      <c r="C973" s="124" t="str">
        <f t="shared" ca="1" si="3650"/>
        <v>тыс. руб.</v>
      </c>
      <c r="D973" s="100"/>
      <c r="E973" s="100"/>
      <c r="F973" s="100" t="s">
        <v>754</v>
      </c>
      <c r="G973" s="235">
        <f>SUM($G968:G968)-SUM($G970:G970)+SUM($G967:G967)-SUM($G969:G969)+$B971-SUM($G971:G971)</f>
        <v>-40862.86440677967</v>
      </c>
      <c r="H973" s="235">
        <f>SUM($G968:H968)-SUM($G970:H970)+SUM($G967:H967)-SUM($G969:H969)+$B971-SUM($G971:H971)</f>
        <v>-21374.050847457635</v>
      </c>
      <c r="I973" s="235">
        <f>SUM($G968:I968)-SUM($G970:I970)+SUM($G967:I967)-SUM($G969:I969)+$B971-SUM($G971:I971)</f>
        <v>-7224.2203389830538</v>
      </c>
      <c r="J973" s="235">
        <f>SUM($G968:J968)-SUM($G970:J970)+SUM($G967:J967)-SUM($G969:J969)+$B971-SUM($G971:J971)</f>
        <v>5287</v>
      </c>
      <c r="K973" s="235">
        <f>SUM($G968:K968)-SUM($G970:K970)+SUM($G967:K967)-SUM($G969:K969)+$B971-SUM($G971:K971)</f>
        <v>5287</v>
      </c>
      <c r="L973" s="235">
        <f>SUM($G968:L968)-SUM($G970:L970)+SUM($G967:L967)-SUM($G969:L969)+$B971-SUM($G971:L971)</f>
        <v>5287</v>
      </c>
      <c r="M973" s="235">
        <f>SUM($G968:M968)-SUM($G970:M970)+SUM($G967:M967)-SUM($G969:M969)+$B971-SUM($G971:M971)</f>
        <v>5287</v>
      </c>
      <c r="N973" s="235">
        <f>SUM($G968:N968)-SUM($G970:N970)+SUM($G967:N967)-SUM($G969:N969)+$B971-SUM($G971:N971)</f>
        <v>5287</v>
      </c>
      <c r="O973" s="235">
        <f>SUM($G968:O968)-SUM($G970:O970)+SUM($G967:O967)-SUM($G969:O969)+$B971-SUM($G971:O971)</f>
        <v>5287</v>
      </c>
      <c r="P973" s="235">
        <f>SUM($G968:P968)-SUM($G970:P970)+SUM($G967:P967)-SUM($G969:P969)+$B971-SUM($G971:P971)</f>
        <v>5287</v>
      </c>
      <c r="Q973" s="235">
        <f>SUM($G968:Q968)-SUM($G970:Q970)+SUM($G967:Q967)-SUM($G969:Q969)+$B971-SUM($G971:Q971)</f>
        <v>5287</v>
      </c>
      <c r="R973" s="235">
        <f>SUM($G968:R968)-SUM($G970:R970)+SUM($G967:R967)-SUM($G969:R969)+$B971-SUM($G971:R971)</f>
        <v>5287</v>
      </c>
      <c r="S973" s="235">
        <f>SUM($G968:S968)-SUM($G970:S970)+SUM($G967:S967)-SUM($G969:S969)+$B971-SUM($G971:S971)</f>
        <v>5287</v>
      </c>
      <c r="T973" s="235">
        <f>SUM($G968:T968)-SUM($G970:T970)+SUM($G967:T967)-SUM($G969:T969)+$B971-SUM($G971:T971)</f>
        <v>5287</v>
      </c>
      <c r="U973" s="235">
        <f>SUM($G968:U968)-SUM($G970:U970)+SUM($G967:U967)-SUM($G969:U969)+$B971-SUM($G971:U971)</f>
        <v>5287</v>
      </c>
      <c r="V973" s="235">
        <f>SUM($G968:V968)-SUM($G970:V970)+SUM($G967:V967)-SUM($G969:V969)+$B971-SUM($G971:V971)</f>
        <v>5287</v>
      </c>
      <c r="W973" s="235">
        <f>SUM($G968:W968)-SUM($G970:W970)+SUM($G967:W967)-SUM($G969:W969)+$B971-SUM($G971:W971)</f>
        <v>5287</v>
      </c>
      <c r="X973" s="235">
        <f>SUM($G968:X968)-SUM($G970:X970)+SUM($G967:X967)-SUM($G969:X969)+$B971-SUM($G971:X971)</f>
        <v>5287</v>
      </c>
      <c r="Y973" s="235">
        <f>SUM($G968:Y968)-SUM($G970:Y970)+SUM($G967:Y967)-SUM($G969:Y969)+$B971-SUM($G971:Y971)</f>
        <v>5287</v>
      </c>
      <c r="Z973" s="235">
        <f>SUM($G968:Z968)-SUM($G970:Z970)+SUM($G967:Z967)-SUM($G969:Z969)+$B971-SUM($G971:Z971)</f>
        <v>5287</v>
      </c>
      <c r="AA973" s="235">
        <f>SUM($G968:AA968)-SUM($G970:AA970)+SUM($G967:AA967)-SUM($G969:AA969)+$B971-SUM($G971:AA971)</f>
        <v>5287</v>
      </c>
      <c r="AB973" s="235">
        <f>SUM($G968:AB968)-SUM($G970:AB970)+SUM($G967:AB967)-SUM($G969:AB969)+$B971-SUM($G971:AB971)</f>
        <v>5287</v>
      </c>
      <c r="AC973" s="235">
        <f>SUM($G968:AC968)-SUM($G970:AC970)+SUM($G967:AC967)-SUM($G969:AC969)+$B971-SUM($G971:AC971)</f>
        <v>5287</v>
      </c>
      <c r="AD973" s="235">
        <f>SUM($G968:AD968)-SUM($G970:AD970)+SUM($G967:AD967)-SUM($G969:AD969)+$B971-SUM($G971:AD971)</f>
        <v>5287</v>
      </c>
      <c r="AE973" s="235">
        <f>SUM($G968:AE968)-SUM($G970:AE970)+SUM($G967:AE967)-SUM($G969:AE969)+$B971-SUM($G971:AE971)</f>
        <v>5287</v>
      </c>
      <c r="AF973" s="235">
        <f>SUM($G968:AF968)-SUM($G970:AF970)+SUM($G967:AF967)-SUM($G969:AF969)+$B971-SUM($G971:AF971)</f>
        <v>5287</v>
      </c>
      <c r="AG973" s="235">
        <f>SUM($G968:AG968)-SUM($G970:AG970)+SUM($G967:AG967)-SUM($G969:AG969)+$B971-SUM($G971:AG971)</f>
        <v>5287</v>
      </c>
      <c r="AH973" s="235">
        <f>SUM($G968:AH968)-SUM($G970:AH970)+SUM($G967:AH967)-SUM($G969:AH969)+$B971-SUM($G971:AH971)</f>
        <v>5287</v>
      </c>
      <c r="AI973" s="235">
        <f>SUM($G968:AI968)-SUM($G970:AI970)+SUM($G967:AI967)-SUM($G969:AI969)+$B971-SUM($G971:AI971)</f>
        <v>5287</v>
      </c>
      <c r="AJ973" s="235">
        <f>SUM($G968:AJ968)-SUM($G970:AJ970)+SUM($G967:AJ967)-SUM($G969:AJ969)+$B971-SUM($G971:AJ971)</f>
        <v>5287</v>
      </c>
      <c r="AK973" s="235">
        <f>SUM($G968:AK968)-SUM($G970:AK970)+SUM($G967:AK967)-SUM($G969:AK969)+$B971-SUM($G971:AK971)</f>
        <v>5287</v>
      </c>
      <c r="AL973" s="235">
        <f>SUM($G968:AL968)-SUM($G970:AL970)+SUM($G967:AL967)-SUM($G969:AL969)+$B971-SUM($G971:AL971)</f>
        <v>5287</v>
      </c>
      <c r="AM973" s="235">
        <f>SUM($G968:AM968)-SUM($G970:AM970)+SUM($G967:AM967)-SUM($G969:AM969)+$B971-SUM($G971:AM971)</f>
        <v>5287</v>
      </c>
      <c r="AN973" s="235">
        <f>SUM($G968:AN968)-SUM($G970:AN970)+SUM($G967:AN967)-SUM($G969:AN969)+$B971-SUM($G971:AN971)</f>
        <v>5287</v>
      </c>
      <c r="AO973" s="235">
        <f>SUM($G968:AO968)-SUM($G970:AO970)+SUM($G967:AO967)-SUM($G969:AO969)+$B971-SUM($G971:AO971)</f>
        <v>5287</v>
      </c>
      <c r="AP973" s="235">
        <f>SUM($G968:AP968)-SUM($G970:AP970)+SUM($G967:AP967)-SUM($G969:AP969)+$B971-SUM($G971:AP971)</f>
        <v>5287</v>
      </c>
      <c r="AQ973" s="235">
        <f>SUM($G968:AQ968)-SUM($G970:AQ970)+SUM($G967:AQ967)-SUM($G969:AQ969)+$B971-SUM($G971:AQ971)</f>
        <v>5287</v>
      </c>
      <c r="AR973" s="235">
        <f>SUM($G968:AR968)-SUM($G970:AR970)+SUM($G967:AR967)-SUM($G969:AR969)+$B971-SUM($G971:AR971)</f>
        <v>5287</v>
      </c>
      <c r="AS973" s="235">
        <f>SUM($G968:AS968)-SUM($G970:AS970)+SUM($G967:AS967)-SUM($G969:AS969)+$B971-SUM($G971:AS971)</f>
        <v>5287</v>
      </c>
      <c r="AT973" s="235">
        <f>SUM($G968:AT968)-SUM($G970:AT970)+SUM($G967:AT967)-SUM($G969:AT969)+$B971-SUM($G971:AT971)</f>
        <v>5287</v>
      </c>
      <c r="AU973" s="235">
        <f>SUM($G968:AU968)-SUM($G970:AU970)+SUM($G967:AU967)-SUM($G969:AU969)+$B971-SUM($G971:AU971)</f>
        <v>5287</v>
      </c>
      <c r="AV973" s="235">
        <f>SUM($G968:AV968)-SUM($G970:AV970)+SUM($G967:AV967)-SUM($G969:AV969)+$B971-SUM($G971:AV971)</f>
        <v>5287</v>
      </c>
      <c r="AW973" s="58"/>
      <c r="AX973" s="142"/>
    </row>
    <row r="974" spans="1:50" hidden="1" outlineLevel="1" x14ac:dyDescent="0.2">
      <c r="A974" s="58" t="str">
        <f ca="1">Language!A$1151</f>
        <v>Отложенный возврат НДС</v>
      </c>
      <c r="B974" s="44"/>
      <c r="C974" s="124" t="str">
        <f t="shared" ca="1" si="3650"/>
        <v>тыс. руб.</v>
      </c>
      <c r="D974" s="100"/>
      <c r="E974" s="100"/>
      <c r="F974" s="100" t="s">
        <v>754</v>
      </c>
      <c r="G974" s="235">
        <f ca="1">IF(Prj_VAT=2,IF(G$2=1,0,F974)-MIN(G972,0)+IF(AND(Параметры!$B$74=2,Проект!G$2&gt;=Параметры!$B$75), MIN(0,OFFSET(G972, 0, -Параметры!$B$75)), 0),MAX(IF(G$2=1,0,F974)-G972,0))</f>
        <v>0</v>
      </c>
      <c r="H974" s="235">
        <f ca="1">IF(Prj_VAT=2,IF(H$2=1,0,G974)-MIN(H972,0)+IF(AND(Параметры!$B$74=2,Проект!H$2&gt;=Параметры!$B$75), MIN(0,OFFSET(H972, 0, -Параметры!$B$75)), 0),MAX(IF(H$2=1,0,G974)-H972,0))</f>
        <v>0</v>
      </c>
      <c r="I974" s="235">
        <f ca="1">IF(Prj_VAT=2,IF(I$2=1,0,H974)-MIN(I972,0)+IF(AND(Параметры!$B$74=2,Проект!I$2&gt;=Параметры!$B$75), MIN(0,OFFSET(I972, 0, -Параметры!$B$75)), 0),MAX(IF(I$2=1,0,H974)-I972,0))</f>
        <v>0</v>
      </c>
      <c r="J974" s="235">
        <f ca="1">IF(Prj_VAT=2,IF(J$2=1,0,I974)-MIN(J972,0)+IF(AND(Параметры!$B$74=2,Проект!J$2&gt;=Параметры!$B$75), MIN(0,OFFSET(J972, 0, -Параметры!$B$75)), 0),MAX(IF(J$2=1,0,I974)-J972,0))</f>
        <v>0</v>
      </c>
      <c r="K974" s="235">
        <f ca="1">IF(Prj_VAT=2,IF(K$2=1,0,J974)-MIN(K972,0)+IF(AND(Параметры!$B$74=2,Проект!K$2&gt;=Параметры!$B$75), MIN(0,OFFSET(K972, 0, -Параметры!$B$75)), 0),MAX(IF(K$2=1,0,J974)-K972,0))</f>
        <v>0</v>
      </c>
      <c r="L974" s="235">
        <f ca="1">IF(Prj_VAT=2,IF(L$2=1,0,K974)-MIN(L972,0)+IF(AND(Параметры!$B$74=2,Проект!L$2&gt;=Параметры!$B$75), MIN(0,OFFSET(L972, 0, -Параметры!$B$75)), 0),MAX(IF(L$2=1,0,K974)-L972,0))</f>
        <v>0</v>
      </c>
      <c r="M974" s="235">
        <f ca="1">IF(Prj_VAT=2,IF(M$2=1,0,L974)-MIN(M972,0)+IF(AND(Параметры!$B$74=2,Проект!M$2&gt;=Параметры!$B$75), MIN(0,OFFSET(M972, 0, -Параметры!$B$75)), 0),MAX(IF(M$2=1,0,L974)-M972,0))</f>
        <v>0</v>
      </c>
      <c r="N974" s="235">
        <f ca="1">IF(Prj_VAT=2,IF(N$2=1,0,M974)-MIN(N972,0)+IF(AND(Параметры!$B$74=2,Проект!N$2&gt;=Параметры!$B$75), MIN(0,OFFSET(N972, 0, -Параметры!$B$75)), 0),MAX(IF(N$2=1,0,M974)-N972,0))</f>
        <v>0</v>
      </c>
      <c r="O974" s="235">
        <f ca="1">IF(Prj_VAT=2,IF(O$2=1,0,N974)-MIN(O972,0)+IF(AND(Параметры!$B$74=2,Проект!O$2&gt;=Параметры!$B$75), MIN(0,OFFSET(O972, 0, -Параметры!$B$75)), 0),MAX(IF(O$2=1,0,N974)-O972,0))</f>
        <v>0</v>
      </c>
      <c r="P974" s="235">
        <f ca="1">IF(Prj_VAT=2,IF(P$2=1,0,O974)-MIN(P972,0)+IF(AND(Параметры!$B$74=2,Проект!P$2&gt;=Параметры!$B$75), MIN(0,OFFSET(P972, 0, -Параметры!$B$75)), 0),MAX(IF(P$2=1,0,O974)-P972,0))</f>
        <v>0</v>
      </c>
      <c r="Q974" s="235">
        <f ca="1">IF(Prj_VAT=2,IF(Q$2=1,0,P974)-MIN(Q972,0)+IF(AND(Параметры!$B$74=2,Проект!Q$2&gt;=Параметры!$B$75), MIN(0,OFFSET(Q972, 0, -Параметры!$B$75)), 0),MAX(IF(Q$2=1,0,P974)-Q972,0))</f>
        <v>0</v>
      </c>
      <c r="R974" s="235">
        <f ca="1">IF(Prj_VAT=2,IF(R$2=1,0,Q974)-MIN(R972,0)+IF(AND(Параметры!$B$74=2,Проект!R$2&gt;=Параметры!$B$75), MIN(0,OFFSET(R972, 0, -Параметры!$B$75)), 0),MAX(IF(R$2=1,0,Q974)-R972,0))</f>
        <v>0</v>
      </c>
      <c r="S974" s="235">
        <f ca="1">IF(Prj_VAT=2,IF(S$2=1,0,R974)-MIN(S972,0)+IF(AND(Параметры!$B$74=2,Проект!S$2&gt;=Параметры!$B$75), MIN(0,OFFSET(S972, 0, -Параметры!$B$75)), 0),MAX(IF(S$2=1,0,R974)-S972,0))</f>
        <v>0</v>
      </c>
      <c r="T974" s="235">
        <f ca="1">IF(Prj_VAT=2,IF(T$2=1,0,S974)-MIN(T972,0)+IF(AND(Параметры!$B$74=2,Проект!T$2&gt;=Параметры!$B$75), MIN(0,OFFSET(T972, 0, -Параметры!$B$75)), 0),MAX(IF(T$2=1,0,S974)-T972,0))</f>
        <v>0</v>
      </c>
      <c r="U974" s="235">
        <f ca="1">IF(Prj_VAT=2,IF(U$2=1,0,T974)-MIN(U972,0)+IF(AND(Параметры!$B$74=2,Проект!U$2&gt;=Параметры!$B$75), MIN(0,OFFSET(U972, 0, -Параметры!$B$75)), 0),MAX(IF(U$2=1,0,T974)-U972,0))</f>
        <v>0</v>
      </c>
      <c r="V974" s="235">
        <f ca="1">IF(Prj_VAT=2,IF(V$2=1,0,U974)-MIN(V972,0)+IF(AND(Параметры!$B$74=2,Проект!V$2&gt;=Параметры!$B$75), MIN(0,OFFSET(V972, 0, -Параметры!$B$75)), 0),MAX(IF(V$2=1,0,U974)-V972,0))</f>
        <v>0</v>
      </c>
      <c r="W974" s="235">
        <f ca="1">IF(Prj_VAT=2,IF(W$2=1,0,V974)-MIN(W972,0)+IF(AND(Параметры!$B$74=2,Проект!W$2&gt;=Параметры!$B$75), MIN(0,OFFSET(W972, 0, -Параметры!$B$75)), 0),MAX(IF(W$2=1,0,V974)-W972,0))</f>
        <v>0</v>
      </c>
      <c r="X974" s="235">
        <f ca="1">IF(Prj_VAT=2,IF(X$2=1,0,W974)-MIN(X972,0)+IF(AND(Параметры!$B$74=2,Проект!X$2&gt;=Параметры!$B$75), MIN(0,OFFSET(X972, 0, -Параметры!$B$75)), 0),MAX(IF(X$2=1,0,W974)-X972,0))</f>
        <v>0</v>
      </c>
      <c r="Y974" s="235">
        <f ca="1">IF(Prj_VAT=2,IF(Y$2=1,0,X974)-MIN(Y972,0)+IF(AND(Параметры!$B$74=2,Проект!Y$2&gt;=Параметры!$B$75), MIN(0,OFFSET(Y972, 0, -Параметры!$B$75)), 0),MAX(IF(Y$2=1,0,X974)-Y972,0))</f>
        <v>0</v>
      </c>
      <c r="Z974" s="235">
        <f ca="1">IF(Prj_VAT=2,IF(Z$2=1,0,Y974)-MIN(Z972,0)+IF(AND(Параметры!$B$74=2,Проект!Z$2&gt;=Параметры!$B$75), MIN(0,OFFSET(Z972, 0, -Параметры!$B$75)), 0),MAX(IF(Z$2=1,0,Y974)-Z972,0))</f>
        <v>0</v>
      </c>
      <c r="AA974" s="235">
        <f ca="1">IF(Prj_VAT=2,IF(AA$2=1,0,Z974)-MIN(AA972,0)+IF(AND(Параметры!$B$74=2,Проект!AA$2&gt;=Параметры!$B$75), MIN(0,OFFSET(AA972, 0, -Параметры!$B$75)), 0),MAX(IF(AA$2=1,0,Z974)-AA972,0))</f>
        <v>0</v>
      </c>
      <c r="AB974" s="235">
        <f ca="1">IF(Prj_VAT=2,IF(AB$2=1,0,AA974)-MIN(AB972,0)+IF(AND(Параметры!$B$74=2,Проект!AB$2&gt;=Параметры!$B$75), MIN(0,OFFSET(AB972, 0, -Параметры!$B$75)), 0),MAX(IF(AB$2=1,0,AA974)-AB972,0))</f>
        <v>0</v>
      </c>
      <c r="AC974" s="235">
        <f ca="1">IF(Prj_VAT=2,IF(AC$2=1,0,AB974)-MIN(AC972,0)+IF(AND(Параметры!$B$74=2,Проект!AC$2&gt;=Параметры!$B$75), MIN(0,OFFSET(AC972, 0, -Параметры!$B$75)), 0),MAX(IF(AC$2=1,0,AB974)-AC972,0))</f>
        <v>0</v>
      </c>
      <c r="AD974" s="235">
        <f ca="1">IF(Prj_VAT=2,IF(AD$2=1,0,AC974)-MIN(AD972,0)+IF(AND(Параметры!$B$74=2,Проект!AD$2&gt;=Параметры!$B$75), MIN(0,OFFSET(AD972, 0, -Параметры!$B$75)), 0),MAX(IF(AD$2=1,0,AC974)-AD972,0))</f>
        <v>0</v>
      </c>
      <c r="AE974" s="235">
        <f ca="1">IF(Prj_VAT=2,IF(AE$2=1,0,AD974)-MIN(AE972,0)+IF(AND(Параметры!$B$74=2,Проект!AE$2&gt;=Параметры!$B$75), MIN(0,OFFSET(AE972, 0, -Параметры!$B$75)), 0),MAX(IF(AE$2=1,0,AD974)-AE972,0))</f>
        <v>0</v>
      </c>
      <c r="AF974" s="235">
        <f ca="1">IF(Prj_VAT=2,IF(AF$2=1,0,AE974)-MIN(AF972,0)+IF(AND(Параметры!$B$74=2,Проект!AF$2&gt;=Параметры!$B$75), MIN(0,OFFSET(AF972, 0, -Параметры!$B$75)), 0),MAX(IF(AF$2=1,0,AE974)-AF972,0))</f>
        <v>0</v>
      </c>
      <c r="AG974" s="235">
        <f ca="1">IF(Prj_VAT=2,IF(AG$2=1,0,AF974)-MIN(AG972,0)+IF(AND(Параметры!$B$74=2,Проект!AG$2&gt;=Параметры!$B$75), MIN(0,OFFSET(AG972, 0, -Параметры!$B$75)), 0),MAX(IF(AG$2=1,0,AF974)-AG972,0))</f>
        <v>0</v>
      </c>
      <c r="AH974" s="235">
        <f ca="1">IF(Prj_VAT=2,IF(AH$2=1,0,AG974)-MIN(AH972,0)+IF(AND(Параметры!$B$74=2,Проект!AH$2&gt;=Параметры!$B$75), MIN(0,OFFSET(AH972, 0, -Параметры!$B$75)), 0),MAX(IF(AH$2=1,0,AG974)-AH972,0))</f>
        <v>0</v>
      </c>
      <c r="AI974" s="235">
        <f ca="1">IF(Prj_VAT=2,IF(AI$2=1,0,AH974)-MIN(AI972,0)+IF(AND(Параметры!$B$74=2,Проект!AI$2&gt;=Параметры!$B$75), MIN(0,OFFSET(AI972, 0, -Параметры!$B$75)), 0),MAX(IF(AI$2=1,0,AH974)-AI972,0))</f>
        <v>0</v>
      </c>
      <c r="AJ974" s="235">
        <f ca="1">IF(Prj_VAT=2,IF(AJ$2=1,0,AI974)-MIN(AJ972,0)+IF(AND(Параметры!$B$74=2,Проект!AJ$2&gt;=Параметры!$B$75), MIN(0,OFFSET(AJ972, 0, -Параметры!$B$75)), 0),MAX(IF(AJ$2=1,0,AI974)-AJ972,0))</f>
        <v>0</v>
      </c>
      <c r="AK974" s="235">
        <f ca="1">IF(Prj_VAT=2,IF(AK$2=1,0,AJ974)-MIN(AK972,0)+IF(AND(Параметры!$B$74=2,Проект!AK$2&gt;=Параметры!$B$75), MIN(0,OFFSET(AK972, 0, -Параметры!$B$75)), 0),MAX(IF(AK$2=1,0,AJ974)-AK972,0))</f>
        <v>0</v>
      </c>
      <c r="AL974" s="235">
        <f ca="1">IF(Prj_VAT=2,IF(AL$2=1,0,AK974)-MIN(AL972,0)+IF(AND(Параметры!$B$74=2,Проект!AL$2&gt;=Параметры!$B$75), MIN(0,OFFSET(AL972, 0, -Параметры!$B$75)), 0),MAX(IF(AL$2=1,0,AK974)-AL972,0))</f>
        <v>0</v>
      </c>
      <c r="AM974" s="235">
        <f ca="1">IF(Prj_VAT=2,IF(AM$2=1,0,AL974)-MIN(AM972,0)+IF(AND(Параметры!$B$74=2,Проект!AM$2&gt;=Параметры!$B$75), MIN(0,OFFSET(AM972, 0, -Параметры!$B$75)), 0),MAX(IF(AM$2=1,0,AL974)-AM972,0))</f>
        <v>0</v>
      </c>
      <c r="AN974" s="235">
        <f ca="1">IF(Prj_VAT=2,IF(AN$2=1,0,AM974)-MIN(AN972,0)+IF(AND(Параметры!$B$74=2,Проект!AN$2&gt;=Параметры!$B$75), MIN(0,OFFSET(AN972, 0, -Параметры!$B$75)), 0),MAX(IF(AN$2=1,0,AM974)-AN972,0))</f>
        <v>0</v>
      </c>
      <c r="AO974" s="235">
        <f ca="1">IF(Prj_VAT=2,IF(AO$2=1,0,AN974)-MIN(AO972,0)+IF(AND(Параметры!$B$74=2,Проект!AO$2&gt;=Параметры!$B$75), MIN(0,OFFSET(AO972, 0, -Параметры!$B$75)), 0),MAX(IF(AO$2=1,0,AN974)-AO972,0))</f>
        <v>0</v>
      </c>
      <c r="AP974" s="235">
        <f ca="1">IF(Prj_VAT=2,IF(AP$2=1,0,AO974)-MIN(AP972,0)+IF(AND(Параметры!$B$74=2,Проект!AP$2&gt;=Параметры!$B$75), MIN(0,OFFSET(AP972, 0, -Параметры!$B$75)), 0),MAX(IF(AP$2=1,0,AO974)-AP972,0))</f>
        <v>0</v>
      </c>
      <c r="AQ974" s="235">
        <f ca="1">IF(Prj_VAT=2,IF(AQ$2=1,0,AP974)-MIN(AQ972,0)+IF(AND(Параметры!$B$74=2,Проект!AQ$2&gt;=Параметры!$B$75), MIN(0,OFFSET(AQ972, 0, -Параметры!$B$75)), 0),MAX(IF(AQ$2=1,0,AP974)-AQ972,0))</f>
        <v>0</v>
      </c>
      <c r="AR974" s="235">
        <f ca="1">IF(Prj_VAT=2,IF(AR$2=1,0,AQ974)-MIN(AR972,0)+IF(AND(Параметры!$B$74=2,Проект!AR$2&gt;=Параметры!$B$75), MIN(0,OFFSET(AR972, 0, -Параметры!$B$75)), 0),MAX(IF(AR$2=1,0,AQ974)-AR972,0))</f>
        <v>0</v>
      </c>
      <c r="AS974" s="235">
        <f ca="1">IF(Prj_VAT=2,IF(AS$2=1,0,AR974)-MIN(AS972,0)+IF(AND(Параметры!$B$74=2,Проект!AS$2&gt;=Параметры!$B$75), MIN(0,OFFSET(AS972, 0, -Параметры!$B$75)), 0),MAX(IF(AS$2=1,0,AR974)-AS972,0))</f>
        <v>0</v>
      </c>
      <c r="AT974" s="235">
        <f ca="1">IF(Prj_VAT=2,IF(AT$2=1,0,AS974)-MIN(AT972,0)+IF(AND(Параметры!$B$74=2,Проект!AT$2&gt;=Параметры!$B$75), MIN(0,OFFSET(AT972, 0, -Параметры!$B$75)), 0),MAX(IF(AT$2=1,0,AS974)-AT972,0))</f>
        <v>0</v>
      </c>
      <c r="AU974" s="235">
        <f ca="1">IF(Prj_VAT=2,IF(AU$2=1,0,AT974)-MIN(AU972,0)+IF(AND(Параметры!$B$74=2,Проект!AU$2&gt;=Параметры!$B$75), MIN(0,OFFSET(AU972, 0, -Параметры!$B$75)), 0),MAX(IF(AU$2=1,0,AT974)-AU972,0))</f>
        <v>0</v>
      </c>
      <c r="AV974" s="235">
        <f ca="1">IF(Prj_VAT=2,IF(AV$2=1,0,AU974)-MIN(AV972,0)+IF(AND(Параметры!$B$74=2,Проект!AV$2&gt;=Параметры!$B$75), MIN(0,OFFSET(AV972, 0, -Параметры!$B$75)), 0),MAX(IF(AV$2=1,0,AU974)-AV972,0))</f>
        <v>0</v>
      </c>
      <c r="AW974" s="58"/>
      <c r="AX974" s="142">
        <f ca="1">SUM(G974:AW974)</f>
        <v>0</v>
      </c>
    </row>
    <row r="975" spans="1:50" x14ac:dyDescent="0.2"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</row>
    <row r="976" spans="1:50" collapsed="1" x14ac:dyDescent="0.2">
      <c r="A976" s="98" t="str">
        <f ca="1">Language!A$1152</f>
        <v>Начисленный налог на имущество</v>
      </c>
      <c r="C976" s="124" t="str">
        <f t="shared" ca="1" si="3650"/>
        <v>тыс. руб.</v>
      </c>
      <c r="F976" s="100" t="s">
        <v>753</v>
      </c>
      <c r="G976" s="143">
        <f ca="1">((G979-G980)*Параметры!G96+(G981-G982)*Параметры!G97)*Параметры!G$31/12</f>
        <v>0</v>
      </c>
      <c r="H976" s="143">
        <f ca="1">((H979-H980)*Параметры!H96+(H981-H982)*Параметры!H97)*Параметры!H$31/12</f>
        <v>0</v>
      </c>
      <c r="I976" s="143">
        <f ca="1">((I979-I980)*Параметры!I96+(I981-I982)*Параметры!I97)*Параметры!I$31/12</f>
        <v>0</v>
      </c>
      <c r="J976" s="143">
        <f ca="1">((J979-J980)*Параметры!J96+(J981-J982)*Параметры!J97)*Параметры!J$31/12</f>
        <v>0</v>
      </c>
      <c r="K976" s="143">
        <f ca="1">((K979-K980)*Параметры!K96+(K981-K982)*Параметры!K97)*Параметры!K$31/12</f>
        <v>0</v>
      </c>
      <c r="L976" s="143">
        <f ca="1">((L979-L980)*Параметры!L96+(L981-L982)*Параметры!L97)*Параметры!L$31/12</f>
        <v>0</v>
      </c>
      <c r="M976" s="143">
        <f ca="1">((M979-M980)*Параметры!M96+(M981-M982)*Параметры!M97)*Параметры!M$31/12</f>
        <v>0</v>
      </c>
      <c r="N976" s="143">
        <f ca="1">((N979-N980)*Параметры!N96+(N981-N982)*Параметры!N97)*Параметры!N$31/12</f>
        <v>0</v>
      </c>
      <c r="O976" s="143">
        <f ca="1">((O979-O980)*Параметры!O96+(O981-O982)*Параметры!O97)*Параметры!O$31/12</f>
        <v>0</v>
      </c>
      <c r="P976" s="143">
        <f ca="1">((P979-P980)*Параметры!P96+(P981-P982)*Параметры!P97)*Параметры!P$31/12</f>
        <v>0</v>
      </c>
      <c r="Q976" s="143">
        <f ca="1">((Q979-Q980)*Параметры!Q96+(Q981-Q982)*Параметры!Q97)*Параметры!Q$31/12</f>
        <v>0</v>
      </c>
      <c r="R976" s="143">
        <f ca="1">((R979-R980)*Параметры!R96+(R981-R982)*Параметры!R97)*Параметры!R$31/12</f>
        <v>0</v>
      </c>
      <c r="S976" s="143">
        <f ca="1">((S979-S980)*Параметры!S96+(S981-S982)*Параметры!S97)*Параметры!S$31/12</f>
        <v>0</v>
      </c>
      <c r="T976" s="143">
        <f ca="1">((T979-T980)*Параметры!T96+(T981-T982)*Параметры!T97)*Параметры!T$31/12</f>
        <v>0</v>
      </c>
      <c r="U976" s="143">
        <f ca="1">((U979-U980)*Параметры!U96+(U981-U982)*Параметры!U97)*Параметры!U$31/12</f>
        <v>0</v>
      </c>
      <c r="V976" s="143">
        <f ca="1">((V979-V980)*Параметры!V96+(V981-V982)*Параметры!V97)*Параметры!V$31/12</f>
        <v>0</v>
      </c>
      <c r="W976" s="143">
        <f ca="1">((W979-W980)*Параметры!W96+(W981-W982)*Параметры!W97)*Параметры!W$31/12</f>
        <v>0</v>
      </c>
      <c r="X976" s="143">
        <f ca="1">((X979-X980)*Параметры!X96+(X981-X982)*Параметры!X97)*Параметры!X$31/12</f>
        <v>0</v>
      </c>
      <c r="Y976" s="143">
        <f ca="1">((Y979-Y980)*Параметры!Y96+(Y981-Y982)*Параметры!Y97)*Параметры!Y$31/12</f>
        <v>0</v>
      </c>
      <c r="Z976" s="143">
        <f ca="1">((Z979-Z980)*Параметры!Z96+(Z981-Z982)*Параметры!Z97)*Параметры!Z$31/12</f>
        <v>0</v>
      </c>
      <c r="AA976" s="143">
        <f ca="1">((AA979-AA980)*Параметры!AA96+(AA981-AA982)*Параметры!AA97)*Параметры!AA$31/12</f>
        <v>0</v>
      </c>
      <c r="AB976" s="143">
        <f ca="1">((AB979-AB980)*Параметры!AB96+(AB981-AB982)*Параметры!AB97)*Параметры!AB$31/12</f>
        <v>0</v>
      </c>
      <c r="AC976" s="143">
        <f ca="1">((AC979-AC980)*Параметры!AC96+(AC981-AC982)*Параметры!AC97)*Параметры!AC$31/12</f>
        <v>0</v>
      </c>
      <c r="AD976" s="143">
        <f ca="1">((AD979-AD980)*Параметры!AD96+(AD981-AD982)*Параметры!AD97)*Параметры!AD$31/12</f>
        <v>0</v>
      </c>
      <c r="AE976" s="143">
        <f ca="1">((AE979-AE980)*Параметры!AE96+(AE981-AE982)*Параметры!AE97)*Параметры!AE$31/12</f>
        <v>0</v>
      </c>
      <c r="AF976" s="143">
        <f ca="1">((AF979-AF980)*Параметры!AF96+(AF981-AF982)*Параметры!AF97)*Параметры!AF$31/12</f>
        <v>0</v>
      </c>
      <c r="AG976" s="143">
        <f ca="1">((AG979-AG980)*Параметры!AG96+(AG981-AG982)*Параметры!AG97)*Параметры!AG$31/12</f>
        <v>0</v>
      </c>
      <c r="AH976" s="143">
        <f ca="1">((AH979-AH980)*Параметры!AH96+(AH981-AH982)*Параметры!AH97)*Параметры!AH$31/12</f>
        <v>0</v>
      </c>
      <c r="AI976" s="143">
        <f ca="1">((AI979-AI980)*Параметры!AI96+(AI981-AI982)*Параметры!AI97)*Параметры!AI$31/12</f>
        <v>0</v>
      </c>
      <c r="AJ976" s="143">
        <f ca="1">((AJ979-AJ980)*Параметры!AJ96+(AJ981-AJ982)*Параметры!AJ97)*Параметры!AJ$31/12</f>
        <v>0</v>
      </c>
      <c r="AK976" s="143">
        <f ca="1">((AK979-AK980)*Параметры!AK96+(AK981-AK982)*Параметры!AK97)*Параметры!AK$31/12</f>
        <v>0</v>
      </c>
      <c r="AL976" s="143">
        <f ca="1">((AL979-AL980)*Параметры!AL96+(AL981-AL982)*Параметры!AL97)*Параметры!AL$31/12</f>
        <v>0</v>
      </c>
      <c r="AM976" s="143">
        <f ca="1">((AM979-AM980)*Параметры!AM96+(AM981-AM982)*Параметры!AM97)*Параметры!AM$31/12</f>
        <v>0</v>
      </c>
      <c r="AN976" s="143">
        <f ca="1">((AN979-AN980)*Параметры!AN96+(AN981-AN982)*Параметры!AN97)*Параметры!AN$31/12</f>
        <v>0</v>
      </c>
      <c r="AO976" s="143">
        <f ca="1">((AO979-AO980)*Параметры!AO96+(AO981-AO982)*Параметры!AO97)*Параметры!AO$31/12</f>
        <v>0</v>
      </c>
      <c r="AP976" s="143">
        <f ca="1">((AP979-AP980)*Параметры!AP96+(AP981-AP982)*Параметры!AP97)*Параметры!AP$31/12</f>
        <v>0</v>
      </c>
      <c r="AQ976" s="143">
        <f ca="1">((AQ979-AQ980)*Параметры!AQ96+(AQ981-AQ982)*Параметры!AQ97)*Параметры!AQ$31/12</f>
        <v>0</v>
      </c>
      <c r="AR976" s="143">
        <f ca="1">((AR979-AR980)*Параметры!AR96+(AR981-AR982)*Параметры!AR97)*Параметры!AR$31/12</f>
        <v>0</v>
      </c>
      <c r="AS976" s="143">
        <f ca="1">((AS979-AS980)*Параметры!AS96+(AS981-AS982)*Параметры!AS97)*Параметры!AS$31/12</f>
        <v>0</v>
      </c>
      <c r="AT976" s="143">
        <f ca="1">((AT979-AT980)*Параметры!AT96+(AT981-AT982)*Параметры!AT97)*Параметры!AT$31/12</f>
        <v>0</v>
      </c>
      <c r="AU976" s="143">
        <f ca="1">((AU979-AU980)*Параметры!AU96+(AU981-AU982)*Параметры!AU97)*Параметры!AU$31/12</f>
        <v>0</v>
      </c>
      <c r="AV976" s="143">
        <f ca="1">((AV979-AV980)*Параметры!AV96+(AV981-AV982)*Параметры!AV97)*Параметры!AV$31/12</f>
        <v>0</v>
      </c>
      <c r="AX976" s="210">
        <f ca="1">SUM(G976:AW976)</f>
        <v>0</v>
      </c>
    </row>
    <row r="977" spans="1:50" hidden="1" outlineLevel="1" x14ac:dyDescent="0.2">
      <c r="A977" s="179" t="str">
        <f ca="1">Language!A$1153</f>
        <v>задолженность по налогу</v>
      </c>
      <c r="B977" s="188"/>
      <c r="C977" s="82" t="str">
        <f t="shared" ca="1" si="3650"/>
        <v>тыс. руб.</v>
      </c>
      <c r="D977" s="155"/>
      <c r="F977" s="100" t="s">
        <v>754</v>
      </c>
      <c r="G977" s="316">
        <f ca="1">IF(AND(Параметры!$B$98=0,G$2&gt;1),F977,G976*Параметры!$B$98/Параметры!G$31)</f>
        <v>0</v>
      </c>
      <c r="H977" s="316">
        <f ca="1">IF(AND(Параметры!$B$98=0,H$2&gt;1),G977,H976*Параметры!$B$98/Параметры!H$31)</f>
        <v>0</v>
      </c>
      <c r="I977" s="316">
        <f ca="1">IF(AND(Параметры!$B$98=0,I$2&gt;1),H977,I976*Параметры!$B$98/Параметры!I$31)</f>
        <v>0</v>
      </c>
      <c r="J977" s="316">
        <f ca="1">IF(AND(Параметры!$B$98=0,J$2&gt;1),I977,J976*Параметры!$B$98/Параметры!J$31)</f>
        <v>0</v>
      </c>
      <c r="K977" s="316">
        <f ca="1">IF(AND(Параметры!$B$98=0,K$2&gt;1),J977,K976*Параметры!$B$98/Параметры!K$31)</f>
        <v>0</v>
      </c>
      <c r="L977" s="316">
        <f ca="1">IF(AND(Параметры!$B$98=0,L$2&gt;1),K977,L976*Параметры!$B$98/Параметры!L$31)</f>
        <v>0</v>
      </c>
      <c r="M977" s="316">
        <f ca="1">IF(AND(Параметры!$B$98=0,M$2&gt;1),L977,M976*Параметры!$B$98/Параметры!M$31)</f>
        <v>0</v>
      </c>
      <c r="N977" s="316">
        <f ca="1">IF(AND(Параметры!$B$98=0,N$2&gt;1),M977,N976*Параметры!$B$98/Параметры!N$31)</f>
        <v>0</v>
      </c>
      <c r="O977" s="316">
        <f ca="1">IF(AND(Параметры!$B$98=0,O$2&gt;1),N977,O976*Параметры!$B$98/Параметры!O$31)</f>
        <v>0</v>
      </c>
      <c r="P977" s="316">
        <f ca="1">IF(AND(Параметры!$B$98=0,P$2&gt;1),O977,P976*Параметры!$B$98/Параметры!P$31)</f>
        <v>0</v>
      </c>
      <c r="Q977" s="316">
        <f ca="1">IF(AND(Параметры!$B$98=0,Q$2&gt;1),P977,Q976*Параметры!$B$98/Параметры!Q$31)</f>
        <v>0</v>
      </c>
      <c r="R977" s="316">
        <f ca="1">IF(AND(Параметры!$B$98=0,R$2&gt;1),Q977,R976*Параметры!$B$98/Параметры!R$31)</f>
        <v>0</v>
      </c>
      <c r="S977" s="316">
        <f ca="1">IF(AND(Параметры!$B$98=0,S$2&gt;1),R977,S976*Параметры!$B$98/Параметры!S$31)</f>
        <v>0</v>
      </c>
      <c r="T977" s="316">
        <f ca="1">IF(AND(Параметры!$B$98=0,T$2&gt;1),S977,T976*Параметры!$B$98/Параметры!T$31)</f>
        <v>0</v>
      </c>
      <c r="U977" s="316">
        <f ca="1">IF(AND(Параметры!$B$98=0,U$2&gt;1),T977,U976*Параметры!$B$98/Параметры!U$31)</f>
        <v>0</v>
      </c>
      <c r="V977" s="316">
        <f ca="1">IF(AND(Параметры!$B$98=0,V$2&gt;1),U977,V976*Параметры!$B$98/Параметры!V$31)</f>
        <v>0</v>
      </c>
      <c r="W977" s="316">
        <f ca="1">IF(AND(Параметры!$B$98=0,W$2&gt;1),V977,W976*Параметры!$B$98/Параметры!W$31)</f>
        <v>0</v>
      </c>
      <c r="X977" s="316">
        <f ca="1">IF(AND(Параметры!$B$98=0,X$2&gt;1),W977,X976*Параметры!$B$98/Параметры!X$31)</f>
        <v>0</v>
      </c>
      <c r="Y977" s="316">
        <f ca="1">IF(AND(Параметры!$B$98=0,Y$2&gt;1),X977,Y976*Параметры!$B$98/Параметры!Y$31)</f>
        <v>0</v>
      </c>
      <c r="Z977" s="316">
        <f ca="1">IF(AND(Параметры!$B$98=0,Z$2&gt;1),Y977,Z976*Параметры!$B$98/Параметры!Z$31)</f>
        <v>0</v>
      </c>
      <c r="AA977" s="316">
        <f ca="1">IF(AND(Параметры!$B$98=0,AA$2&gt;1),Z977,AA976*Параметры!$B$98/Параметры!AA$31)</f>
        <v>0</v>
      </c>
      <c r="AB977" s="316">
        <f ca="1">IF(AND(Параметры!$B$98=0,AB$2&gt;1),AA977,AB976*Параметры!$B$98/Параметры!AB$31)</f>
        <v>0</v>
      </c>
      <c r="AC977" s="316">
        <f ca="1">IF(AND(Параметры!$B$98=0,AC$2&gt;1),AB977,AC976*Параметры!$B$98/Параметры!AC$31)</f>
        <v>0</v>
      </c>
      <c r="AD977" s="316">
        <f ca="1">IF(AND(Параметры!$B$98=0,AD$2&gt;1),AC977,AD976*Параметры!$B$98/Параметры!AD$31)</f>
        <v>0</v>
      </c>
      <c r="AE977" s="316">
        <f ca="1">IF(AND(Параметры!$B$98=0,AE$2&gt;1),AD977,AE976*Параметры!$B$98/Параметры!AE$31)</f>
        <v>0</v>
      </c>
      <c r="AF977" s="316">
        <f ca="1">IF(AND(Параметры!$B$98=0,AF$2&gt;1),AE977,AF976*Параметры!$B$98/Параметры!AF$31)</f>
        <v>0</v>
      </c>
      <c r="AG977" s="316">
        <f ca="1">IF(AND(Параметры!$B$98=0,AG$2&gt;1),AF977,AG976*Параметры!$B$98/Параметры!AG$31)</f>
        <v>0</v>
      </c>
      <c r="AH977" s="316">
        <f ca="1">IF(AND(Параметры!$B$98=0,AH$2&gt;1),AG977,AH976*Параметры!$B$98/Параметры!AH$31)</f>
        <v>0</v>
      </c>
      <c r="AI977" s="316">
        <f ca="1">IF(AND(Параметры!$B$98=0,AI$2&gt;1),AH977,AI976*Параметры!$B$98/Параметры!AI$31)</f>
        <v>0</v>
      </c>
      <c r="AJ977" s="316">
        <f ca="1">IF(AND(Параметры!$B$98=0,AJ$2&gt;1),AI977,AJ976*Параметры!$B$98/Параметры!AJ$31)</f>
        <v>0</v>
      </c>
      <c r="AK977" s="316">
        <f ca="1">IF(AND(Параметры!$B$98=0,AK$2&gt;1),AJ977,AK976*Параметры!$B$98/Параметры!AK$31)</f>
        <v>0</v>
      </c>
      <c r="AL977" s="316">
        <f ca="1">IF(AND(Параметры!$B$98=0,AL$2&gt;1),AK977,AL976*Параметры!$B$98/Параметры!AL$31)</f>
        <v>0</v>
      </c>
      <c r="AM977" s="316">
        <f ca="1">IF(AND(Параметры!$B$98=0,AM$2&gt;1),AL977,AM976*Параметры!$B$98/Параметры!AM$31)</f>
        <v>0</v>
      </c>
      <c r="AN977" s="316">
        <f ca="1">IF(AND(Параметры!$B$98=0,AN$2&gt;1),AM977,AN976*Параметры!$B$98/Параметры!AN$31)</f>
        <v>0</v>
      </c>
      <c r="AO977" s="316">
        <f ca="1">IF(AND(Параметры!$B$98=0,AO$2&gt;1),AN977,AO976*Параметры!$B$98/Параметры!AO$31)</f>
        <v>0</v>
      </c>
      <c r="AP977" s="316">
        <f ca="1">IF(AND(Параметры!$B$98=0,AP$2&gt;1),AO977,AP976*Параметры!$B$98/Параметры!AP$31)</f>
        <v>0</v>
      </c>
      <c r="AQ977" s="316">
        <f ca="1">IF(AND(Параметры!$B$98=0,AQ$2&gt;1),AP977,AQ976*Параметры!$B$98/Параметры!AQ$31)</f>
        <v>0</v>
      </c>
      <c r="AR977" s="316">
        <f ca="1">IF(AND(Параметры!$B$98=0,AR$2&gt;1),AQ977,AR976*Параметры!$B$98/Параметры!AR$31)</f>
        <v>0</v>
      </c>
      <c r="AS977" s="316">
        <f ca="1">IF(AND(Параметры!$B$98=0,AS$2&gt;1),AR977,AS976*Параметры!$B$98/Параметры!AS$31)</f>
        <v>0</v>
      </c>
      <c r="AT977" s="316">
        <f ca="1">IF(AND(Параметры!$B$98=0,AT$2&gt;1),AS977,AT976*Параметры!$B$98/Параметры!AT$31)</f>
        <v>0</v>
      </c>
      <c r="AU977" s="316">
        <f ca="1">IF(AND(Параметры!$B$98=0,AU$2&gt;1),AT977,AU976*Параметры!$B$98/Параметры!AU$31)</f>
        <v>0</v>
      </c>
      <c r="AV977" s="316">
        <f ca="1">IF(AND(Параметры!$B$98=0,AV$2&gt;1),AU977,AV976*Параметры!$B$98/Параметры!AV$31)</f>
        <v>0</v>
      </c>
      <c r="AW977" s="168"/>
      <c r="AX977" s="142">
        <f ca="1">SUM(G977:AW977)</f>
        <v>0</v>
      </c>
    </row>
    <row r="978" spans="1:50" hidden="1" outlineLevel="1" x14ac:dyDescent="0.2">
      <c r="A978" s="179" t="str">
        <f ca="1">Language!A$1154</f>
        <v>уплаченный налог на имущество</v>
      </c>
      <c r="B978" s="228"/>
      <c r="C978" s="82" t="str">
        <f t="shared" ca="1" si="3650"/>
        <v>тыс. руб.</v>
      </c>
      <c r="D978" s="236"/>
      <c r="E978" s="236"/>
      <c r="F978" s="100" t="s">
        <v>753</v>
      </c>
      <c r="G978" s="180">
        <f ca="1">G976-IF(G$2=1,G977,G977-F977)</f>
        <v>0</v>
      </c>
      <c r="H978" s="180">
        <f t="shared" ref="H978" ca="1" si="3683">H976-IF(H$2=1,H977,H977-G977)</f>
        <v>0</v>
      </c>
      <c r="I978" s="180">
        <f t="shared" ref="I978" ca="1" si="3684">I976-IF(I$2=1,I977,I977-H977)</f>
        <v>0</v>
      </c>
      <c r="J978" s="180">
        <f t="shared" ref="J978" ca="1" si="3685">J976-IF(J$2=1,J977,J977-I977)</f>
        <v>0</v>
      </c>
      <c r="K978" s="180">
        <f t="shared" ref="K978:AV978" ca="1" si="3686">K976-IF(K$2=1,K977,K977-J977)</f>
        <v>0</v>
      </c>
      <c r="L978" s="180">
        <f t="shared" ca="1" si="3686"/>
        <v>0</v>
      </c>
      <c r="M978" s="180">
        <f t="shared" ca="1" si="3686"/>
        <v>0</v>
      </c>
      <c r="N978" s="180">
        <f t="shared" ca="1" si="3686"/>
        <v>0</v>
      </c>
      <c r="O978" s="180">
        <f t="shared" ca="1" si="3686"/>
        <v>0</v>
      </c>
      <c r="P978" s="180">
        <f t="shared" ca="1" si="3686"/>
        <v>0</v>
      </c>
      <c r="Q978" s="180">
        <f t="shared" ca="1" si="3686"/>
        <v>0</v>
      </c>
      <c r="R978" s="180">
        <f t="shared" ca="1" si="3686"/>
        <v>0</v>
      </c>
      <c r="S978" s="180">
        <f t="shared" ca="1" si="3686"/>
        <v>0</v>
      </c>
      <c r="T978" s="180">
        <f t="shared" ca="1" si="3686"/>
        <v>0</v>
      </c>
      <c r="U978" s="180">
        <f t="shared" ca="1" si="3686"/>
        <v>0</v>
      </c>
      <c r="V978" s="180">
        <f t="shared" ca="1" si="3686"/>
        <v>0</v>
      </c>
      <c r="W978" s="180">
        <f t="shared" ca="1" si="3686"/>
        <v>0</v>
      </c>
      <c r="X978" s="180">
        <f t="shared" ca="1" si="3686"/>
        <v>0</v>
      </c>
      <c r="Y978" s="180">
        <f t="shared" ca="1" si="3686"/>
        <v>0</v>
      </c>
      <c r="Z978" s="180">
        <f t="shared" ca="1" si="3686"/>
        <v>0</v>
      </c>
      <c r="AA978" s="180">
        <f t="shared" ca="1" si="3686"/>
        <v>0</v>
      </c>
      <c r="AB978" s="180">
        <f t="shared" ca="1" si="3686"/>
        <v>0</v>
      </c>
      <c r="AC978" s="180">
        <f t="shared" ca="1" si="3686"/>
        <v>0</v>
      </c>
      <c r="AD978" s="180">
        <f t="shared" ca="1" si="3686"/>
        <v>0</v>
      </c>
      <c r="AE978" s="180">
        <f t="shared" ca="1" si="3686"/>
        <v>0</v>
      </c>
      <c r="AF978" s="180">
        <f t="shared" ca="1" si="3686"/>
        <v>0</v>
      </c>
      <c r="AG978" s="180">
        <f t="shared" ca="1" si="3686"/>
        <v>0</v>
      </c>
      <c r="AH978" s="180">
        <f t="shared" ca="1" si="3686"/>
        <v>0</v>
      </c>
      <c r="AI978" s="180">
        <f t="shared" ca="1" si="3686"/>
        <v>0</v>
      </c>
      <c r="AJ978" s="180">
        <f t="shared" ca="1" si="3686"/>
        <v>0</v>
      </c>
      <c r="AK978" s="180">
        <f t="shared" ca="1" si="3686"/>
        <v>0</v>
      </c>
      <c r="AL978" s="180">
        <f t="shared" ca="1" si="3686"/>
        <v>0</v>
      </c>
      <c r="AM978" s="180">
        <f t="shared" ca="1" si="3686"/>
        <v>0</v>
      </c>
      <c r="AN978" s="180">
        <f t="shared" ca="1" si="3686"/>
        <v>0</v>
      </c>
      <c r="AO978" s="180">
        <f t="shared" ca="1" si="3686"/>
        <v>0</v>
      </c>
      <c r="AP978" s="180">
        <f t="shared" ca="1" si="3686"/>
        <v>0</v>
      </c>
      <c r="AQ978" s="180">
        <f t="shared" ca="1" si="3686"/>
        <v>0</v>
      </c>
      <c r="AR978" s="180">
        <f t="shared" ca="1" si="3686"/>
        <v>0</v>
      </c>
      <c r="AS978" s="180">
        <f t="shared" ca="1" si="3686"/>
        <v>0</v>
      </c>
      <c r="AT978" s="180">
        <f t="shared" ca="1" si="3686"/>
        <v>0</v>
      </c>
      <c r="AU978" s="180">
        <f t="shared" ca="1" si="3686"/>
        <v>0</v>
      </c>
      <c r="AV978" s="180">
        <f t="shared" ca="1" si="3686"/>
        <v>0</v>
      </c>
      <c r="AW978" s="58"/>
      <c r="AX978" s="142">
        <f ca="1">SUM(G978:AW978)</f>
        <v>0</v>
      </c>
    </row>
    <row r="979" spans="1:50" hidden="1" outlineLevel="1" x14ac:dyDescent="0.2">
      <c r="A979" s="38" t="str">
        <f ca="1">Language!A$1155</f>
        <v>Средняя стоимость зданий и сооружений</v>
      </c>
      <c r="C979" s="124" t="str">
        <f t="shared" ca="1" si="3650"/>
        <v>тыс. руб.</v>
      </c>
      <c r="F979" s="100" t="s">
        <v>756</v>
      </c>
      <c r="G979" s="138">
        <f ca="1">(Старт!G72+Проект!G781+ IF(G$2=1, Старт!$B$18, Старт!F72+Проект!F781))/2</f>
        <v>2505264.2012711866</v>
      </c>
      <c r="H979" s="138">
        <f ca="1">(Старт!H72+Проект!H781+ IF(H$2=1, Старт!$B$18, Старт!G72+Проект!G781))/2</f>
        <v>2480907.4512711866</v>
      </c>
      <c r="I979" s="138">
        <f ca="1">(Старт!I72+Проект!I781+ IF(I$2=1, Старт!$B$18, Старт!H72+Проект!H781))/2</f>
        <v>2410851.5487288134</v>
      </c>
      <c r="J979" s="138">
        <f ca="1">(Старт!J72+Проект!J781+ IF(J$2=1, Старт!$B$18, Старт!I72+Проект!I781))/2</f>
        <v>2340795.6461864407</v>
      </c>
      <c r="K979" s="138">
        <f ca="1">(Старт!K72+Проект!K781+ IF(K$2=1, Старт!$B$18, Старт!J72+Проект!J781))/2</f>
        <v>2270739.743644068</v>
      </c>
      <c r="L979" s="138">
        <f ca="1">(Старт!L72+Проект!L781+ IF(L$2=1, Старт!$B$18, Старт!K72+Проект!K781))/2</f>
        <v>2200683.8411016949</v>
      </c>
      <c r="M979" s="138">
        <f ca="1">(Старт!M72+Проект!M781+ IF(M$2=1, Старт!$B$18, Старт!L72+Проект!L781))/2</f>
        <v>2130627.9385593217</v>
      </c>
      <c r="N979" s="138">
        <f ca="1">(Старт!N72+Проект!N781+ IF(N$2=1, Старт!$B$18, Старт!M72+Проект!M781))/2</f>
        <v>2060572.036016949</v>
      </c>
      <c r="O979" s="138">
        <f ca="1">(Старт!O72+Проект!O781+ IF(O$2=1, Старт!$B$18, Старт!N72+Проект!N781))/2</f>
        <v>1990516.1334745763</v>
      </c>
      <c r="P979" s="138">
        <f ca="1">(Старт!P72+Проект!P781+ IF(P$2=1, Старт!$B$18, Старт!O72+Проект!O781))/2</f>
        <v>1920460.2309322036</v>
      </c>
      <c r="Q979" s="138">
        <f ca="1">(Старт!Q72+Проект!Q781+ IF(Q$2=1, Старт!$B$18, Старт!P72+Проект!P781))/2</f>
        <v>1850404.3283898304</v>
      </c>
      <c r="R979" s="138">
        <f ca="1">(Старт!R72+Проект!R781+ IF(R$2=1, Старт!$B$18, Старт!Q72+Проект!Q781))/2</f>
        <v>1780348.4258474577</v>
      </c>
      <c r="S979" s="138">
        <f ca="1">(Старт!S72+Проект!S781+ IF(S$2=1, Старт!$B$18, Старт!R72+Проект!R781))/2</f>
        <v>1710292.5233050848</v>
      </c>
      <c r="T979" s="138">
        <f ca="1">(Старт!T72+Проект!T781+ IF(T$2=1, Старт!$B$18, Старт!S72+Проект!S781))/2</f>
        <v>1640236.6207627119</v>
      </c>
      <c r="U979" s="138">
        <f ca="1">(Старт!U72+Проект!U781+ IF(U$2=1, Старт!$B$18, Старт!T72+Проект!T781))/2</f>
        <v>1570180.7182203392</v>
      </c>
      <c r="V979" s="138">
        <f ca="1">(Старт!V72+Проект!V781+ IF(V$2=1, Старт!$B$18, Старт!U72+Проект!U781))/2</f>
        <v>1500124.815677966</v>
      </c>
      <c r="W979" s="138">
        <f ca="1">(Старт!W72+Проект!W781+ IF(W$2=1, Старт!$B$18, Старт!V72+Проект!V781))/2</f>
        <v>1430068.9131355933</v>
      </c>
      <c r="X979" s="138">
        <f ca="1">(Старт!X72+Проект!X781+ IF(X$2=1, Старт!$B$18, Старт!W72+Проект!W781))/2</f>
        <v>1360013.0105932204</v>
      </c>
      <c r="Y979" s="138">
        <f ca="1">(Старт!Y72+Проект!Y781+ IF(Y$2=1, Старт!$B$18, Старт!X72+Проект!X781))/2</f>
        <v>1289957.1080508474</v>
      </c>
      <c r="Z979" s="138">
        <f ca="1">(Старт!Z72+Проект!Z781+ IF(Z$2=1, Старт!$B$18, Старт!Y72+Проект!Y781))/2</f>
        <v>1219901.2055084747</v>
      </c>
      <c r="AA979" s="138">
        <f ca="1">(Старт!AA72+Проект!AA781+ IF(AA$2=1, Старт!$B$18, Старт!Z72+Проект!Z781))/2</f>
        <v>1149845.3029661016</v>
      </c>
      <c r="AB979" s="138">
        <f ca="1">(Старт!AB72+Проект!AB781+ IF(AB$2=1, Старт!$B$18, Старт!AA72+Проект!AA781))/2</f>
        <v>1079789.4004237289</v>
      </c>
      <c r="AC979" s="138">
        <f ca="1">(Старт!AC72+Проект!AC781+ IF(AC$2=1, Старт!$B$18, Старт!AB72+Проект!AB781))/2</f>
        <v>1009733.4978813559</v>
      </c>
      <c r="AD979" s="138">
        <f ca="1">(Старт!AD72+Проект!AD781+ IF(AD$2=1, Старт!$B$18, Старт!AC72+Проект!AC781))/2</f>
        <v>939677.595338983</v>
      </c>
      <c r="AE979" s="138">
        <f ca="1">(Старт!AE72+Проект!AE781+ IF(AE$2=1, Старт!$B$18, Старт!AD72+Проект!AD781))/2</f>
        <v>869621.69279661018</v>
      </c>
      <c r="AF979" s="138">
        <f ca="1">(Старт!AF72+Проект!AF781+ IF(AF$2=1, Старт!$B$18, Старт!AE72+Проект!AE781))/2</f>
        <v>799565.79025423736</v>
      </c>
      <c r="AG979" s="138">
        <f ca="1">(Старт!AG72+Проект!AG781+ IF(AG$2=1, Старт!$B$18, Старт!AF72+Проект!AF781))/2</f>
        <v>729509.88771186443</v>
      </c>
      <c r="AH979" s="138">
        <f ca="1">(Старт!AH72+Проект!AH781+ IF(AH$2=1, Старт!$B$18, Старт!AG72+Проект!AG781))/2</f>
        <v>659453.9851694915</v>
      </c>
      <c r="AI979" s="138">
        <f ca="1">(Старт!AI72+Проект!AI781+ IF(AI$2=1, Старт!$B$18, Старт!AH72+Проект!AH781))/2</f>
        <v>589398.08262711868</v>
      </c>
      <c r="AJ979" s="138">
        <f ca="1">(Старт!AJ72+Проект!AJ781+ IF(AJ$2=1, Старт!$B$18, Старт!AI72+Проект!AI781))/2</f>
        <v>519342.18008474575</v>
      </c>
      <c r="AK979" s="138">
        <f ca="1">(Старт!AK72+Проект!AK781+ IF(AK$2=1, Старт!$B$18, Старт!AJ72+Проект!AJ781))/2</f>
        <v>449286.27754237293</v>
      </c>
      <c r="AL979" s="138">
        <f ca="1">(Старт!AL72+Проект!AL781+ IF(AL$2=1, Старт!$B$18, Старт!AK72+Проект!AK781))/2</f>
        <v>379230.375</v>
      </c>
      <c r="AM979" s="138">
        <f ca="1">(Старт!AM72+Проект!AM781+ IF(AM$2=1, Старт!$B$18, Старт!AL72+Проект!AL781))/2</f>
        <v>309174.47245762713</v>
      </c>
      <c r="AN979" s="138">
        <f ca="1">(Старт!AN72+Проект!AN781+ IF(AN$2=1, Старт!$B$18, Старт!AM72+Проект!AM781))/2</f>
        <v>239118.56991525425</v>
      </c>
      <c r="AO979" s="138">
        <f ca="1">(Старт!AO72+Проект!AO781+ IF(AO$2=1, Старт!$B$18, Старт!AN72+Проект!AN781))/2</f>
        <v>169062.66737288135</v>
      </c>
      <c r="AP979" s="138">
        <f ca="1">(Старт!AP72+Проект!AP781+ IF(AP$2=1, Старт!$B$18, Старт!AO72+Проект!AO781))/2</f>
        <v>99006.764830508473</v>
      </c>
      <c r="AQ979" s="138">
        <f ca="1">(Старт!AQ72+Проект!AQ781+ IF(AQ$2=1, Старт!$B$18, Старт!AP72+Проект!AP781))/2</f>
        <v>63597.987288135599</v>
      </c>
      <c r="AR979" s="138">
        <f ca="1">(Старт!AR72+Проект!AR781+ IF(AR$2=1, Старт!$B$18, Старт!AQ72+Проект!AQ781))/2</f>
        <v>62836.334745762717</v>
      </c>
      <c r="AS979" s="138">
        <f ca="1">(Старт!AS72+Проект!AS781+ IF(AS$2=1, Старт!$B$18, Старт!AR72+Проект!AR781))/2</f>
        <v>62074.682203389835</v>
      </c>
      <c r="AT979" s="138">
        <f ca="1">(Старт!AT72+Проект!AT781+ IF(AT$2=1, Старт!$B$18, Старт!AS72+Проект!AS781))/2</f>
        <v>61313.029661016953</v>
      </c>
      <c r="AU979" s="138">
        <f ca="1">(Старт!AU72+Проект!AU781+ IF(AU$2=1, Старт!$B$18, Старт!AT72+Проект!AT781))/2</f>
        <v>60551.377118644072</v>
      </c>
      <c r="AV979" s="138">
        <f ca="1">(Старт!AV72+Проект!AV781+ IF(AV$2=1, Старт!$B$18, Старт!AU72+Проект!AU781))/2</f>
        <v>59789.72457627119</v>
      </c>
    </row>
    <row r="980" spans="1:50" hidden="1" outlineLevel="1" x14ac:dyDescent="0.2">
      <c r="A980" s="167" t="str">
        <f ca="1">Language!A$1156</f>
        <v>в том числе, не облагаемых налогом</v>
      </c>
      <c r="C980" s="82" t="str">
        <f t="shared" ca="1" si="3650"/>
        <v>тыс. руб.</v>
      </c>
      <c r="F980" s="100" t="s">
        <v>756</v>
      </c>
      <c r="G980" s="316">
        <v>0</v>
      </c>
      <c r="H980" s="316">
        <v>0</v>
      </c>
      <c r="I980" s="316">
        <v>0</v>
      </c>
      <c r="J980" s="316">
        <v>0</v>
      </c>
      <c r="K980" s="316">
        <v>0</v>
      </c>
      <c r="L980" s="316">
        <v>0</v>
      </c>
      <c r="M980" s="316">
        <v>0</v>
      </c>
      <c r="N980" s="316">
        <v>0</v>
      </c>
      <c r="O980" s="316">
        <v>0</v>
      </c>
      <c r="P980" s="316">
        <v>0</v>
      </c>
      <c r="Q980" s="316">
        <v>0</v>
      </c>
      <c r="R980" s="316">
        <v>0</v>
      </c>
      <c r="S980" s="316">
        <v>0</v>
      </c>
      <c r="T980" s="316">
        <v>0</v>
      </c>
      <c r="U980" s="316">
        <v>0</v>
      </c>
      <c r="V980" s="316">
        <v>0</v>
      </c>
      <c r="W980" s="316">
        <v>0</v>
      </c>
      <c r="X980" s="316">
        <v>0</v>
      </c>
      <c r="Y980" s="316">
        <v>0</v>
      </c>
      <c r="Z980" s="316">
        <v>0</v>
      </c>
      <c r="AA980" s="316">
        <v>0</v>
      </c>
      <c r="AB980" s="316">
        <v>0</v>
      </c>
      <c r="AC980" s="316">
        <v>0</v>
      </c>
      <c r="AD980" s="316">
        <v>0</v>
      </c>
      <c r="AE980" s="316">
        <v>0</v>
      </c>
      <c r="AF980" s="316">
        <v>0</v>
      </c>
      <c r="AG980" s="316">
        <v>0</v>
      </c>
      <c r="AH980" s="316">
        <v>0</v>
      </c>
      <c r="AI980" s="316">
        <v>0</v>
      </c>
      <c r="AJ980" s="316">
        <v>0</v>
      </c>
      <c r="AK980" s="316">
        <v>0</v>
      </c>
      <c r="AL980" s="316">
        <v>0</v>
      </c>
      <c r="AM980" s="316">
        <v>0</v>
      </c>
      <c r="AN980" s="316">
        <v>0</v>
      </c>
      <c r="AO980" s="316">
        <v>0</v>
      </c>
      <c r="AP980" s="316">
        <v>0</v>
      </c>
      <c r="AQ980" s="316">
        <v>0</v>
      </c>
      <c r="AR980" s="316">
        <v>0</v>
      </c>
      <c r="AS980" s="316">
        <v>0</v>
      </c>
      <c r="AT980" s="316">
        <v>0</v>
      </c>
      <c r="AU980" s="316">
        <v>0</v>
      </c>
      <c r="AV980" s="316">
        <v>0</v>
      </c>
    </row>
    <row r="981" spans="1:50" hidden="1" outlineLevel="1" x14ac:dyDescent="0.2">
      <c r="A981" s="38" t="str">
        <f ca="1">Language!A$1157</f>
        <v>Средняя стоимость оборудования</v>
      </c>
      <c r="C981" s="124" t="str">
        <f t="shared" ca="1" si="3650"/>
        <v>тыс. руб.</v>
      </c>
      <c r="F981" s="100" t="s">
        <v>756</v>
      </c>
      <c r="G981" s="138">
        <f ca="1">(Старт!G79+Проект!G796+Проект!G833+Проект!G943 + IF(G$2=1, Старт!$B$19,Старт!F79+Проект!F796+Проект!F833+Проект!F943))/2</f>
        <v>121377.58474576272</v>
      </c>
      <c r="H981" s="138">
        <f ca="1">(Старт!H79+Проект!H796+Проект!H833+Проект!H943 + IF(H$2=1, Старт!$B$19,Старт!G79+Проект!G796+Проект!G833+Проект!G943))/2</f>
        <v>239642.92372881359</v>
      </c>
      <c r="I981" s="138">
        <f ca="1">(Старт!I79+Проект!I796+Проект!I833+Проект!I943 + IF(I$2=1, Старт!$B$19,Старт!H79+Проект!H796+Проект!H833+Проект!H943))/2</f>
        <v>233418.43220338982</v>
      </c>
      <c r="J981" s="138">
        <f ca="1">(Старт!J79+Проект!J796+Проект!J833+Проект!J943 + IF(J$2=1, Старт!$B$19,Старт!I79+Проект!I796+Проект!I833+Проект!I943))/2</f>
        <v>227193.94067796611</v>
      </c>
      <c r="K981" s="138">
        <f ca="1">(Старт!K79+Проект!K796+Проект!K833+Проект!K943 + IF(K$2=1, Старт!$B$19,Старт!J79+Проект!J796+Проект!J833+Проект!J943))/2</f>
        <v>220969.44915254239</v>
      </c>
      <c r="L981" s="138">
        <f ca="1">(Старт!L79+Проект!L796+Проект!L833+Проект!L943 + IF(L$2=1, Старт!$B$19,Старт!K79+Проект!K796+Проект!K833+Проект!K943))/2</f>
        <v>214744.95762711865</v>
      </c>
      <c r="M981" s="138">
        <f ca="1">(Старт!M79+Проект!M796+Проект!M833+Проект!M943 + IF(M$2=1, Старт!$B$19,Старт!L79+Проект!L796+Проект!L833+Проект!L943))/2</f>
        <v>208520.46610169491</v>
      </c>
      <c r="N981" s="138">
        <f ca="1">(Старт!N79+Проект!N796+Проект!N833+Проект!N943 + IF(N$2=1, Старт!$B$19,Старт!M79+Проект!M796+Проект!M833+Проект!M943))/2</f>
        <v>202295.9745762712</v>
      </c>
      <c r="O981" s="138">
        <f ca="1">(Старт!O79+Проект!O796+Проект!O833+Проект!O943 + IF(O$2=1, Старт!$B$19,Старт!N79+Проект!N796+Проект!N833+Проект!N943))/2</f>
        <v>196071.48305084748</v>
      </c>
      <c r="P981" s="138">
        <f ca="1">(Старт!P79+Проект!P796+Проект!P833+Проект!P943 + IF(P$2=1, Старт!$B$19,Старт!O79+Проект!O796+Проект!O833+Проект!O943))/2</f>
        <v>189846.99152542374</v>
      </c>
      <c r="Q981" s="138">
        <f ca="1">(Старт!Q79+Проект!Q796+Проект!Q833+Проект!Q943 + IF(Q$2=1, Старт!$B$19,Старт!P79+Проект!P796+Проект!P833+Проект!P943))/2</f>
        <v>183622.5</v>
      </c>
      <c r="R981" s="138">
        <f ca="1">(Старт!R79+Проект!R796+Проект!R833+Проект!R943 + IF(R$2=1, Старт!$B$19,Старт!Q79+Проект!Q796+Проект!Q833+Проект!Q943))/2</f>
        <v>177398.00847457629</v>
      </c>
      <c r="S981" s="138">
        <f ca="1">(Старт!S79+Проект!S796+Проект!S833+Проект!S943 + IF(S$2=1, Старт!$B$19,Старт!R79+Проект!R796+Проект!R833+Проект!R943))/2</f>
        <v>171173.51694915257</v>
      </c>
      <c r="T981" s="138">
        <f ca="1">(Старт!T79+Проект!T796+Проект!T833+Проект!T943 + IF(T$2=1, Старт!$B$19,Старт!S79+Проект!S796+Проект!S833+Проект!S943))/2</f>
        <v>164949.02542372883</v>
      </c>
      <c r="U981" s="138">
        <f ca="1">(Старт!U79+Проект!U796+Проект!U833+Проект!U943 + IF(U$2=1, Старт!$B$19,Старт!T79+Проект!T796+Проект!T833+Проект!T943))/2</f>
        <v>158724.53389830509</v>
      </c>
      <c r="V981" s="138">
        <f ca="1">(Старт!V79+Проект!V796+Проект!V833+Проект!V943 + IF(V$2=1, Старт!$B$19,Старт!U79+Проект!U796+Проект!U833+Проект!U943))/2</f>
        <v>152500.04237288138</v>
      </c>
      <c r="W981" s="138">
        <f ca="1">(Старт!W79+Проект!W796+Проект!W833+Проект!W943 + IF(W$2=1, Старт!$B$19,Старт!V79+Проект!V796+Проект!V833+Проект!V943))/2</f>
        <v>146275.55084745766</v>
      </c>
      <c r="X981" s="138">
        <f ca="1">(Старт!X79+Проект!X796+Проект!X833+Проект!X943 + IF(X$2=1, Старт!$B$19,Старт!W79+Проект!W796+Проект!W833+Проект!W943))/2</f>
        <v>140051.05932203392</v>
      </c>
      <c r="Y981" s="138">
        <f ca="1">(Старт!Y79+Проект!Y796+Проект!Y833+Проект!Y943 + IF(Y$2=1, Старт!$B$19,Старт!X79+Проект!X796+Проект!X833+Проект!X943))/2</f>
        <v>133826.56779661018</v>
      </c>
      <c r="Z981" s="138">
        <f ca="1">(Старт!Z79+Проект!Z796+Проект!Z833+Проект!Z943 + IF(Z$2=1, Старт!$B$19,Старт!Y79+Проект!Y796+Проект!Y833+Проект!Y943))/2</f>
        <v>127602.07627118647</v>
      </c>
      <c r="AA981" s="138">
        <f ca="1">(Старт!AA79+Проект!AA796+Проект!AA833+Проект!AA943 + IF(AA$2=1, Старт!$B$19,Старт!Z79+Проект!Z796+Проект!Z833+Проект!Z943))/2</f>
        <v>121377.58474576274</v>
      </c>
      <c r="AB981" s="138">
        <f ca="1">(Старт!AB79+Проект!AB796+Проект!AB833+Проект!AB943 + IF(AB$2=1, Старт!$B$19,Старт!AA79+Проект!AA796+Проект!AA833+Проект!AA943))/2</f>
        <v>115153.09322033901</v>
      </c>
      <c r="AC981" s="138">
        <f ca="1">(Старт!AC79+Проект!AC796+Проект!AC833+Проект!AC943 + IF(AC$2=1, Старт!$B$19,Старт!AB79+Проект!AB796+Проект!AB833+Проект!AB943))/2</f>
        <v>108928.60169491528</v>
      </c>
      <c r="AD981" s="138">
        <f ca="1">(Старт!AD79+Проект!AD796+Проект!AD833+Проект!AD943 + IF(AD$2=1, Старт!$B$19,Старт!AC79+Проект!AC796+Проект!AC833+Проект!AC943))/2</f>
        <v>102704.11016949156</v>
      </c>
      <c r="AE981" s="138">
        <f ca="1">(Старт!AE79+Проект!AE796+Проект!AE833+Проект!AE943 + IF(AE$2=1, Старт!$B$19,Старт!AD79+Проект!AD796+Проект!AD833+Проект!AD943))/2</f>
        <v>96479.618644067814</v>
      </c>
      <c r="AF981" s="138">
        <f ca="1">(Старт!AF79+Проект!AF796+Проект!AF833+Проект!AF943 + IF(AF$2=1, Старт!$B$19,Старт!AE79+Проект!AE796+Проект!AE833+Проект!AE943))/2</f>
        <v>90255.127118644101</v>
      </c>
      <c r="AG981" s="138">
        <f ca="1">(Старт!AG79+Проект!AG796+Проект!AG833+Проект!AG943 + IF(AG$2=1, Старт!$B$19,Старт!AF79+Проект!AF796+Проект!AF833+Проект!AF943))/2</f>
        <v>84030.635593220359</v>
      </c>
      <c r="AH981" s="138">
        <f ca="1">(Старт!AH79+Проект!AH796+Проект!AH833+Проект!AH943 + IF(AH$2=1, Старт!$B$19,Старт!AG79+Проект!AG796+Проект!AG833+Проект!AG943))/2</f>
        <v>77806.144067796646</v>
      </c>
      <c r="AI981" s="138">
        <f ca="1">(Старт!AI79+Проект!AI796+Проект!AI833+Проект!AI943 + IF(AI$2=1, Старт!$B$19,Старт!AH79+Проект!AH796+Проект!AH833+Проект!AH943))/2</f>
        <v>71581.652542372904</v>
      </c>
      <c r="AJ981" s="138">
        <f ca="1">(Старт!AJ79+Проект!AJ796+Проект!AJ833+Проект!AJ943 + IF(AJ$2=1, Старт!$B$19,Старт!AI79+Проект!AI796+Проект!AI833+Проект!AI943))/2</f>
        <v>65357.161016949183</v>
      </c>
      <c r="AK981" s="138">
        <f ca="1">(Старт!AK79+Проект!AK796+Проект!AK833+Проект!AK943 + IF(AK$2=1, Старт!$B$19,Старт!AJ79+Проект!AJ796+Проект!AJ833+Проект!AJ943))/2</f>
        <v>59132.669491525456</v>
      </c>
      <c r="AL981" s="138">
        <f ca="1">(Старт!AL79+Проект!AL796+Проект!AL833+Проект!AL943 + IF(AL$2=1, Старт!$B$19,Старт!AK79+Проект!AK796+Проект!AK833+Проект!AK943))/2</f>
        <v>52908.177966101728</v>
      </c>
      <c r="AM981" s="138">
        <f ca="1">(Старт!AM79+Проект!AM796+Проект!AM833+Проект!AM943 + IF(AM$2=1, Старт!$B$19,Старт!AL79+Проект!AL796+Проект!AL833+Проект!AL943))/2</f>
        <v>46683.686440678001</v>
      </c>
      <c r="AN981" s="138">
        <f ca="1">(Старт!AN79+Проект!AN796+Проект!AN833+Проект!AN943 + IF(AN$2=1, Старт!$B$19,Старт!AM79+Проект!AM796+Проект!AM833+Проект!AM943))/2</f>
        <v>40459.194915254273</v>
      </c>
      <c r="AO981" s="138">
        <f ca="1">(Старт!AO79+Проект!AO796+Проект!AO833+Проект!AO943 + IF(AO$2=1, Старт!$B$19,Старт!AN79+Проект!AN796+Проект!AN833+Проект!AN943))/2</f>
        <v>34234.703389830545</v>
      </c>
      <c r="AP981" s="138">
        <f ca="1">(Старт!AP79+Проект!AP796+Проект!AP833+Проект!AP943 + IF(AP$2=1, Старт!$B$19,Старт!AO79+Проект!AO796+Проект!AO833+Проект!AO943))/2</f>
        <v>28010.211864406818</v>
      </c>
      <c r="AQ981" s="138">
        <f ca="1">(Старт!AQ79+Проект!AQ796+Проект!AQ833+Проект!AQ943 + IF(AQ$2=1, Старт!$B$19,Старт!AP79+Проект!AP796+Проект!AP833+Проект!AP943))/2</f>
        <v>21785.72033898309</v>
      </c>
      <c r="AR981" s="138">
        <f ca="1">(Старт!AR79+Проект!AR796+Проект!AR833+Проект!AR943 + IF(AR$2=1, Старт!$B$19,Старт!AQ79+Проект!AQ796+Проект!AQ833+Проект!AQ943))/2</f>
        <v>15561.228813559363</v>
      </c>
      <c r="AS981" s="138">
        <f ca="1">(Старт!AS79+Проект!AS796+Проект!AS833+Проект!AS943 + IF(AS$2=1, Старт!$B$19,Старт!AR79+Проект!AR796+Проект!AR833+Проект!AR943))/2</f>
        <v>9336.737288135635</v>
      </c>
      <c r="AT981" s="138">
        <f ca="1">(Старт!AT79+Проект!AT796+Проект!AT833+Проект!AT943 + IF(AT$2=1, Старт!$B$19,Старт!AS79+Проект!AS796+Проект!AS833+Проект!AS943))/2</f>
        <v>3112.2457627119074</v>
      </c>
      <c r="AU981" s="138">
        <f ca="1">(Старт!AU79+Проект!AU796+Проект!AU833+Проект!AU943 + IF(AU$2=1, Старт!$B$19,Старт!AT79+Проект!AT796+Проект!AT833+Проект!AT943))/2</f>
        <v>4.3655745685100555E-11</v>
      </c>
      <c r="AV981" s="138">
        <f ca="1">(Старт!AV79+Проект!AV796+Проект!AV833+Проект!AV943 + IF(AV$2=1, Старт!$B$19,Старт!AU79+Проект!AU796+Проект!AU833+Проект!AU943))/2</f>
        <v>4.3655745685100555E-11</v>
      </c>
    </row>
    <row r="982" spans="1:50" hidden="1" outlineLevel="1" x14ac:dyDescent="0.2">
      <c r="A982" s="167" t="str">
        <f ca="1">Language!A$1158</f>
        <v>в том числе, не облагаемого налогом</v>
      </c>
      <c r="C982" s="82" t="str">
        <f t="shared" ca="1" si="3650"/>
        <v>тыс. руб.</v>
      </c>
      <c r="F982" s="100" t="s">
        <v>756</v>
      </c>
      <c r="G982" s="316">
        <v>0</v>
      </c>
      <c r="H982" s="316">
        <v>0</v>
      </c>
      <c r="I982" s="316">
        <v>0</v>
      </c>
      <c r="J982" s="316">
        <v>0</v>
      </c>
      <c r="K982" s="316">
        <v>0</v>
      </c>
      <c r="L982" s="316">
        <v>0</v>
      </c>
      <c r="M982" s="316">
        <v>0</v>
      </c>
      <c r="N982" s="316">
        <v>0</v>
      </c>
      <c r="O982" s="316">
        <v>0</v>
      </c>
      <c r="P982" s="316">
        <v>0</v>
      </c>
      <c r="Q982" s="316">
        <v>0</v>
      </c>
      <c r="R982" s="316">
        <v>0</v>
      </c>
      <c r="S982" s="316">
        <v>0</v>
      </c>
      <c r="T982" s="316">
        <v>0</v>
      </c>
      <c r="U982" s="316">
        <v>0</v>
      </c>
      <c r="V982" s="316">
        <v>0</v>
      </c>
      <c r="W982" s="316">
        <v>0</v>
      </c>
      <c r="X982" s="316">
        <v>0</v>
      </c>
      <c r="Y982" s="316">
        <v>0</v>
      </c>
      <c r="Z982" s="316">
        <v>0</v>
      </c>
      <c r="AA982" s="316">
        <v>0</v>
      </c>
      <c r="AB982" s="316">
        <v>0</v>
      </c>
      <c r="AC982" s="316">
        <v>0</v>
      </c>
      <c r="AD982" s="316">
        <v>0</v>
      </c>
      <c r="AE982" s="316">
        <v>0</v>
      </c>
      <c r="AF982" s="316">
        <v>0</v>
      </c>
      <c r="AG982" s="316">
        <v>0</v>
      </c>
      <c r="AH982" s="316">
        <v>0</v>
      </c>
      <c r="AI982" s="316">
        <v>0</v>
      </c>
      <c r="AJ982" s="316">
        <v>0</v>
      </c>
      <c r="AK982" s="316">
        <v>0</v>
      </c>
      <c r="AL982" s="316">
        <v>0</v>
      </c>
      <c r="AM982" s="316">
        <v>0</v>
      </c>
      <c r="AN982" s="316">
        <v>0</v>
      </c>
      <c r="AO982" s="316">
        <v>0</v>
      </c>
      <c r="AP982" s="316">
        <v>0</v>
      </c>
      <c r="AQ982" s="316">
        <v>0</v>
      </c>
      <c r="AR982" s="316">
        <v>0</v>
      </c>
      <c r="AS982" s="316">
        <v>0</v>
      </c>
      <c r="AT982" s="316">
        <v>0</v>
      </c>
      <c r="AU982" s="316">
        <v>0</v>
      </c>
      <c r="AV982" s="316">
        <v>0</v>
      </c>
    </row>
    <row r="983" spans="1:50" x14ac:dyDescent="0.2"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</row>
    <row r="984" spans="1:50" collapsed="1" x14ac:dyDescent="0.2">
      <c r="A984" s="98" t="str">
        <f ca="1">Language!A$1159</f>
        <v>Начисленные социальные взносы</v>
      </c>
      <c r="C984" s="124" t="str">
        <f t="shared" ca="1" si="3650"/>
        <v>тыс. руб.</v>
      </c>
      <c r="F984" s="100" t="s">
        <v>753</v>
      </c>
      <c r="G984" s="143">
        <f t="shared" ref="G984:AV984" ca="1" si="3687">G503</f>
        <v>6426.0000000000009</v>
      </c>
      <c r="H984" s="143">
        <f t="shared" ca="1" si="3687"/>
        <v>6520.2941354798049</v>
      </c>
      <c r="I984" s="143">
        <f t="shared" ca="1" si="3687"/>
        <v>7939.1663143178994</v>
      </c>
      <c r="J984" s="143">
        <f t="shared" ca="1" si="3687"/>
        <v>8055.6644195216004</v>
      </c>
      <c r="K984" s="143">
        <f t="shared" ca="1" si="3687"/>
        <v>8173.8720000000003</v>
      </c>
      <c r="L984" s="143">
        <f t="shared" ca="1" si="3687"/>
        <v>8293.8141403303125</v>
      </c>
      <c r="M984" s="143">
        <f t="shared" ca="1" si="3687"/>
        <v>9281.8194410040123</v>
      </c>
      <c r="N984" s="143">
        <f t="shared" ca="1" si="3687"/>
        <v>9418.019431646575</v>
      </c>
      <c r="O984" s="143">
        <f t="shared" ca="1" si="3687"/>
        <v>9556.2180000000026</v>
      </c>
      <c r="P984" s="143">
        <f t="shared" ca="1" si="3687"/>
        <v>9696.4444728861745</v>
      </c>
      <c r="Q984" s="143">
        <f t="shared" ca="1" si="3687"/>
        <v>9838.7286074642525</v>
      </c>
      <c r="R984" s="143">
        <f t="shared" ca="1" si="3687"/>
        <v>9983.1005975453718</v>
      </c>
      <c r="S984" s="143">
        <f t="shared" ca="1" si="3687"/>
        <v>10129.591080000002</v>
      </c>
      <c r="T984" s="143">
        <f t="shared" ca="1" si="3687"/>
        <v>10278.231141259346</v>
      </c>
      <c r="U984" s="143">
        <f t="shared" ca="1" si="3687"/>
        <v>10429.05232391211</v>
      </c>
      <c r="V984" s="143">
        <f t="shared" ca="1" si="3687"/>
        <v>10582.086633398092</v>
      </c>
      <c r="W984" s="143">
        <f t="shared" ca="1" si="3687"/>
        <v>10737.366544800003</v>
      </c>
      <c r="X984" s="143">
        <f t="shared" ca="1" si="3687"/>
        <v>10894.925009734907</v>
      </c>
      <c r="Y984" s="143">
        <f t="shared" ca="1" si="3687"/>
        <v>11054.795463346836</v>
      </c>
      <c r="Z984" s="143">
        <f t="shared" ca="1" si="3687"/>
        <v>11217.011831401982</v>
      </c>
      <c r="AA984" s="143">
        <f t="shared" ca="1" si="3687"/>
        <v>11381.608537488004</v>
      </c>
      <c r="AB984" s="143">
        <f t="shared" ca="1" si="3687"/>
        <v>11548.620510319004</v>
      </c>
      <c r="AC984" s="143">
        <f t="shared" ca="1" si="3687"/>
        <v>11718.083191147649</v>
      </c>
      <c r="AD984" s="143">
        <f t="shared" ca="1" si="3687"/>
        <v>11890.0325412861</v>
      </c>
      <c r="AE984" s="143">
        <f t="shared" ca="1" si="3687"/>
        <v>12064.505049737285</v>
      </c>
      <c r="AF984" s="143">
        <f t="shared" ca="1" si="3687"/>
        <v>12241.537740938145</v>
      </c>
      <c r="AG984" s="143">
        <f t="shared" ca="1" si="3687"/>
        <v>12421.168182616506</v>
      </c>
      <c r="AH984" s="143">
        <f t="shared" ca="1" si="3687"/>
        <v>12603.434493763269</v>
      </c>
      <c r="AI984" s="143">
        <f t="shared" ca="1" si="3687"/>
        <v>12788.375352721525</v>
      </c>
      <c r="AJ984" s="143">
        <f t="shared" ca="1" si="3687"/>
        <v>12976.030005394434</v>
      </c>
      <c r="AK984" s="143">
        <f t="shared" ca="1" si="3687"/>
        <v>13166.438273573498</v>
      </c>
      <c r="AL984" s="143">
        <f t="shared" ca="1" si="3687"/>
        <v>13359.640563389064</v>
      </c>
      <c r="AM984" s="143">
        <f t="shared" ca="1" si="3687"/>
        <v>13555.677873884817</v>
      </c>
      <c r="AN984" s="143">
        <f t="shared" ca="1" si="3687"/>
        <v>13754.591805718101</v>
      </c>
      <c r="AO984" s="143">
        <f t="shared" ca="1" si="3687"/>
        <v>13956.42456998791</v>
      </c>
      <c r="AP984" s="143">
        <f t="shared" ca="1" si="3687"/>
        <v>14161.218997192409</v>
      </c>
      <c r="AQ984" s="143">
        <f t="shared" ca="1" si="3687"/>
        <v>14369.018546317906</v>
      </c>
      <c r="AR984" s="143">
        <f t="shared" ca="1" si="3687"/>
        <v>14579.867314061188</v>
      </c>
      <c r="AS984" s="143">
        <f t="shared" ca="1" si="3687"/>
        <v>14793.810044187188</v>
      </c>
      <c r="AT984" s="143">
        <f t="shared" ca="1" si="3687"/>
        <v>15010.892137023955</v>
      </c>
      <c r="AU984" s="143">
        <f t="shared" ca="1" si="3687"/>
        <v>15231.159659096984</v>
      </c>
      <c r="AV984" s="143">
        <f t="shared" ca="1" si="3687"/>
        <v>15454.65935290486</v>
      </c>
      <c r="AX984" s="210">
        <f ca="1">SUM(G984:AW984)</f>
        <v>481532.99633079901</v>
      </c>
    </row>
    <row r="985" spans="1:50" hidden="1" outlineLevel="1" x14ac:dyDescent="0.2">
      <c r="A985" s="179" t="str">
        <f ca="1">Language!A$1160</f>
        <v>задолженность по взносам</v>
      </c>
      <c r="B985" s="188"/>
      <c r="C985" s="124" t="str">
        <f t="shared" ca="1" si="3650"/>
        <v>тыс. руб.</v>
      </c>
      <c r="D985" s="155"/>
      <c r="F985" s="100" t="s">
        <v>754</v>
      </c>
      <c r="G985" s="168">
        <f t="shared" ref="G985:AV985" ca="1" si="3688">G506</f>
        <v>2142.0000000000005</v>
      </c>
      <c r="H985" s="168">
        <f t="shared" ca="1" si="3688"/>
        <v>2173.4313784932683</v>
      </c>
      <c r="I985" s="168">
        <f t="shared" ca="1" si="3688"/>
        <v>2646.3887714392995</v>
      </c>
      <c r="J985" s="168">
        <f t="shared" ca="1" si="3688"/>
        <v>2685.2214731738668</v>
      </c>
      <c r="K985" s="168">
        <f t="shared" ca="1" si="3688"/>
        <v>2724.6240000000003</v>
      </c>
      <c r="L985" s="168">
        <f t="shared" ca="1" si="3688"/>
        <v>2764.6047134434375</v>
      </c>
      <c r="M985" s="168">
        <f t="shared" ca="1" si="3688"/>
        <v>3093.9398136680038</v>
      </c>
      <c r="N985" s="168">
        <f t="shared" ca="1" si="3688"/>
        <v>3139.3398105488586</v>
      </c>
      <c r="O985" s="168">
        <f t="shared" ca="1" si="3688"/>
        <v>3185.4060000000009</v>
      </c>
      <c r="P985" s="168">
        <f t="shared" ca="1" si="3688"/>
        <v>3232.1481576287247</v>
      </c>
      <c r="Q985" s="168">
        <f t="shared" ca="1" si="3688"/>
        <v>3279.5762024880842</v>
      </c>
      <c r="R985" s="168">
        <f t="shared" ca="1" si="3688"/>
        <v>3327.700199181791</v>
      </c>
      <c r="S985" s="168">
        <f t="shared" ca="1" si="3688"/>
        <v>3376.5303600000002</v>
      </c>
      <c r="T985" s="168">
        <f t="shared" ca="1" si="3688"/>
        <v>3426.0770470864491</v>
      </c>
      <c r="U985" s="168">
        <f t="shared" ca="1" si="3688"/>
        <v>3476.3507746373703</v>
      </c>
      <c r="V985" s="168">
        <f t="shared" ca="1" si="3688"/>
        <v>3527.3622111326977</v>
      </c>
      <c r="W985" s="168">
        <f t="shared" ca="1" si="3688"/>
        <v>3579.1221816000011</v>
      </c>
      <c r="X985" s="168">
        <f t="shared" ca="1" si="3688"/>
        <v>3631.6416699116357</v>
      </c>
      <c r="Y985" s="168">
        <f t="shared" ca="1" si="3688"/>
        <v>3684.9318211156119</v>
      </c>
      <c r="Z985" s="168">
        <f t="shared" ca="1" si="3688"/>
        <v>3739.0039438006602</v>
      </c>
      <c r="AA985" s="168">
        <f t="shared" ca="1" si="3688"/>
        <v>3793.8695124960013</v>
      </c>
      <c r="AB985" s="168">
        <f t="shared" ca="1" si="3688"/>
        <v>3849.5401701063342</v>
      </c>
      <c r="AC985" s="168">
        <f t="shared" ca="1" si="3688"/>
        <v>3906.0277303825496</v>
      </c>
      <c r="AD985" s="168">
        <f t="shared" ca="1" si="3688"/>
        <v>3963.3441804286999</v>
      </c>
      <c r="AE985" s="168">
        <f t="shared" ca="1" si="3688"/>
        <v>4021.5016832457618</v>
      </c>
      <c r="AF985" s="168">
        <f t="shared" ca="1" si="3688"/>
        <v>4080.5125803127153</v>
      </c>
      <c r="AG985" s="168">
        <f t="shared" ca="1" si="3688"/>
        <v>4140.389394205502</v>
      </c>
      <c r="AH985" s="168">
        <f t="shared" ca="1" si="3688"/>
        <v>4201.1448312544235</v>
      </c>
      <c r="AI985" s="168">
        <f t="shared" ca="1" si="3688"/>
        <v>4262.7917842405086</v>
      </c>
      <c r="AJ985" s="168">
        <f t="shared" ca="1" si="3688"/>
        <v>4325.3433351314779</v>
      </c>
      <c r="AK985" s="168">
        <f t="shared" ca="1" si="3688"/>
        <v>4388.8127578578324</v>
      </c>
      <c r="AL985" s="168">
        <f t="shared" ca="1" si="3688"/>
        <v>4453.2135211296882</v>
      </c>
      <c r="AM985" s="168">
        <f t="shared" ca="1" si="3688"/>
        <v>4518.5592912949387</v>
      </c>
      <c r="AN985" s="168">
        <f t="shared" ca="1" si="3688"/>
        <v>4584.8639352393666</v>
      </c>
      <c r="AO985" s="168">
        <f t="shared" ca="1" si="3688"/>
        <v>4652.1415233293028</v>
      </c>
      <c r="AP985" s="168">
        <f t="shared" ca="1" si="3688"/>
        <v>4720.4063323974697</v>
      </c>
      <c r="AQ985" s="168">
        <f t="shared" ca="1" si="3688"/>
        <v>4789.672848772635</v>
      </c>
      <c r="AR985" s="168">
        <f t="shared" ca="1" si="3688"/>
        <v>4859.9557713537297</v>
      </c>
      <c r="AS985" s="168">
        <f t="shared" ca="1" si="3688"/>
        <v>4931.2700147290634</v>
      </c>
      <c r="AT985" s="168">
        <f t="shared" ca="1" si="3688"/>
        <v>5003.630712341318</v>
      </c>
      <c r="AU985" s="168">
        <f t="shared" ca="1" si="3688"/>
        <v>5077.0532196989952</v>
      </c>
      <c r="AV985" s="168">
        <f t="shared" ca="1" si="3688"/>
        <v>5151.5531176349532</v>
      </c>
      <c r="AW985" s="168"/>
      <c r="AX985" s="142">
        <f ca="1">SUM(G985:AW985)</f>
        <v>160510.998776933</v>
      </c>
    </row>
    <row r="986" spans="1:50" hidden="1" outlineLevel="1" x14ac:dyDescent="0.2">
      <c r="A986" s="179" t="str">
        <f ca="1">Language!A$1161</f>
        <v>уплаченные социальные взносы</v>
      </c>
      <c r="B986" s="228"/>
      <c r="C986" s="124" t="str">
        <f t="shared" ca="1" si="3650"/>
        <v>тыс. руб.</v>
      </c>
      <c r="D986" s="236"/>
      <c r="E986" s="236"/>
      <c r="F986" s="100" t="s">
        <v>753</v>
      </c>
      <c r="G986" s="180">
        <f t="shared" ref="G986:AV986" ca="1" si="3689">G509</f>
        <v>4284</v>
      </c>
      <c r="H986" s="180">
        <f t="shared" ca="1" si="3689"/>
        <v>6488.8627569865366</v>
      </c>
      <c r="I986" s="180">
        <f t="shared" ca="1" si="3689"/>
        <v>7466.2089213718682</v>
      </c>
      <c r="J986" s="180">
        <f t="shared" ca="1" si="3689"/>
        <v>8016.8317177870331</v>
      </c>
      <c r="K986" s="180">
        <f t="shared" ca="1" si="3689"/>
        <v>8134.4694731738673</v>
      </c>
      <c r="L986" s="180">
        <f t="shared" ca="1" si="3689"/>
        <v>8253.8334268868748</v>
      </c>
      <c r="M986" s="180">
        <f t="shared" ca="1" si="3689"/>
        <v>8952.4843407794469</v>
      </c>
      <c r="N986" s="180">
        <f t="shared" ca="1" si="3689"/>
        <v>9372.6194347657201</v>
      </c>
      <c r="O986" s="180">
        <f t="shared" ca="1" si="3689"/>
        <v>9510.1518105488612</v>
      </c>
      <c r="P986" s="180">
        <f t="shared" ca="1" si="3689"/>
        <v>9649.7023152574511</v>
      </c>
      <c r="Q986" s="180">
        <f t="shared" ca="1" si="3689"/>
        <v>9791.3005626048925</v>
      </c>
      <c r="R986" s="180">
        <f t="shared" ca="1" si="3689"/>
        <v>9934.9766008516654</v>
      </c>
      <c r="S986" s="180">
        <f t="shared" ca="1" si="3689"/>
        <v>10080.760919181794</v>
      </c>
      <c r="T986" s="180">
        <f t="shared" ca="1" si="3689"/>
        <v>10228.684454172897</v>
      </c>
      <c r="U986" s="180">
        <f t="shared" ca="1" si="3689"/>
        <v>10378.77859636119</v>
      </c>
      <c r="V986" s="180">
        <f t="shared" ca="1" si="3689"/>
        <v>10531.075196902764</v>
      </c>
      <c r="W986" s="180">
        <f t="shared" ca="1" si="3689"/>
        <v>10685.6065743327</v>
      </c>
      <c r="X986" s="180">
        <f t="shared" ca="1" si="3689"/>
        <v>10842.405521423272</v>
      </c>
      <c r="Y986" s="180">
        <f t="shared" ca="1" si="3689"/>
        <v>11001.505312142861</v>
      </c>
      <c r="Z986" s="180">
        <f t="shared" ca="1" si="3689"/>
        <v>11162.939708716935</v>
      </c>
      <c r="AA986" s="180">
        <f t="shared" ca="1" si="3689"/>
        <v>11326.742968792663</v>
      </c>
      <c r="AB986" s="180">
        <f t="shared" ca="1" si="3689"/>
        <v>11492.949852708671</v>
      </c>
      <c r="AC986" s="180">
        <f t="shared" ca="1" si="3689"/>
        <v>11661.595630871434</v>
      </c>
      <c r="AD986" s="180">
        <f t="shared" ca="1" si="3689"/>
        <v>11832.71609123995</v>
      </c>
      <c r="AE986" s="180">
        <f t="shared" ca="1" si="3689"/>
        <v>12006.347546920224</v>
      </c>
      <c r="AF986" s="180">
        <f t="shared" ca="1" si="3689"/>
        <v>12182.526843871192</v>
      </c>
      <c r="AG986" s="180">
        <f t="shared" ca="1" si="3689"/>
        <v>12361.29136872372</v>
      </c>
      <c r="AH986" s="180">
        <f t="shared" ca="1" si="3689"/>
        <v>12542.679056714347</v>
      </c>
      <c r="AI986" s="180">
        <f t="shared" ca="1" si="3689"/>
        <v>12726.728399735439</v>
      </c>
      <c r="AJ986" s="180">
        <f t="shared" ca="1" si="3689"/>
        <v>12913.478454503464</v>
      </c>
      <c r="AK986" s="180">
        <f t="shared" ca="1" si="3689"/>
        <v>13102.968850847144</v>
      </c>
      <c r="AL986" s="180">
        <f t="shared" ca="1" si="3689"/>
        <v>13295.239800117208</v>
      </c>
      <c r="AM986" s="180">
        <f t="shared" ca="1" si="3689"/>
        <v>13490.332103719567</v>
      </c>
      <c r="AN986" s="180">
        <f t="shared" ca="1" si="3689"/>
        <v>13688.287161773673</v>
      </c>
      <c r="AO986" s="180">
        <f t="shared" ca="1" si="3689"/>
        <v>13889.146981897975</v>
      </c>
      <c r="AP986" s="180">
        <f t="shared" ca="1" si="3689"/>
        <v>14092.954188124242</v>
      </c>
      <c r="AQ986" s="180">
        <f t="shared" ca="1" si="3689"/>
        <v>14299.752029942742</v>
      </c>
      <c r="AR986" s="180">
        <f t="shared" ca="1" si="3689"/>
        <v>14509.584391480093</v>
      </c>
      <c r="AS986" s="180">
        <f t="shared" ca="1" si="3689"/>
        <v>14722.495800811856</v>
      </c>
      <c r="AT986" s="180">
        <f t="shared" ca="1" si="3689"/>
        <v>14938.531439411701</v>
      </c>
      <c r="AU986" s="180">
        <f t="shared" ca="1" si="3689"/>
        <v>15157.737151739308</v>
      </c>
      <c r="AV986" s="180">
        <f t="shared" ca="1" si="3689"/>
        <v>15380.159454968903</v>
      </c>
      <c r="AW986" s="58"/>
      <c r="AX986" s="142">
        <f ca="1">SUM(G986:AW986)</f>
        <v>476381.44321316411</v>
      </c>
    </row>
    <row r="987" spans="1:50" x14ac:dyDescent="0.2"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</row>
    <row r="988" spans="1:50" collapsed="1" x14ac:dyDescent="0.2">
      <c r="A988" s="98" t="str">
        <f ca="1">Language!A$1162</f>
        <v>Начисленный налог на прибыль</v>
      </c>
      <c r="C988" s="124" t="str">
        <f t="shared" ca="1" si="3650"/>
        <v>тыс. руб.</v>
      </c>
      <c r="F988" s="100" t="s">
        <v>753</v>
      </c>
      <c r="G988" s="143">
        <f ca="1">G995*Параметры!G81</f>
        <v>0</v>
      </c>
      <c r="H988" s="143">
        <f ca="1">H995*Параметры!H81</f>
        <v>0</v>
      </c>
      <c r="I988" s="143">
        <f ca="1">I995*Параметры!I81</f>
        <v>0</v>
      </c>
      <c r="J988" s="143">
        <f ca="1">J995*Параметры!J81</f>
        <v>0</v>
      </c>
      <c r="K988" s="143">
        <f ca="1">K995*Параметры!K81</f>
        <v>0</v>
      </c>
      <c r="L988" s="143">
        <f ca="1">L995*Параметры!L81</f>
        <v>0</v>
      </c>
      <c r="M988" s="143">
        <f ca="1">M995*Параметры!M81</f>
        <v>0</v>
      </c>
      <c r="N988" s="143">
        <f ca="1">N995*Параметры!N81</f>
        <v>0</v>
      </c>
      <c r="O988" s="143">
        <f ca="1">O995*Параметры!O81</f>
        <v>0</v>
      </c>
      <c r="P988" s="143">
        <f ca="1">P995*Параметры!P81</f>
        <v>0</v>
      </c>
      <c r="Q988" s="143">
        <f ca="1">Q995*Параметры!Q81</f>
        <v>0</v>
      </c>
      <c r="R988" s="143">
        <f ca="1">R995*Параметры!R81</f>
        <v>0</v>
      </c>
      <c r="S988" s="143">
        <f ca="1">S995*Параметры!S81</f>
        <v>0</v>
      </c>
      <c r="T988" s="143">
        <f ca="1">T995*Параметры!T81</f>
        <v>0</v>
      </c>
      <c r="U988" s="143">
        <f ca="1">U995*Параметры!U81</f>
        <v>0</v>
      </c>
      <c r="V988" s="143">
        <f ca="1">V995*Параметры!V81</f>
        <v>0</v>
      </c>
      <c r="W988" s="143">
        <f ca="1">W995*Параметры!W81</f>
        <v>0</v>
      </c>
      <c r="X988" s="143">
        <f ca="1">X995*Параметры!X81</f>
        <v>0</v>
      </c>
      <c r="Y988" s="143">
        <f ca="1">Y995*Параметры!Y81</f>
        <v>0</v>
      </c>
      <c r="Z988" s="143">
        <f ca="1">Z995*Параметры!Z81</f>
        <v>0</v>
      </c>
      <c r="AA988" s="143">
        <f ca="1">AA995*Параметры!AA81</f>
        <v>0</v>
      </c>
      <c r="AB988" s="143">
        <f ca="1">AB995*Параметры!AB81</f>
        <v>0</v>
      </c>
      <c r="AC988" s="143">
        <f ca="1">AC995*Параметры!AC81</f>
        <v>0</v>
      </c>
      <c r="AD988" s="143">
        <f ca="1">AD995*Параметры!AD81</f>
        <v>0</v>
      </c>
      <c r="AE988" s="143">
        <f ca="1">AE995*Параметры!AE81</f>
        <v>0</v>
      </c>
      <c r="AF988" s="143">
        <f ca="1">AF995*Параметры!AF81</f>
        <v>0</v>
      </c>
      <c r="AG988" s="143">
        <f ca="1">AG995*Параметры!AG81</f>
        <v>0</v>
      </c>
      <c r="AH988" s="143">
        <f ca="1">AH995*Параметры!AH81</f>
        <v>0</v>
      </c>
      <c r="AI988" s="143">
        <f ca="1">AI995*Параметры!AI81</f>
        <v>0</v>
      </c>
      <c r="AJ988" s="143">
        <f ca="1">AJ995*Параметры!AJ81</f>
        <v>0</v>
      </c>
      <c r="AK988" s="143">
        <f ca="1">AK995*Параметры!AK81</f>
        <v>0</v>
      </c>
      <c r="AL988" s="143">
        <f ca="1">AL995*Параметры!AL81</f>
        <v>0</v>
      </c>
      <c r="AM988" s="143">
        <f ca="1">AM995*Параметры!AM81</f>
        <v>0</v>
      </c>
      <c r="AN988" s="143">
        <f ca="1">AN995*Параметры!AN81</f>
        <v>0</v>
      </c>
      <c r="AO988" s="143">
        <f ca="1">AO995*Параметры!AO81</f>
        <v>0</v>
      </c>
      <c r="AP988" s="143">
        <f ca="1">AP995*Параметры!AP81</f>
        <v>0</v>
      </c>
      <c r="AQ988" s="143">
        <f ca="1">AQ995*Параметры!AQ81</f>
        <v>0</v>
      </c>
      <c r="AR988" s="143">
        <f ca="1">AR995*Параметры!AR81</f>
        <v>0</v>
      </c>
      <c r="AS988" s="143">
        <f ca="1">AS995*Параметры!AS81</f>
        <v>0</v>
      </c>
      <c r="AT988" s="143">
        <f ca="1">AT995*Параметры!AT81</f>
        <v>0</v>
      </c>
      <c r="AU988" s="143">
        <f ca="1">AU995*Параметры!AU81</f>
        <v>0</v>
      </c>
      <c r="AV988" s="143">
        <f ca="1">AV995*Параметры!AV81</f>
        <v>0</v>
      </c>
      <c r="AX988" s="210">
        <f ca="1">SUM(G988:AW988)</f>
        <v>0</v>
      </c>
    </row>
    <row r="989" spans="1:50" hidden="1" outlineLevel="1" x14ac:dyDescent="0.2">
      <c r="A989" s="179" t="str">
        <f ca="1">Language!A$1163</f>
        <v>задолженность по налогу</v>
      </c>
      <c r="B989" s="188"/>
      <c r="C989" s="82" t="str">
        <f t="shared" ca="1" si="3650"/>
        <v>тыс. руб.</v>
      </c>
      <c r="D989" s="155"/>
      <c r="F989" s="100" t="s">
        <v>754</v>
      </c>
      <c r="G989" s="316">
        <f ca="1">IF(AND(Параметры!$B$82=0,G$2&gt;1),F989,G988*Параметры!$B$82/Параметры!G$31)</f>
        <v>0</v>
      </c>
      <c r="H989" s="316">
        <f ca="1">IF(AND(Параметры!$B$82=0,H$2&gt;1),G989,H988*Параметры!$B$82/Параметры!H$31)</f>
        <v>0</v>
      </c>
      <c r="I989" s="316">
        <f ca="1">IF(AND(Параметры!$B$82=0,I$2&gt;1),H989,I988*Параметры!$B$82/Параметры!I$31)</f>
        <v>0</v>
      </c>
      <c r="J989" s="316">
        <f ca="1">IF(AND(Параметры!$B$82=0,J$2&gt;1),I989,J988*Параметры!$B$82/Параметры!J$31)</f>
        <v>0</v>
      </c>
      <c r="K989" s="316">
        <f ca="1">IF(AND(Параметры!$B$82=0,K$2&gt;1),J989,K988*Параметры!$B$82/Параметры!K$31)</f>
        <v>0</v>
      </c>
      <c r="L989" s="316">
        <f ca="1">IF(AND(Параметры!$B$82=0,L$2&gt;1),K989,L988*Параметры!$B$82/Параметры!L$31)</f>
        <v>0</v>
      </c>
      <c r="M989" s="316">
        <f ca="1">IF(AND(Параметры!$B$82=0,M$2&gt;1),L989,M988*Параметры!$B$82/Параметры!M$31)</f>
        <v>0</v>
      </c>
      <c r="N989" s="316">
        <f ca="1">IF(AND(Параметры!$B$82=0,N$2&gt;1),M989,N988*Параметры!$B$82/Параметры!N$31)</f>
        <v>0</v>
      </c>
      <c r="O989" s="316">
        <f ca="1">IF(AND(Параметры!$B$82=0,O$2&gt;1),N989,O988*Параметры!$B$82/Параметры!O$31)</f>
        <v>0</v>
      </c>
      <c r="P989" s="316">
        <f ca="1">IF(AND(Параметры!$B$82=0,P$2&gt;1),O989,P988*Параметры!$B$82/Параметры!P$31)</f>
        <v>0</v>
      </c>
      <c r="Q989" s="316">
        <f ca="1">IF(AND(Параметры!$B$82=0,Q$2&gt;1),P989,Q988*Параметры!$B$82/Параметры!Q$31)</f>
        <v>0</v>
      </c>
      <c r="R989" s="316">
        <f ca="1">IF(AND(Параметры!$B$82=0,R$2&gt;1),Q989,R988*Параметры!$B$82/Параметры!R$31)</f>
        <v>0</v>
      </c>
      <c r="S989" s="316">
        <f ca="1">IF(AND(Параметры!$B$82=0,S$2&gt;1),R989,S988*Параметры!$B$82/Параметры!S$31)</f>
        <v>0</v>
      </c>
      <c r="T989" s="316">
        <f ca="1">IF(AND(Параметры!$B$82=0,T$2&gt;1),S989,T988*Параметры!$B$82/Параметры!T$31)</f>
        <v>0</v>
      </c>
      <c r="U989" s="316">
        <f ca="1">IF(AND(Параметры!$B$82=0,U$2&gt;1),T989,U988*Параметры!$B$82/Параметры!U$31)</f>
        <v>0</v>
      </c>
      <c r="V989" s="316">
        <f ca="1">IF(AND(Параметры!$B$82=0,V$2&gt;1),U989,V988*Параметры!$B$82/Параметры!V$31)</f>
        <v>0</v>
      </c>
      <c r="W989" s="316">
        <f ca="1">IF(AND(Параметры!$B$82=0,W$2&gt;1),V989,W988*Параметры!$B$82/Параметры!W$31)</f>
        <v>0</v>
      </c>
      <c r="X989" s="316">
        <f ca="1">IF(AND(Параметры!$B$82=0,X$2&gt;1),W989,X988*Параметры!$B$82/Параметры!X$31)</f>
        <v>0</v>
      </c>
      <c r="Y989" s="316">
        <f ca="1">IF(AND(Параметры!$B$82=0,Y$2&gt;1),X989,Y988*Параметры!$B$82/Параметры!Y$31)</f>
        <v>0</v>
      </c>
      <c r="Z989" s="316">
        <f ca="1">IF(AND(Параметры!$B$82=0,Z$2&gt;1),Y989,Z988*Параметры!$B$82/Параметры!Z$31)</f>
        <v>0</v>
      </c>
      <c r="AA989" s="316">
        <f ca="1">IF(AND(Параметры!$B$82=0,AA$2&gt;1),Z989,AA988*Параметры!$B$82/Параметры!AA$31)</f>
        <v>0</v>
      </c>
      <c r="AB989" s="316">
        <f ca="1">IF(AND(Параметры!$B$82=0,AB$2&gt;1),AA989,AB988*Параметры!$B$82/Параметры!AB$31)</f>
        <v>0</v>
      </c>
      <c r="AC989" s="316">
        <f ca="1">IF(AND(Параметры!$B$82=0,AC$2&gt;1),AB989,AC988*Параметры!$B$82/Параметры!AC$31)</f>
        <v>0</v>
      </c>
      <c r="AD989" s="316">
        <f ca="1">IF(AND(Параметры!$B$82=0,AD$2&gt;1),AC989,AD988*Параметры!$B$82/Параметры!AD$31)</f>
        <v>0</v>
      </c>
      <c r="AE989" s="316">
        <f ca="1">IF(AND(Параметры!$B$82=0,AE$2&gt;1),AD989,AE988*Параметры!$B$82/Параметры!AE$31)</f>
        <v>0</v>
      </c>
      <c r="AF989" s="316">
        <f ca="1">IF(AND(Параметры!$B$82=0,AF$2&gt;1),AE989,AF988*Параметры!$B$82/Параметры!AF$31)</f>
        <v>0</v>
      </c>
      <c r="AG989" s="316">
        <f ca="1">IF(AND(Параметры!$B$82=0,AG$2&gt;1),AF989,AG988*Параметры!$B$82/Параметры!AG$31)</f>
        <v>0</v>
      </c>
      <c r="AH989" s="316">
        <f ca="1">IF(AND(Параметры!$B$82=0,AH$2&gt;1),AG989,AH988*Параметры!$B$82/Параметры!AH$31)</f>
        <v>0</v>
      </c>
      <c r="AI989" s="316">
        <f ca="1">IF(AND(Параметры!$B$82=0,AI$2&gt;1),AH989,AI988*Параметры!$B$82/Параметры!AI$31)</f>
        <v>0</v>
      </c>
      <c r="AJ989" s="316">
        <f ca="1">IF(AND(Параметры!$B$82=0,AJ$2&gt;1),AI989,AJ988*Параметры!$B$82/Параметры!AJ$31)</f>
        <v>0</v>
      </c>
      <c r="AK989" s="316">
        <f ca="1">IF(AND(Параметры!$B$82=0,AK$2&gt;1),AJ989,AK988*Параметры!$B$82/Параметры!AK$31)</f>
        <v>0</v>
      </c>
      <c r="AL989" s="316">
        <f ca="1">IF(AND(Параметры!$B$82=0,AL$2&gt;1),AK989,AL988*Параметры!$B$82/Параметры!AL$31)</f>
        <v>0</v>
      </c>
      <c r="AM989" s="316">
        <f ca="1">IF(AND(Параметры!$B$82=0,AM$2&gt;1),AL989,AM988*Параметры!$B$82/Параметры!AM$31)</f>
        <v>0</v>
      </c>
      <c r="AN989" s="316">
        <f ca="1">IF(AND(Параметры!$B$82=0,AN$2&gt;1),AM989,AN988*Параметры!$B$82/Параметры!AN$31)</f>
        <v>0</v>
      </c>
      <c r="AO989" s="316">
        <f ca="1">IF(AND(Параметры!$B$82=0,AO$2&gt;1),AN989,AO988*Параметры!$B$82/Параметры!AO$31)</f>
        <v>0</v>
      </c>
      <c r="AP989" s="316">
        <f ca="1">IF(AND(Параметры!$B$82=0,AP$2&gt;1),AO989,AP988*Параметры!$B$82/Параметры!AP$31)</f>
        <v>0</v>
      </c>
      <c r="AQ989" s="316">
        <f ca="1">IF(AND(Параметры!$B$82=0,AQ$2&gt;1),AP989,AQ988*Параметры!$B$82/Параметры!AQ$31)</f>
        <v>0</v>
      </c>
      <c r="AR989" s="316">
        <f ca="1">IF(AND(Параметры!$B$82=0,AR$2&gt;1),AQ989,AR988*Параметры!$B$82/Параметры!AR$31)</f>
        <v>0</v>
      </c>
      <c r="AS989" s="316">
        <f ca="1">IF(AND(Параметры!$B$82=0,AS$2&gt;1),AR989,AS988*Параметры!$B$82/Параметры!AS$31)</f>
        <v>0</v>
      </c>
      <c r="AT989" s="316">
        <f ca="1">IF(AND(Параметры!$B$82=0,AT$2&gt;1),AS989,AT988*Параметры!$B$82/Параметры!AT$31)</f>
        <v>0</v>
      </c>
      <c r="AU989" s="316">
        <f ca="1">IF(AND(Параметры!$B$82=0,AU$2&gt;1),AT989,AU988*Параметры!$B$82/Параметры!AU$31)</f>
        <v>0</v>
      </c>
      <c r="AV989" s="316">
        <f ca="1">IF(AND(Параметры!$B$82=0,AV$2&gt;1),AU989,AV988*Параметры!$B$82/Параметры!AV$31)</f>
        <v>0</v>
      </c>
      <c r="AW989" s="168"/>
      <c r="AX989" s="142">
        <f ca="1">SUM(G989:AW989)</f>
        <v>0</v>
      </c>
    </row>
    <row r="990" spans="1:50" hidden="1" outlineLevel="1" x14ac:dyDescent="0.2">
      <c r="A990" s="179" t="str">
        <f ca="1">Language!A$1164</f>
        <v>уплаченный налог на прибыль</v>
      </c>
      <c r="B990" s="228"/>
      <c r="C990" s="82" t="str">
        <f t="shared" ca="1" si="3650"/>
        <v>тыс. руб.</v>
      </c>
      <c r="D990" s="236"/>
      <c r="E990" s="236"/>
      <c r="F990" s="100" t="s">
        <v>753</v>
      </c>
      <c r="G990" s="180">
        <f ca="1">G988-IF(G$2=1,G989,G989-F989)</f>
        <v>0</v>
      </c>
      <c r="H990" s="180">
        <f t="shared" ref="H990" ca="1" si="3690">H988-IF(H$2=1,H989,H989-G989)</f>
        <v>0</v>
      </c>
      <c r="I990" s="180">
        <f t="shared" ref="I990" ca="1" si="3691">I988-IF(I$2=1,I989,I989-H989)</f>
        <v>0</v>
      </c>
      <c r="J990" s="180">
        <f t="shared" ref="J990" ca="1" si="3692">J988-IF(J$2=1,J989,J989-I989)</f>
        <v>0</v>
      </c>
      <c r="K990" s="180">
        <f t="shared" ref="K990:AV990" ca="1" si="3693">K988-IF(K$2=1,K989,K989-J989)</f>
        <v>0</v>
      </c>
      <c r="L990" s="180">
        <f t="shared" ca="1" si="3693"/>
        <v>0</v>
      </c>
      <c r="M990" s="180">
        <f t="shared" ca="1" si="3693"/>
        <v>0</v>
      </c>
      <c r="N990" s="180">
        <f t="shared" ca="1" si="3693"/>
        <v>0</v>
      </c>
      <c r="O990" s="180">
        <f t="shared" ca="1" si="3693"/>
        <v>0</v>
      </c>
      <c r="P990" s="180">
        <f t="shared" ca="1" si="3693"/>
        <v>0</v>
      </c>
      <c r="Q990" s="180">
        <f t="shared" ca="1" si="3693"/>
        <v>0</v>
      </c>
      <c r="R990" s="180">
        <f t="shared" ca="1" si="3693"/>
        <v>0</v>
      </c>
      <c r="S990" s="180">
        <f t="shared" ca="1" si="3693"/>
        <v>0</v>
      </c>
      <c r="T990" s="180">
        <f t="shared" ca="1" si="3693"/>
        <v>0</v>
      </c>
      <c r="U990" s="180">
        <f t="shared" ca="1" si="3693"/>
        <v>0</v>
      </c>
      <c r="V990" s="180">
        <f t="shared" ca="1" si="3693"/>
        <v>0</v>
      </c>
      <c r="W990" s="180">
        <f t="shared" ca="1" si="3693"/>
        <v>0</v>
      </c>
      <c r="X990" s="180">
        <f t="shared" ca="1" si="3693"/>
        <v>0</v>
      </c>
      <c r="Y990" s="180">
        <f t="shared" ca="1" si="3693"/>
        <v>0</v>
      </c>
      <c r="Z990" s="180">
        <f t="shared" ca="1" si="3693"/>
        <v>0</v>
      </c>
      <c r="AA990" s="180">
        <f t="shared" ca="1" si="3693"/>
        <v>0</v>
      </c>
      <c r="AB990" s="180">
        <f t="shared" ca="1" si="3693"/>
        <v>0</v>
      </c>
      <c r="AC990" s="180">
        <f t="shared" ca="1" si="3693"/>
        <v>0</v>
      </c>
      <c r="AD990" s="180">
        <f t="shared" ca="1" si="3693"/>
        <v>0</v>
      </c>
      <c r="AE990" s="180">
        <f t="shared" ca="1" si="3693"/>
        <v>0</v>
      </c>
      <c r="AF990" s="180">
        <f t="shared" ca="1" si="3693"/>
        <v>0</v>
      </c>
      <c r="AG990" s="180">
        <f t="shared" ca="1" si="3693"/>
        <v>0</v>
      </c>
      <c r="AH990" s="180">
        <f t="shared" ca="1" si="3693"/>
        <v>0</v>
      </c>
      <c r="AI990" s="180">
        <f t="shared" ca="1" si="3693"/>
        <v>0</v>
      </c>
      <c r="AJ990" s="180">
        <f t="shared" ca="1" si="3693"/>
        <v>0</v>
      </c>
      <c r="AK990" s="180">
        <f t="shared" ca="1" si="3693"/>
        <v>0</v>
      </c>
      <c r="AL990" s="180">
        <f t="shared" ca="1" si="3693"/>
        <v>0</v>
      </c>
      <c r="AM990" s="180">
        <f t="shared" ca="1" si="3693"/>
        <v>0</v>
      </c>
      <c r="AN990" s="180">
        <f t="shared" ca="1" si="3693"/>
        <v>0</v>
      </c>
      <c r="AO990" s="180">
        <f t="shared" ca="1" si="3693"/>
        <v>0</v>
      </c>
      <c r="AP990" s="180">
        <f t="shared" ca="1" si="3693"/>
        <v>0</v>
      </c>
      <c r="AQ990" s="180">
        <f t="shared" ca="1" si="3693"/>
        <v>0</v>
      </c>
      <c r="AR990" s="180">
        <f t="shared" ca="1" si="3693"/>
        <v>0</v>
      </c>
      <c r="AS990" s="180">
        <f t="shared" ca="1" si="3693"/>
        <v>0</v>
      </c>
      <c r="AT990" s="180">
        <f t="shared" ca="1" si="3693"/>
        <v>0</v>
      </c>
      <c r="AU990" s="180">
        <f t="shared" ca="1" si="3693"/>
        <v>0</v>
      </c>
      <c r="AV990" s="180">
        <f t="shared" ca="1" si="3693"/>
        <v>0</v>
      </c>
      <c r="AW990" s="58"/>
      <c r="AX990" s="142">
        <f ca="1">SUM(G990:AW990)</f>
        <v>0</v>
      </c>
    </row>
    <row r="991" spans="1:50" hidden="1" outlineLevel="1" x14ac:dyDescent="0.2">
      <c r="A991" s="94" t="str">
        <f ca="1">Language!A$1165</f>
        <v>Прибыль до налогообложения</v>
      </c>
      <c r="C991" s="124" t="str">
        <f t="shared" ca="1" si="3650"/>
        <v>тыс. руб.</v>
      </c>
      <c r="F991" s="100" t="s">
        <v>753</v>
      </c>
      <c r="G991" s="138">
        <f ca="1">(OFFSET(Результаты!$F$28,0,G2)-OFFSET(Результаты!$F$19,0,G2))*Параметры!G$64-G831+ G780-G784+G795-G799+G944-G941-G787+G788-G802+G803</f>
        <v>44331.827852965929</v>
      </c>
      <c r="H991" s="138">
        <f ca="1">(OFFSET(Результаты!$F$28,0,H2)-OFFSET(Результаты!$F$19,0,H2))*Параметры!H$64-H831+ H780-H784+H795-H799+H944-H941-H787+H788-H802+H803</f>
        <v>-65844.354699052172</v>
      </c>
      <c r="I991" s="138">
        <f ca="1">(OFFSET(Результаты!$F$28,0,I2)-OFFSET(Результаты!$F$19,0,I2))*Параметры!I$64-I831+ I780-I784+I795-I799+I944-I941-I787+I788-I802+I803</f>
        <v>-68094.765445202473</v>
      </c>
      <c r="J991" s="138">
        <f ca="1">(OFFSET(Результаты!$F$28,0,J2)-OFFSET(Результаты!$F$19,0,J2))*Параметры!J$64-J831+ J780-J784+J795-J799+J944-J941-J787+J788-J802+J803</f>
        <v>-27775.456219787287</v>
      </c>
      <c r="K991" s="138">
        <f ca="1">(OFFSET(Результаты!$F$28,0,K2)-OFFSET(Результаты!$F$19,0,K2))*Параметры!K$64-K831+ K780-K784+K795-K799+K944-K941-K787+K788-K802+K803</f>
        <v>141165.94905769132</v>
      </c>
      <c r="L991" s="138">
        <f ca="1">(OFFSET(Результаты!$F$28,0,L2)-OFFSET(Результаты!$F$19,0,L2))*Параметры!L$64-L831+ L780-L784+L795-L799+L944-L941-L787+L788-L802+L803</f>
        <v>-5206.4373415209266</v>
      </c>
      <c r="M991" s="138">
        <f ca="1">(OFFSET(Результаты!$F$28,0,M2)-OFFSET(Результаты!$F$19,0,M2))*Параметры!M$64-M831+ M780-M784+M795-M799+M944-M941-M787+M788-M802+M803</f>
        <v>-26679.054075166554</v>
      </c>
      <c r="N991" s="138">
        <f ca="1">(OFFSET(Результаты!$F$28,0,N2)-OFFSET(Результаты!$F$19,0,N2))*Параметры!N$64-N831+ N780-N784+N795-N799+N944-N941-N787+N788-N802+N803</f>
        <v>12609.12601560584</v>
      </c>
      <c r="O991" s="138">
        <f ca="1">(OFFSET(Результаты!$F$28,0,O2)-OFFSET(Результаты!$F$19,0,O2))*Параметры!O$64-O831+ O780-O784+O795-O799+O944-O941-O787+O788-O802+O803</f>
        <v>204300.59888039241</v>
      </c>
      <c r="P991" s="138">
        <f ca="1">(OFFSET(Результаты!$F$28,0,P2)-OFFSET(Результаты!$F$19,0,P2))*Параметры!P$64-P831+ P780-P784+P795-P799+P944-P941-P787+P788-P802+P803</f>
        <v>37629.142706753541</v>
      </c>
      <c r="Q991" s="138">
        <f ca="1">(OFFSET(Результаты!$F$28,0,Q2)-OFFSET(Результаты!$F$19,0,Q2))*Параметры!Q$64-Q831+ Q780-Q784+Q795-Q799+Q944-Q941-Q787+Q788-Q802+Q803</f>
        <v>19318.886940916083</v>
      </c>
      <c r="R991" s="138">
        <f ca="1">(OFFSET(Результаты!$F$28,0,R2)-OFFSET(Результаты!$F$19,0,R2))*Параметры!R$64-R831+ R780-R784+R795-R799+R944-R941-R787+R788-R802+R803</f>
        <v>50157.46229993306</v>
      </c>
      <c r="S991" s="138">
        <f ca="1">(OFFSET(Результаты!$F$28,0,S2)-OFFSET(Результаты!$F$19,0,S2))*Параметры!S$64-S831+ S780-S784+S795-S799+S944-S941-S787+S788-S802+S803</f>
        <v>242217.18710164522</v>
      </c>
      <c r="T991" s="138">
        <f ca="1">(OFFSET(Результаты!$F$28,0,T2)-OFFSET(Результаты!$F$19,0,T2))*Параметры!T$64-T831+ T780-T784+T795-T799+T944-T941-T787+T788-T802+T803</f>
        <v>54078.615832384516</v>
      </c>
      <c r="U991" s="138">
        <f ca="1">(OFFSET(Результаты!$F$28,0,U2)-OFFSET(Результаты!$F$19,0,U2))*Параметры!U$64-U831+ U780-U784+U795-U799+U944-U941-U787+U788-U802+U803</f>
        <v>38880.26044725765</v>
      </c>
      <c r="V991" s="138">
        <f ca="1">(OFFSET(Результаты!$F$28,0,V2)-OFFSET(Результаты!$F$19,0,V2))*Параметры!V$64-V831+ V780-V784+V795-V799+V944-V941-V787+V788-V802+V803</f>
        <v>71966.121693495312</v>
      </c>
      <c r="W991" s="138">
        <f ca="1">(OFFSET(Результаты!$F$28,0,W2)-OFFSET(Результаты!$F$19,0,W2))*Параметры!W$64-W831+ W780-W784+W795-W799+W944-W941-W787+W788-W802+W803</f>
        <v>276174.25425713346</v>
      </c>
      <c r="X991" s="138">
        <f ca="1">(OFFSET(Результаты!$F$28,0,X2)-OFFSET(Результаты!$F$19,0,X2))*Параметры!X$64-X831+ X780-X784+X795-X799+X944-X941-X787+X788-X802+X803</f>
        <v>77305.554012828594</v>
      </c>
      <c r="Y991" s="138">
        <f ca="1">(OFFSET(Результаты!$F$28,0,Y2)-OFFSET(Результаты!$F$19,0,Y2))*Параметры!Y$64-Y831+ Y780-Y784+Y795-Y799+Y944-Y941-Y787+Y788-Y802+Y803</f>
        <v>45935.670480929344</v>
      </c>
      <c r="Z991" s="138">
        <f ca="1">(OFFSET(Результаты!$F$28,0,Z2)-OFFSET(Результаты!$F$19,0,Z2))*Параметры!Z$64-Z831+ Z780-Z784+Z795-Z799+Z944-Z941-Z787+Z788-Z802+Z803</f>
        <v>81003.273371679708</v>
      </c>
      <c r="AA991" s="138">
        <f ca="1">(OFFSET(Результаты!$F$28,0,AA2)-OFFSET(Результаты!$F$19,0,AA2))*Параметры!AA$64-AA831+ AA780-AA784+AA795-AA799+AA944-AA941-AA787+AA788-AA802+AA803</f>
        <v>297460.36366345204</v>
      </c>
      <c r="AB991" s="138">
        <f ca="1">(OFFSET(Результаты!$F$28,0,AB2)-OFFSET(Результаты!$F$19,0,AB2))*Параметры!AB$64-AB831+ AB780-AB784+AB795-AB799+AB944-AB941-AB787+AB788-AB802+AB803</f>
        <v>86655.888333450217</v>
      </c>
      <c r="AC991" s="138">
        <f ca="1">(OFFSET(Результаты!$F$28,0,AC2)-OFFSET(Результаты!$F$19,0,AC2))*Параметры!AC$64-AC831+ AC780-AC784+AC795-AC799+AC944-AC941-AC787+AC788-AC802+AC803</f>
        <v>61574.517032483054</v>
      </c>
      <c r="AD991" s="138">
        <f ca="1">(OFFSET(Результаты!$F$28,0,AD2)-OFFSET(Результаты!$F$19,0,AD2))*Параметры!AD$64-AD831+ AD780-AD784+AD795-AD799+AD944-AD941-AD787+AD788-AD802+AD803</f>
        <v>98877.108390776048</v>
      </c>
      <c r="AE991" s="138">
        <f ca="1">(OFFSET(Результаты!$F$28,0,AE2)-OFFSET(Результаты!$F$19,0,AE2))*Параметры!AE$64-AE831+ AE780-AE784+AE795-AE799+AE944-AE941-AE787+AE788-AE802+AE803</f>
        <v>328454.59235590452</v>
      </c>
      <c r="AF991" s="138">
        <f ca="1">(OFFSET(Результаты!$F$28,0,AF2)-OFFSET(Результаты!$F$19,0,AF2))*Параметры!AF$64-AF831+ AF780-AF784+AF795-AF799+AF944-AF941-AF787+AF788-AF802+AF803</f>
        <v>105136.8840507221</v>
      </c>
      <c r="AG991" s="138">
        <f ca="1">(OFFSET(Результаты!$F$28,0,AG2)-OFFSET(Результаты!$F$19,0,AG2))*Параметры!AG$64-AG831+ AG780-AG784+AG795-AG799+AG944-AG941-AG787+AG788-AG802+AG803</f>
        <v>73512.862868337717</v>
      </c>
      <c r="AH991" s="138">
        <f ca="1">(OFFSET(Результаты!$F$28,0,AH2)-OFFSET(Результаты!$F$19,0,AH2))*Параметры!AH$64-AH831+ AH780-AH784+AH795-AH799+AH944-AH941-AH787+AH788-AH802+AH803</f>
        <v>113107.53020916408</v>
      </c>
      <c r="AI991" s="138">
        <f ca="1">(OFFSET(Результаты!$F$28,0,AI2)-OFFSET(Результаты!$F$19,0,AI2))*Параметры!AI$64-AI831+ AI780-AI784+AI795-AI799+AI944-AI941-AI787+AI788-AI802+AI803</f>
        <v>356514.37642216019</v>
      </c>
      <c r="AJ991" s="138">
        <f ca="1">(OFFSET(Результаты!$F$28,0,AJ2)-OFFSET(Результаты!$F$19,0,AJ2))*Параметры!AJ$64-AJ831+ AJ780-AJ784+AJ795-AJ799+AJ944-AJ941-AJ787+AJ788-AJ802+AJ803</f>
        <v>119853.12318848165</v>
      </c>
      <c r="AK991" s="138">
        <f ca="1">(OFFSET(Результаты!$F$28,0,AK2)-OFFSET(Результаты!$F$19,0,AK2))*Параметры!AK$64-AK831+ AK780-AK784+AK795-AK799+AK944-AK941-AK787+AK788-AK802+AK803</f>
        <v>83265.785889333158</v>
      </c>
      <c r="AL991" s="138">
        <f ca="1">(OFFSET(Результаты!$F$28,0,AL2)-OFFSET(Результаты!$F$19,0,AL2))*Параметры!AL$64-AL831+ AL780-AL784+AL795-AL799+AL944-AL941-AL787+AL788-AL802+AL803</f>
        <v>125241.7967112547</v>
      </c>
      <c r="AM991" s="138">
        <f ca="1">(OFFSET(Результаты!$F$28,0,AM2)-OFFSET(Результаты!$F$19,0,AM2))*Параметры!AM$64-AM831+ AM780-AM784+AM795-AM799+AM944-AM941-AM787+AM788-AM802+AM803</f>
        <v>382713.42870513449</v>
      </c>
      <c r="AN991" s="138">
        <f ca="1">(OFFSET(Результаты!$F$28,0,AN2)-OFFSET(Результаты!$F$19,0,AN2))*Параметры!AN$64-AN831+ AN780-AN784+AN795-AN799+AN944-AN941-AN787+AN788-AN802+AN803</f>
        <v>131300.85316165673</v>
      </c>
      <c r="AO991" s="138">
        <f ca="1">(OFFSET(Результаты!$F$28,0,AO2)-OFFSET(Результаты!$F$19,0,AO2))*Параметры!AO$64-AO831+ AO780-AO784+AO795-AO799+AO944-AO941-AO787+AO788-AO802+AO803</f>
        <v>92869.355770272232</v>
      </c>
      <c r="AP991" s="138">
        <f ca="1">(OFFSET(Результаты!$F$28,0,AP2)-OFFSET(Результаты!$F$19,0,AP2))*Параметры!AP$64-AP831+ AP780-AP784+AP795-AP799+AP944-AP941-AP787+AP788-AP802+AP803</f>
        <v>136977.70430149656</v>
      </c>
      <c r="AQ991" s="138">
        <f ca="1">(OFFSET(Результаты!$F$28,0,AQ2)-OFFSET(Результаты!$F$19,0,AQ2))*Параметры!AQ$64-AQ831+ AQ780-AQ784+AQ795-AQ799+AQ944-AQ941-AQ787+AQ788-AQ802+AQ803</f>
        <v>479080.91474479472</v>
      </c>
      <c r="AR991" s="138">
        <f ca="1">(OFFSET(Результаты!$F$28,0,AR2)-OFFSET(Результаты!$F$19,0,AR2))*Параметры!AR$64-AR831+ AR780-AR784+AR795-AR799+AR944-AR941-AR787+AR788-AR802+AR803</f>
        <v>212576.73410545464</v>
      </c>
      <c r="AS991" s="138">
        <f ca="1">(OFFSET(Результаты!$F$28,0,AS2)-OFFSET(Результаты!$F$19,0,AS2))*Параметры!AS$64-AS831+ AS780-AS784+AS795-AS799+AS944-AS941-AS787+AS788-AS802+AS803</f>
        <v>145686.83895247825</v>
      </c>
      <c r="AT991" s="138">
        <f ca="1">(OFFSET(Результаты!$F$28,0,AT2)-OFFSET(Результаты!$F$19,0,AT2))*Параметры!AT$64-AT831+ AT780-AT784+AT795-AT799+AT944-AT941-AT787+AT788-AT802+AT803</f>
        <v>192050.97943010391</v>
      </c>
      <c r="AU991" s="138">
        <f ca="1">(OFFSET(Результаты!$F$28,0,AU2)-OFFSET(Результаты!$F$19,0,AU2))*Параметры!AU$64-AU831+ AU780-AU784+AU795-AU799+AU944-AU941-AU787+AU788-AU802+AU803</f>
        <v>487064.22685669246</v>
      </c>
      <c r="AV991" s="138">
        <f ca="1">(OFFSET(Результаты!$F$28,0,AV2)-OFFSET(Результаты!$F$19,0,AV2))*Параметры!AV$64-AV831+ AV780-AV784+AV795-AV799+AV944-AV941-AV787+AV788-AV802+AV803</f>
        <v>204167.53587886912</v>
      </c>
      <c r="AX991" s="142">
        <f ca="1">SUM(G991:AW991)</f>
        <v>5517617.2641933551</v>
      </c>
    </row>
    <row r="992" spans="1:50" hidden="1" outlineLevel="1" x14ac:dyDescent="0.2">
      <c r="A992" s="167" t="str">
        <f ca="1">Language!A$1166</f>
        <v>Доходы, не облагаемые налогом</v>
      </c>
      <c r="C992" s="82" t="str">
        <f t="shared" ca="1" si="3650"/>
        <v>тыс. руб.</v>
      </c>
      <c r="F992" s="100" t="s">
        <v>753</v>
      </c>
      <c r="G992" s="316">
        <v>0</v>
      </c>
      <c r="H992" s="316">
        <v>0</v>
      </c>
      <c r="I992" s="316">
        <v>0</v>
      </c>
      <c r="J992" s="316">
        <v>0</v>
      </c>
      <c r="K992" s="316">
        <v>0</v>
      </c>
      <c r="L992" s="316">
        <v>0</v>
      </c>
      <c r="M992" s="316">
        <v>0</v>
      </c>
      <c r="N992" s="316">
        <v>0</v>
      </c>
      <c r="O992" s="316">
        <v>0</v>
      </c>
      <c r="P992" s="316">
        <v>0</v>
      </c>
      <c r="Q992" s="316">
        <v>0</v>
      </c>
      <c r="R992" s="316">
        <v>0</v>
      </c>
      <c r="S992" s="316">
        <v>0</v>
      </c>
      <c r="T992" s="316">
        <v>0</v>
      </c>
      <c r="U992" s="316">
        <v>0</v>
      </c>
      <c r="V992" s="316">
        <v>0</v>
      </c>
      <c r="W992" s="316">
        <v>0</v>
      </c>
      <c r="X992" s="316">
        <v>0</v>
      </c>
      <c r="Y992" s="316">
        <v>0</v>
      </c>
      <c r="Z992" s="316">
        <v>0</v>
      </c>
      <c r="AA992" s="316">
        <v>0</v>
      </c>
      <c r="AB992" s="316">
        <v>0</v>
      </c>
      <c r="AC992" s="316">
        <v>0</v>
      </c>
      <c r="AD992" s="316">
        <v>0</v>
      </c>
      <c r="AE992" s="316">
        <v>0</v>
      </c>
      <c r="AF992" s="316">
        <v>0</v>
      </c>
      <c r="AG992" s="316">
        <v>0</v>
      </c>
      <c r="AH992" s="316">
        <v>0</v>
      </c>
      <c r="AI992" s="316">
        <v>0</v>
      </c>
      <c r="AJ992" s="316">
        <v>0</v>
      </c>
      <c r="AK992" s="316">
        <v>0</v>
      </c>
      <c r="AL992" s="316">
        <v>0</v>
      </c>
      <c r="AM992" s="316">
        <v>0</v>
      </c>
      <c r="AN992" s="316">
        <v>0</v>
      </c>
      <c r="AO992" s="316">
        <v>0</v>
      </c>
      <c r="AP992" s="316">
        <v>0</v>
      </c>
      <c r="AQ992" s="316">
        <v>0</v>
      </c>
      <c r="AR992" s="316">
        <v>0</v>
      </c>
      <c r="AS992" s="316">
        <v>0</v>
      </c>
      <c r="AT992" s="316">
        <v>0</v>
      </c>
      <c r="AU992" s="316">
        <v>0</v>
      </c>
      <c r="AV992" s="316">
        <v>0</v>
      </c>
      <c r="AX992" s="142">
        <f>SUM(G992:AW992)</f>
        <v>0</v>
      </c>
    </row>
    <row r="993" spans="1:50" hidden="1" outlineLevel="1" x14ac:dyDescent="0.2">
      <c r="A993" s="38" t="str">
        <f ca="1">Language!A$1167</f>
        <v>Убытки предыдущих периодов</v>
      </c>
      <c r="C993" s="124" t="str">
        <f t="shared" ca="1" si="3650"/>
        <v>тыс. руб.</v>
      </c>
      <c r="F993" s="100" t="s">
        <v>754</v>
      </c>
      <c r="G993" s="138">
        <f>IF(G$2=1,0,MIN(F991-F992,0)+F993-F994)</f>
        <v>0</v>
      </c>
      <c r="H993" s="138">
        <f t="shared" ref="H993:AV993" ca="1" si="3694">IF(H$2=1,0,MIN(G991-G992,0)+G993-G994)</f>
        <v>0</v>
      </c>
      <c r="I993" s="138">
        <f t="shared" ca="1" si="3694"/>
        <v>-65844.354699052172</v>
      </c>
      <c r="J993" s="138">
        <f t="shared" ca="1" si="3694"/>
        <v>-133939.12014425464</v>
      </c>
      <c r="K993" s="138">
        <f t="shared" ca="1" si="3694"/>
        <v>-161714.57636404195</v>
      </c>
      <c r="L993" s="138">
        <f t="shared" ca="1" si="3694"/>
        <v>-20548.627306350623</v>
      </c>
      <c r="M993" s="138">
        <f t="shared" ca="1" si="3694"/>
        <v>-25755.06464787155</v>
      </c>
      <c r="N993" s="138">
        <f t="shared" ca="1" si="3694"/>
        <v>-52434.118723038104</v>
      </c>
      <c r="O993" s="138">
        <f t="shared" ca="1" si="3694"/>
        <v>-39824.992707432262</v>
      </c>
      <c r="P993" s="138">
        <f t="shared" ca="1" si="3694"/>
        <v>0</v>
      </c>
      <c r="Q993" s="138">
        <f t="shared" ca="1" si="3694"/>
        <v>0</v>
      </c>
      <c r="R993" s="138">
        <f t="shared" ca="1" si="3694"/>
        <v>0</v>
      </c>
      <c r="S993" s="138">
        <f t="shared" ca="1" si="3694"/>
        <v>0</v>
      </c>
      <c r="T993" s="138">
        <f t="shared" ca="1" si="3694"/>
        <v>0</v>
      </c>
      <c r="U993" s="138">
        <f t="shared" ca="1" si="3694"/>
        <v>0</v>
      </c>
      <c r="V993" s="138">
        <f t="shared" ca="1" si="3694"/>
        <v>0</v>
      </c>
      <c r="W993" s="138">
        <f t="shared" ca="1" si="3694"/>
        <v>0</v>
      </c>
      <c r="X993" s="138">
        <f t="shared" ca="1" si="3694"/>
        <v>0</v>
      </c>
      <c r="Y993" s="138">
        <f t="shared" ca="1" si="3694"/>
        <v>0</v>
      </c>
      <c r="Z993" s="138">
        <f t="shared" ca="1" si="3694"/>
        <v>0</v>
      </c>
      <c r="AA993" s="138">
        <f t="shared" ca="1" si="3694"/>
        <v>0</v>
      </c>
      <c r="AB993" s="138">
        <f t="shared" ca="1" si="3694"/>
        <v>0</v>
      </c>
      <c r="AC993" s="138">
        <f t="shared" ca="1" si="3694"/>
        <v>0</v>
      </c>
      <c r="AD993" s="138">
        <f t="shared" ca="1" si="3694"/>
        <v>0</v>
      </c>
      <c r="AE993" s="138">
        <f t="shared" ca="1" si="3694"/>
        <v>0</v>
      </c>
      <c r="AF993" s="138">
        <f t="shared" ca="1" si="3694"/>
        <v>0</v>
      </c>
      <c r="AG993" s="138">
        <f t="shared" ca="1" si="3694"/>
        <v>0</v>
      </c>
      <c r="AH993" s="138">
        <f t="shared" ca="1" si="3694"/>
        <v>0</v>
      </c>
      <c r="AI993" s="138">
        <f t="shared" ca="1" si="3694"/>
        <v>0</v>
      </c>
      <c r="AJ993" s="138">
        <f t="shared" ca="1" si="3694"/>
        <v>0</v>
      </c>
      <c r="AK993" s="138">
        <f t="shared" ca="1" si="3694"/>
        <v>0</v>
      </c>
      <c r="AL993" s="138">
        <f t="shared" ca="1" si="3694"/>
        <v>0</v>
      </c>
      <c r="AM993" s="138">
        <f t="shared" ca="1" si="3694"/>
        <v>0</v>
      </c>
      <c r="AN993" s="138">
        <f t="shared" ca="1" si="3694"/>
        <v>0</v>
      </c>
      <c r="AO993" s="138">
        <f t="shared" ca="1" si="3694"/>
        <v>0</v>
      </c>
      <c r="AP993" s="138">
        <f t="shared" ca="1" si="3694"/>
        <v>0</v>
      </c>
      <c r="AQ993" s="138">
        <f t="shared" ca="1" si="3694"/>
        <v>0</v>
      </c>
      <c r="AR993" s="138">
        <f t="shared" ca="1" si="3694"/>
        <v>0</v>
      </c>
      <c r="AS993" s="138">
        <f t="shared" ca="1" si="3694"/>
        <v>0</v>
      </c>
      <c r="AT993" s="138">
        <f t="shared" ca="1" si="3694"/>
        <v>0</v>
      </c>
      <c r="AU993" s="138">
        <f t="shared" ca="1" si="3694"/>
        <v>0</v>
      </c>
      <c r="AV993" s="138">
        <f t="shared" ca="1" si="3694"/>
        <v>0</v>
      </c>
      <c r="AX993" s="142"/>
    </row>
    <row r="994" spans="1:50" hidden="1" outlineLevel="1" x14ac:dyDescent="0.2">
      <c r="A994" s="38" t="str">
        <f ca="1">Language!A$1168</f>
        <v>Списание убытков предыдущих периодов</v>
      </c>
      <c r="C994" s="124" t="str">
        <f t="shared" ca="1" si="3650"/>
        <v>тыс. руб.</v>
      </c>
      <c r="F994" s="100" t="s">
        <v>753</v>
      </c>
      <c r="G994" s="138">
        <f ca="1">-IF(G991-G992&gt;0,MIN(-G993,G991-G992),0)</f>
        <v>0</v>
      </c>
      <c r="H994" s="138">
        <f t="shared" ref="H994:K994" ca="1" si="3695">-IF(H991-H992&gt;0,MIN(-H993,H991-H992),0)</f>
        <v>0</v>
      </c>
      <c r="I994" s="138">
        <f t="shared" ca="1" si="3695"/>
        <v>0</v>
      </c>
      <c r="J994" s="138">
        <f t="shared" ca="1" si="3695"/>
        <v>0</v>
      </c>
      <c r="K994" s="138">
        <f t="shared" ca="1" si="3695"/>
        <v>-141165.94905769132</v>
      </c>
      <c r="L994" s="138">
        <f t="shared" ref="L994:M994" ca="1" si="3696">-IF(L991-L992&gt;0,MIN(-L993,L991-L992),0)</f>
        <v>0</v>
      </c>
      <c r="M994" s="138">
        <f t="shared" ca="1" si="3696"/>
        <v>0</v>
      </c>
      <c r="N994" s="138">
        <f t="shared" ref="N994:O994" ca="1" si="3697">-IF(N991-N992&gt;0,MIN(-N993,N991-N992),0)</f>
        <v>-12609.12601560584</v>
      </c>
      <c r="O994" s="138">
        <f t="shared" ca="1" si="3697"/>
        <v>-39824.992707432262</v>
      </c>
      <c r="P994" s="138">
        <f t="shared" ref="P994:Q994" ca="1" si="3698">-IF(P991-P992&gt;0,MIN(-P993,P991-P992),0)</f>
        <v>0</v>
      </c>
      <c r="Q994" s="138">
        <f t="shared" ca="1" si="3698"/>
        <v>0</v>
      </c>
      <c r="R994" s="138">
        <f t="shared" ref="R994:S994" ca="1" si="3699">-IF(R991-R992&gt;0,MIN(-R993,R991-R992),0)</f>
        <v>0</v>
      </c>
      <c r="S994" s="138">
        <f t="shared" ca="1" si="3699"/>
        <v>0</v>
      </c>
      <c r="T994" s="138">
        <f t="shared" ref="T994:U994" ca="1" si="3700">-IF(T991-T992&gt;0,MIN(-T993,T991-T992),0)</f>
        <v>0</v>
      </c>
      <c r="U994" s="138">
        <f t="shared" ca="1" si="3700"/>
        <v>0</v>
      </c>
      <c r="V994" s="138">
        <f t="shared" ref="V994:W994" ca="1" si="3701">-IF(V991-V992&gt;0,MIN(-V993,V991-V992),0)</f>
        <v>0</v>
      </c>
      <c r="W994" s="138">
        <f t="shared" ca="1" si="3701"/>
        <v>0</v>
      </c>
      <c r="X994" s="138">
        <f t="shared" ref="X994:Y994" ca="1" si="3702">-IF(X991-X992&gt;0,MIN(-X993,X991-X992),0)</f>
        <v>0</v>
      </c>
      <c r="Y994" s="138">
        <f t="shared" ca="1" si="3702"/>
        <v>0</v>
      </c>
      <c r="Z994" s="138">
        <f t="shared" ref="Z994:AA994" ca="1" si="3703">-IF(Z991-Z992&gt;0,MIN(-Z993,Z991-Z992),0)</f>
        <v>0</v>
      </c>
      <c r="AA994" s="138">
        <f t="shared" ca="1" si="3703"/>
        <v>0</v>
      </c>
      <c r="AB994" s="138">
        <f t="shared" ref="AB994:AC994" ca="1" si="3704">-IF(AB991-AB992&gt;0,MIN(-AB993,AB991-AB992),0)</f>
        <v>0</v>
      </c>
      <c r="AC994" s="138">
        <f t="shared" ca="1" si="3704"/>
        <v>0</v>
      </c>
      <c r="AD994" s="138">
        <f t="shared" ref="AD994:AE994" ca="1" si="3705">-IF(AD991-AD992&gt;0,MIN(-AD993,AD991-AD992),0)</f>
        <v>0</v>
      </c>
      <c r="AE994" s="138">
        <f t="shared" ca="1" si="3705"/>
        <v>0</v>
      </c>
      <c r="AF994" s="138">
        <f t="shared" ref="AF994:AG994" ca="1" si="3706">-IF(AF991-AF992&gt;0,MIN(-AF993,AF991-AF992),0)</f>
        <v>0</v>
      </c>
      <c r="AG994" s="138">
        <f t="shared" ca="1" si="3706"/>
        <v>0</v>
      </c>
      <c r="AH994" s="138">
        <f t="shared" ref="AH994:AI994" ca="1" si="3707">-IF(AH991-AH992&gt;0,MIN(-AH993,AH991-AH992),0)</f>
        <v>0</v>
      </c>
      <c r="AI994" s="138">
        <f t="shared" ca="1" si="3707"/>
        <v>0</v>
      </c>
      <c r="AJ994" s="138">
        <f t="shared" ref="AJ994:AK994" ca="1" si="3708">-IF(AJ991-AJ992&gt;0,MIN(-AJ993,AJ991-AJ992),0)</f>
        <v>0</v>
      </c>
      <c r="AK994" s="138">
        <f t="shared" ca="1" si="3708"/>
        <v>0</v>
      </c>
      <c r="AL994" s="138">
        <f t="shared" ref="AL994:AM994" ca="1" si="3709">-IF(AL991-AL992&gt;0,MIN(-AL993,AL991-AL992),0)</f>
        <v>0</v>
      </c>
      <c r="AM994" s="138">
        <f t="shared" ca="1" si="3709"/>
        <v>0</v>
      </c>
      <c r="AN994" s="138">
        <f t="shared" ref="AN994:AO994" ca="1" si="3710">-IF(AN991-AN992&gt;0,MIN(-AN993,AN991-AN992),0)</f>
        <v>0</v>
      </c>
      <c r="AO994" s="138">
        <f t="shared" ca="1" si="3710"/>
        <v>0</v>
      </c>
      <c r="AP994" s="138">
        <f t="shared" ref="AP994:AQ994" ca="1" si="3711">-IF(AP991-AP992&gt;0,MIN(-AP993,AP991-AP992),0)</f>
        <v>0</v>
      </c>
      <c r="AQ994" s="138">
        <f t="shared" ca="1" si="3711"/>
        <v>0</v>
      </c>
      <c r="AR994" s="138">
        <f t="shared" ref="AR994:AS994" ca="1" si="3712">-IF(AR991-AR992&gt;0,MIN(-AR993,AR991-AR992),0)</f>
        <v>0</v>
      </c>
      <c r="AS994" s="138">
        <f t="shared" ca="1" si="3712"/>
        <v>0</v>
      </c>
      <c r="AT994" s="138">
        <f t="shared" ref="AT994:AU994" ca="1" si="3713">-IF(AT991-AT992&gt;0,MIN(-AT993,AT991-AT992),0)</f>
        <v>0</v>
      </c>
      <c r="AU994" s="138">
        <f t="shared" ca="1" si="3713"/>
        <v>0</v>
      </c>
      <c r="AV994" s="138">
        <f t="shared" ref="AV994" ca="1" si="3714">-IF(AV991-AV992&gt;0,MIN(-AV993,AV991-AV992),0)</f>
        <v>0</v>
      </c>
      <c r="AX994" s="142">
        <f ca="1">SUM(G994:AW994)</f>
        <v>-193600.06778072944</v>
      </c>
    </row>
    <row r="995" spans="1:50" hidden="1" outlineLevel="1" x14ac:dyDescent="0.2">
      <c r="A995" s="38" t="str">
        <f ca="1">Language!A$1169</f>
        <v>Прибыль для налогообложения</v>
      </c>
      <c r="C995" s="124" t="str">
        <f t="shared" ca="1" si="3650"/>
        <v>тыс. руб.</v>
      </c>
      <c r="F995" s="100" t="s">
        <v>753</v>
      </c>
      <c r="G995" s="138">
        <f ca="1">MAX(G991-G992+G994,0)</f>
        <v>44331.827852965929</v>
      </c>
      <c r="H995" s="138">
        <f t="shared" ref="H995:K995" ca="1" si="3715">MAX(H991-H992+H994,0)</f>
        <v>0</v>
      </c>
      <c r="I995" s="138">
        <f t="shared" ca="1" si="3715"/>
        <v>0</v>
      </c>
      <c r="J995" s="138">
        <f t="shared" ca="1" si="3715"/>
        <v>0</v>
      </c>
      <c r="K995" s="138">
        <f t="shared" ca="1" si="3715"/>
        <v>0</v>
      </c>
      <c r="L995" s="138">
        <f t="shared" ref="L995:M995" ca="1" si="3716">MAX(L991-L992+L994,0)</f>
        <v>0</v>
      </c>
      <c r="M995" s="138">
        <f t="shared" ca="1" si="3716"/>
        <v>0</v>
      </c>
      <c r="N995" s="138">
        <f t="shared" ref="N995:O995" ca="1" si="3717">MAX(N991-N992+N994,0)</f>
        <v>0</v>
      </c>
      <c r="O995" s="138">
        <f t="shared" ca="1" si="3717"/>
        <v>164475.60617296014</v>
      </c>
      <c r="P995" s="138">
        <f t="shared" ref="P995:Q995" ca="1" si="3718">MAX(P991-P992+P994,0)</f>
        <v>37629.142706753541</v>
      </c>
      <c r="Q995" s="138">
        <f t="shared" ca="1" si="3718"/>
        <v>19318.886940916083</v>
      </c>
      <c r="R995" s="138">
        <f t="shared" ref="R995:S995" ca="1" si="3719">MAX(R991-R992+R994,0)</f>
        <v>50157.46229993306</v>
      </c>
      <c r="S995" s="138">
        <f t="shared" ca="1" si="3719"/>
        <v>242217.18710164522</v>
      </c>
      <c r="T995" s="138">
        <f t="shared" ref="T995:U995" ca="1" si="3720">MAX(T991-T992+T994,0)</f>
        <v>54078.615832384516</v>
      </c>
      <c r="U995" s="138">
        <f t="shared" ca="1" si="3720"/>
        <v>38880.26044725765</v>
      </c>
      <c r="V995" s="138">
        <f t="shared" ref="V995:W995" ca="1" si="3721">MAX(V991-V992+V994,0)</f>
        <v>71966.121693495312</v>
      </c>
      <c r="W995" s="138">
        <f t="shared" ca="1" si="3721"/>
        <v>276174.25425713346</v>
      </c>
      <c r="X995" s="138">
        <f t="shared" ref="X995:Y995" ca="1" si="3722">MAX(X991-X992+X994,0)</f>
        <v>77305.554012828594</v>
      </c>
      <c r="Y995" s="138">
        <f t="shared" ca="1" si="3722"/>
        <v>45935.670480929344</v>
      </c>
      <c r="Z995" s="138">
        <f t="shared" ref="Z995:AA995" ca="1" si="3723">MAX(Z991-Z992+Z994,0)</f>
        <v>81003.273371679708</v>
      </c>
      <c r="AA995" s="138">
        <f t="shared" ca="1" si="3723"/>
        <v>297460.36366345204</v>
      </c>
      <c r="AB995" s="138">
        <f t="shared" ref="AB995:AC995" ca="1" si="3724">MAX(AB991-AB992+AB994,0)</f>
        <v>86655.888333450217</v>
      </c>
      <c r="AC995" s="138">
        <f t="shared" ca="1" si="3724"/>
        <v>61574.517032483054</v>
      </c>
      <c r="AD995" s="138">
        <f t="shared" ref="AD995:AE995" ca="1" si="3725">MAX(AD991-AD992+AD994,0)</f>
        <v>98877.108390776048</v>
      </c>
      <c r="AE995" s="138">
        <f t="shared" ca="1" si="3725"/>
        <v>328454.59235590452</v>
      </c>
      <c r="AF995" s="138">
        <f t="shared" ref="AF995:AG995" ca="1" si="3726">MAX(AF991-AF992+AF994,0)</f>
        <v>105136.8840507221</v>
      </c>
      <c r="AG995" s="138">
        <f t="shared" ca="1" si="3726"/>
        <v>73512.862868337717</v>
      </c>
      <c r="AH995" s="138">
        <f t="shared" ref="AH995:AI995" ca="1" si="3727">MAX(AH991-AH992+AH994,0)</f>
        <v>113107.53020916408</v>
      </c>
      <c r="AI995" s="138">
        <f t="shared" ca="1" si="3727"/>
        <v>356514.37642216019</v>
      </c>
      <c r="AJ995" s="138">
        <f t="shared" ref="AJ995:AK995" ca="1" si="3728">MAX(AJ991-AJ992+AJ994,0)</f>
        <v>119853.12318848165</v>
      </c>
      <c r="AK995" s="138">
        <f t="shared" ca="1" si="3728"/>
        <v>83265.785889333158</v>
      </c>
      <c r="AL995" s="138">
        <f t="shared" ref="AL995:AM995" ca="1" si="3729">MAX(AL991-AL992+AL994,0)</f>
        <v>125241.7967112547</v>
      </c>
      <c r="AM995" s="138">
        <f t="shared" ca="1" si="3729"/>
        <v>382713.42870513449</v>
      </c>
      <c r="AN995" s="138">
        <f t="shared" ref="AN995:AO995" ca="1" si="3730">MAX(AN991-AN992+AN994,0)</f>
        <v>131300.85316165673</v>
      </c>
      <c r="AO995" s="138">
        <f t="shared" ca="1" si="3730"/>
        <v>92869.355770272232</v>
      </c>
      <c r="AP995" s="138">
        <f t="shared" ref="AP995:AQ995" ca="1" si="3731">MAX(AP991-AP992+AP994,0)</f>
        <v>136977.70430149656</v>
      </c>
      <c r="AQ995" s="138">
        <f t="shared" ca="1" si="3731"/>
        <v>479080.91474479472</v>
      </c>
      <c r="AR995" s="138">
        <f t="shared" ref="AR995:AS995" ca="1" si="3732">MAX(AR991-AR992+AR994,0)</f>
        <v>212576.73410545464</v>
      </c>
      <c r="AS995" s="138">
        <f t="shared" ca="1" si="3732"/>
        <v>145686.83895247825</v>
      </c>
      <c r="AT995" s="138">
        <f t="shared" ref="AT995:AU995" ca="1" si="3733">MAX(AT991-AT992+AT994,0)</f>
        <v>192050.97943010391</v>
      </c>
      <c r="AU995" s="138">
        <f t="shared" ca="1" si="3733"/>
        <v>487064.22685669246</v>
      </c>
      <c r="AV995" s="138">
        <f t="shared" ref="AV995" ca="1" si="3734">MAX(AV991-AV992+AV994,0)</f>
        <v>204167.53587886912</v>
      </c>
      <c r="AX995" s="142">
        <f ca="1">SUM(G995:AW995)</f>
        <v>5517617.2641933551</v>
      </c>
    </row>
    <row r="996" spans="1:50" x14ac:dyDescent="0.2"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</row>
    <row r="997" spans="1:50" collapsed="1" x14ac:dyDescent="0.2">
      <c r="A997" s="98" t="str">
        <f ca="1">Language!A$1170</f>
        <v>Начисленный налог с оборота (УСН)</v>
      </c>
      <c r="C997" s="124" t="str">
        <f t="shared" ca="1" si="3650"/>
        <v>тыс. руб.</v>
      </c>
      <c r="F997" s="100" t="s">
        <v>753</v>
      </c>
      <c r="G997" s="143">
        <f ca="1">G1000*Параметры!G102</f>
        <v>0</v>
      </c>
      <c r="H997" s="143">
        <f ca="1">H1000*Параметры!H102</f>
        <v>0</v>
      </c>
      <c r="I997" s="143">
        <f ca="1">I1000*Параметры!I102</f>
        <v>0</v>
      </c>
      <c r="J997" s="143">
        <f ca="1">J1000*Параметры!J102</f>
        <v>0</v>
      </c>
      <c r="K997" s="143">
        <f ca="1">K1000*Параметры!K102</f>
        <v>0</v>
      </c>
      <c r="L997" s="143">
        <f ca="1">L1000*Параметры!L102</f>
        <v>0</v>
      </c>
      <c r="M997" s="143">
        <f ca="1">M1000*Параметры!M102</f>
        <v>0</v>
      </c>
      <c r="N997" s="143">
        <f ca="1">N1000*Параметры!N102</f>
        <v>0</v>
      </c>
      <c r="O997" s="143">
        <f ca="1">O1000*Параметры!O102</f>
        <v>0</v>
      </c>
      <c r="P997" s="143">
        <f ca="1">P1000*Параметры!P102</f>
        <v>0</v>
      </c>
      <c r="Q997" s="143">
        <f ca="1">Q1000*Параметры!Q102</f>
        <v>0</v>
      </c>
      <c r="R997" s="143">
        <f ca="1">R1000*Параметры!R102</f>
        <v>0</v>
      </c>
      <c r="S997" s="143">
        <f ca="1">S1000*Параметры!S102</f>
        <v>0</v>
      </c>
      <c r="T997" s="143">
        <f ca="1">T1000*Параметры!T102</f>
        <v>0</v>
      </c>
      <c r="U997" s="143">
        <f ca="1">U1000*Параметры!U102</f>
        <v>0</v>
      </c>
      <c r="V997" s="143">
        <f ca="1">V1000*Параметры!V102</f>
        <v>0</v>
      </c>
      <c r="W997" s="143">
        <f ca="1">W1000*Параметры!W102</f>
        <v>0</v>
      </c>
      <c r="X997" s="143">
        <f ca="1">X1000*Параметры!X102</f>
        <v>0</v>
      </c>
      <c r="Y997" s="143">
        <f ca="1">Y1000*Параметры!Y102</f>
        <v>0</v>
      </c>
      <c r="Z997" s="143">
        <f ca="1">Z1000*Параметры!Z102</f>
        <v>0</v>
      </c>
      <c r="AA997" s="143">
        <f ca="1">AA1000*Параметры!AA102</f>
        <v>0</v>
      </c>
      <c r="AB997" s="143">
        <f ca="1">AB1000*Параметры!AB102</f>
        <v>0</v>
      </c>
      <c r="AC997" s="143">
        <f ca="1">AC1000*Параметры!AC102</f>
        <v>0</v>
      </c>
      <c r="AD997" s="143">
        <f ca="1">AD1000*Параметры!AD102</f>
        <v>0</v>
      </c>
      <c r="AE997" s="143">
        <f ca="1">AE1000*Параметры!AE102</f>
        <v>0</v>
      </c>
      <c r="AF997" s="143">
        <f ca="1">AF1000*Параметры!AF102</f>
        <v>0</v>
      </c>
      <c r="AG997" s="143">
        <f ca="1">AG1000*Параметры!AG102</f>
        <v>0</v>
      </c>
      <c r="AH997" s="143">
        <f ca="1">AH1000*Параметры!AH102</f>
        <v>0</v>
      </c>
      <c r="AI997" s="143">
        <f ca="1">AI1000*Параметры!AI102</f>
        <v>0</v>
      </c>
      <c r="AJ997" s="143">
        <f ca="1">AJ1000*Параметры!AJ102</f>
        <v>0</v>
      </c>
      <c r="AK997" s="143">
        <f ca="1">AK1000*Параметры!AK102</f>
        <v>0</v>
      </c>
      <c r="AL997" s="143">
        <f ca="1">AL1000*Параметры!AL102</f>
        <v>0</v>
      </c>
      <c r="AM997" s="143">
        <f ca="1">AM1000*Параметры!AM102</f>
        <v>0</v>
      </c>
      <c r="AN997" s="143">
        <f ca="1">AN1000*Параметры!AN102</f>
        <v>0</v>
      </c>
      <c r="AO997" s="143">
        <f ca="1">AO1000*Параметры!AO102</f>
        <v>0</v>
      </c>
      <c r="AP997" s="143">
        <f ca="1">AP1000*Параметры!AP102</f>
        <v>0</v>
      </c>
      <c r="AQ997" s="143">
        <f ca="1">AQ1000*Параметры!AQ102</f>
        <v>0</v>
      </c>
      <c r="AR997" s="143">
        <f ca="1">AR1000*Параметры!AR102</f>
        <v>0</v>
      </c>
      <c r="AS997" s="143">
        <f ca="1">AS1000*Параметры!AS102</f>
        <v>0</v>
      </c>
      <c r="AT997" s="143">
        <f ca="1">AT1000*Параметры!AT102</f>
        <v>0</v>
      </c>
      <c r="AU997" s="143">
        <f ca="1">AU1000*Параметры!AU102</f>
        <v>0</v>
      </c>
      <c r="AV997" s="143">
        <f ca="1">AV1000*Параметры!AV102</f>
        <v>0</v>
      </c>
      <c r="AX997" s="210">
        <f ca="1">SUM(G997:AW997)</f>
        <v>0</v>
      </c>
    </row>
    <row r="998" spans="1:50" hidden="1" outlineLevel="1" x14ac:dyDescent="0.2">
      <c r="A998" s="179" t="str">
        <f ca="1">Language!A$1171</f>
        <v>задолженность по налогу</v>
      </c>
      <c r="B998" s="188"/>
      <c r="C998" s="82" t="str">
        <f t="shared" ca="1" si="3650"/>
        <v>тыс. руб.</v>
      </c>
      <c r="D998" s="155"/>
      <c r="F998" s="100" t="s">
        <v>754</v>
      </c>
      <c r="G998" s="316">
        <f ca="1">IF(AND(Параметры!$B$103=0,G$2&gt;1),F998,G997*Параметры!$B$103/Параметры!G$31)</f>
        <v>0</v>
      </c>
      <c r="H998" s="316">
        <f ca="1">IF(AND(Параметры!$B$103=0,H$2&gt;1),G998,H997*Параметры!$B$103/Параметры!H$31)</f>
        <v>0</v>
      </c>
      <c r="I998" s="316">
        <f ca="1">IF(AND(Параметры!$B$103=0,I$2&gt;1),H998,I997*Параметры!$B$103/Параметры!I$31)</f>
        <v>0</v>
      </c>
      <c r="J998" s="316">
        <f ca="1">IF(AND(Параметры!$B$103=0,J$2&gt;1),I998,J997*Параметры!$B$103/Параметры!J$31)</f>
        <v>0</v>
      </c>
      <c r="K998" s="316">
        <f ca="1">IF(AND(Параметры!$B$103=0,K$2&gt;1),J998,K997*Параметры!$B$103/Параметры!K$31)</f>
        <v>0</v>
      </c>
      <c r="L998" s="316">
        <f ca="1">IF(AND(Параметры!$B$103=0,L$2&gt;1),K998,L997*Параметры!$B$103/Параметры!L$31)</f>
        <v>0</v>
      </c>
      <c r="M998" s="316">
        <f ca="1">IF(AND(Параметры!$B$103=0,M$2&gt;1),L998,M997*Параметры!$B$103/Параметры!M$31)</f>
        <v>0</v>
      </c>
      <c r="N998" s="316">
        <f ca="1">IF(AND(Параметры!$B$103=0,N$2&gt;1),M998,N997*Параметры!$B$103/Параметры!N$31)</f>
        <v>0</v>
      </c>
      <c r="O998" s="316">
        <f ca="1">IF(AND(Параметры!$B$103=0,O$2&gt;1),N998,O997*Параметры!$B$103/Параметры!O$31)</f>
        <v>0</v>
      </c>
      <c r="P998" s="316">
        <f ca="1">IF(AND(Параметры!$B$103=0,P$2&gt;1),O998,P997*Параметры!$B$103/Параметры!P$31)</f>
        <v>0</v>
      </c>
      <c r="Q998" s="316">
        <f ca="1">IF(AND(Параметры!$B$103=0,Q$2&gt;1),P998,Q997*Параметры!$B$103/Параметры!Q$31)</f>
        <v>0</v>
      </c>
      <c r="R998" s="316">
        <f ca="1">IF(AND(Параметры!$B$103=0,R$2&gt;1),Q998,R997*Параметры!$B$103/Параметры!R$31)</f>
        <v>0</v>
      </c>
      <c r="S998" s="316">
        <f ca="1">IF(AND(Параметры!$B$103=0,S$2&gt;1),R998,S997*Параметры!$B$103/Параметры!S$31)</f>
        <v>0</v>
      </c>
      <c r="T998" s="316">
        <f ca="1">IF(AND(Параметры!$B$103=0,T$2&gt;1),S998,T997*Параметры!$B$103/Параметры!T$31)</f>
        <v>0</v>
      </c>
      <c r="U998" s="316">
        <f ca="1">IF(AND(Параметры!$B$103=0,U$2&gt;1),T998,U997*Параметры!$B$103/Параметры!U$31)</f>
        <v>0</v>
      </c>
      <c r="V998" s="316">
        <f ca="1">IF(AND(Параметры!$B$103=0,V$2&gt;1),U998,V997*Параметры!$B$103/Параметры!V$31)</f>
        <v>0</v>
      </c>
      <c r="W998" s="316">
        <f ca="1">IF(AND(Параметры!$B$103=0,W$2&gt;1),V998,W997*Параметры!$B$103/Параметры!W$31)</f>
        <v>0</v>
      </c>
      <c r="X998" s="316">
        <f ca="1">IF(AND(Параметры!$B$103=0,X$2&gt;1),W998,X997*Параметры!$B$103/Параметры!X$31)</f>
        <v>0</v>
      </c>
      <c r="Y998" s="316">
        <f ca="1">IF(AND(Параметры!$B$103=0,Y$2&gt;1),X998,Y997*Параметры!$B$103/Параметры!Y$31)</f>
        <v>0</v>
      </c>
      <c r="Z998" s="316">
        <f ca="1">IF(AND(Параметры!$B$103=0,Z$2&gt;1),Y998,Z997*Параметры!$B$103/Параметры!Z$31)</f>
        <v>0</v>
      </c>
      <c r="AA998" s="316">
        <f ca="1">IF(AND(Параметры!$B$103=0,AA$2&gt;1),Z998,AA997*Параметры!$B$103/Параметры!AA$31)</f>
        <v>0</v>
      </c>
      <c r="AB998" s="316">
        <f ca="1">IF(AND(Параметры!$B$103=0,AB$2&gt;1),AA998,AB997*Параметры!$B$103/Параметры!AB$31)</f>
        <v>0</v>
      </c>
      <c r="AC998" s="316">
        <f ca="1">IF(AND(Параметры!$B$103=0,AC$2&gt;1),AB998,AC997*Параметры!$B$103/Параметры!AC$31)</f>
        <v>0</v>
      </c>
      <c r="AD998" s="316">
        <f ca="1">IF(AND(Параметры!$B$103=0,AD$2&gt;1),AC998,AD997*Параметры!$B$103/Параметры!AD$31)</f>
        <v>0</v>
      </c>
      <c r="AE998" s="316">
        <f ca="1">IF(AND(Параметры!$B$103=0,AE$2&gt;1),AD998,AE997*Параметры!$B$103/Параметры!AE$31)</f>
        <v>0</v>
      </c>
      <c r="AF998" s="316">
        <f ca="1">IF(AND(Параметры!$B$103=0,AF$2&gt;1),AE998,AF997*Параметры!$B$103/Параметры!AF$31)</f>
        <v>0</v>
      </c>
      <c r="AG998" s="316">
        <f ca="1">IF(AND(Параметры!$B$103=0,AG$2&gt;1),AF998,AG997*Параметры!$B$103/Параметры!AG$31)</f>
        <v>0</v>
      </c>
      <c r="AH998" s="316">
        <f ca="1">IF(AND(Параметры!$B$103=0,AH$2&gt;1),AG998,AH997*Параметры!$B$103/Параметры!AH$31)</f>
        <v>0</v>
      </c>
      <c r="AI998" s="316">
        <f ca="1">IF(AND(Параметры!$B$103=0,AI$2&gt;1),AH998,AI997*Параметры!$B$103/Параметры!AI$31)</f>
        <v>0</v>
      </c>
      <c r="AJ998" s="316">
        <f ca="1">IF(AND(Параметры!$B$103=0,AJ$2&gt;1),AI998,AJ997*Параметры!$B$103/Параметры!AJ$31)</f>
        <v>0</v>
      </c>
      <c r="AK998" s="316">
        <f ca="1">IF(AND(Параметры!$B$103=0,AK$2&gt;1),AJ998,AK997*Параметры!$B$103/Параметры!AK$31)</f>
        <v>0</v>
      </c>
      <c r="AL998" s="316">
        <f ca="1">IF(AND(Параметры!$B$103=0,AL$2&gt;1),AK998,AL997*Параметры!$B$103/Параметры!AL$31)</f>
        <v>0</v>
      </c>
      <c r="AM998" s="316">
        <f ca="1">IF(AND(Параметры!$B$103=0,AM$2&gt;1),AL998,AM997*Параметры!$B$103/Параметры!AM$31)</f>
        <v>0</v>
      </c>
      <c r="AN998" s="316">
        <f ca="1">IF(AND(Параметры!$B$103=0,AN$2&gt;1),AM998,AN997*Параметры!$B$103/Параметры!AN$31)</f>
        <v>0</v>
      </c>
      <c r="AO998" s="316">
        <f ca="1">IF(AND(Параметры!$B$103=0,AO$2&gt;1),AN998,AO997*Параметры!$B$103/Параметры!AO$31)</f>
        <v>0</v>
      </c>
      <c r="AP998" s="316">
        <f ca="1">IF(AND(Параметры!$B$103=0,AP$2&gt;1),AO998,AP997*Параметры!$B$103/Параметры!AP$31)</f>
        <v>0</v>
      </c>
      <c r="AQ998" s="316">
        <f ca="1">IF(AND(Параметры!$B$103=0,AQ$2&gt;1),AP998,AQ997*Параметры!$B$103/Параметры!AQ$31)</f>
        <v>0</v>
      </c>
      <c r="AR998" s="316">
        <f ca="1">IF(AND(Параметры!$B$103=0,AR$2&gt;1),AQ998,AR997*Параметры!$B$103/Параметры!AR$31)</f>
        <v>0</v>
      </c>
      <c r="AS998" s="316">
        <f ca="1">IF(AND(Параметры!$B$103=0,AS$2&gt;1),AR998,AS997*Параметры!$B$103/Параметры!AS$31)</f>
        <v>0</v>
      </c>
      <c r="AT998" s="316">
        <f ca="1">IF(AND(Параметры!$B$103=0,AT$2&gt;1),AS998,AT997*Параметры!$B$103/Параметры!AT$31)</f>
        <v>0</v>
      </c>
      <c r="AU998" s="316">
        <f ca="1">IF(AND(Параметры!$B$103=0,AU$2&gt;1),AT998,AU997*Параметры!$B$103/Параметры!AU$31)</f>
        <v>0</v>
      </c>
      <c r="AV998" s="316">
        <f ca="1">IF(AND(Параметры!$B$103=0,AV$2&gt;1),AU998,AV997*Параметры!$B$103/Параметры!AV$31)</f>
        <v>0</v>
      </c>
      <c r="AW998" s="168"/>
      <c r="AX998" s="142">
        <f ca="1">SUM(G998:AW998)</f>
        <v>0</v>
      </c>
    </row>
    <row r="999" spans="1:50" hidden="1" outlineLevel="1" x14ac:dyDescent="0.2">
      <c r="A999" s="179" t="str">
        <f ca="1">Language!A$1172</f>
        <v>уплаченный налог с оборота</v>
      </c>
      <c r="B999" s="228"/>
      <c r="C999" s="82" t="str">
        <f t="shared" ca="1" si="3650"/>
        <v>тыс. руб.</v>
      </c>
      <c r="D999" s="236"/>
      <c r="E999" s="236"/>
      <c r="F999" s="100" t="s">
        <v>753</v>
      </c>
      <c r="G999" s="180">
        <f ca="1">G997-IF(G$2=1,G998,G998-F998)</f>
        <v>0</v>
      </c>
      <c r="H999" s="180">
        <f t="shared" ref="H999" ca="1" si="3735">H997-IF(H$2=1,H998,H998-G998)</f>
        <v>0</v>
      </c>
      <c r="I999" s="180">
        <f t="shared" ref="I999" ca="1" si="3736">I997-IF(I$2=1,I998,I998-H998)</f>
        <v>0</v>
      </c>
      <c r="J999" s="180">
        <f t="shared" ref="J999" ca="1" si="3737">J997-IF(J$2=1,J998,J998-I998)</f>
        <v>0</v>
      </c>
      <c r="K999" s="180">
        <f t="shared" ref="K999:AV999" ca="1" si="3738">K997-IF(K$2=1,K998,K998-J998)</f>
        <v>0</v>
      </c>
      <c r="L999" s="180">
        <f t="shared" ca="1" si="3738"/>
        <v>0</v>
      </c>
      <c r="M999" s="180">
        <f t="shared" ca="1" si="3738"/>
        <v>0</v>
      </c>
      <c r="N999" s="180">
        <f t="shared" ca="1" si="3738"/>
        <v>0</v>
      </c>
      <c r="O999" s="180">
        <f t="shared" ca="1" si="3738"/>
        <v>0</v>
      </c>
      <c r="P999" s="180">
        <f t="shared" ca="1" si="3738"/>
        <v>0</v>
      </c>
      <c r="Q999" s="180">
        <f t="shared" ca="1" si="3738"/>
        <v>0</v>
      </c>
      <c r="R999" s="180">
        <f t="shared" ca="1" si="3738"/>
        <v>0</v>
      </c>
      <c r="S999" s="180">
        <f t="shared" ca="1" si="3738"/>
        <v>0</v>
      </c>
      <c r="T999" s="180">
        <f t="shared" ca="1" si="3738"/>
        <v>0</v>
      </c>
      <c r="U999" s="180">
        <f t="shared" ca="1" si="3738"/>
        <v>0</v>
      </c>
      <c r="V999" s="180">
        <f t="shared" ca="1" si="3738"/>
        <v>0</v>
      </c>
      <c r="W999" s="180">
        <f t="shared" ca="1" si="3738"/>
        <v>0</v>
      </c>
      <c r="X999" s="180">
        <f t="shared" ca="1" si="3738"/>
        <v>0</v>
      </c>
      <c r="Y999" s="180">
        <f t="shared" ca="1" si="3738"/>
        <v>0</v>
      </c>
      <c r="Z999" s="180">
        <f t="shared" ca="1" si="3738"/>
        <v>0</v>
      </c>
      <c r="AA999" s="180">
        <f t="shared" ca="1" si="3738"/>
        <v>0</v>
      </c>
      <c r="AB999" s="180">
        <f t="shared" ca="1" si="3738"/>
        <v>0</v>
      </c>
      <c r="AC999" s="180">
        <f t="shared" ca="1" si="3738"/>
        <v>0</v>
      </c>
      <c r="AD999" s="180">
        <f t="shared" ca="1" si="3738"/>
        <v>0</v>
      </c>
      <c r="AE999" s="180">
        <f t="shared" ca="1" si="3738"/>
        <v>0</v>
      </c>
      <c r="AF999" s="180">
        <f t="shared" ca="1" si="3738"/>
        <v>0</v>
      </c>
      <c r="AG999" s="180">
        <f t="shared" ca="1" si="3738"/>
        <v>0</v>
      </c>
      <c r="AH999" s="180">
        <f t="shared" ca="1" si="3738"/>
        <v>0</v>
      </c>
      <c r="AI999" s="180">
        <f t="shared" ca="1" si="3738"/>
        <v>0</v>
      </c>
      <c r="AJ999" s="180">
        <f t="shared" ca="1" si="3738"/>
        <v>0</v>
      </c>
      <c r="AK999" s="180">
        <f t="shared" ca="1" si="3738"/>
        <v>0</v>
      </c>
      <c r="AL999" s="180">
        <f t="shared" ca="1" si="3738"/>
        <v>0</v>
      </c>
      <c r="AM999" s="180">
        <f t="shared" ca="1" si="3738"/>
        <v>0</v>
      </c>
      <c r="AN999" s="180">
        <f t="shared" ca="1" si="3738"/>
        <v>0</v>
      </c>
      <c r="AO999" s="180">
        <f t="shared" ca="1" si="3738"/>
        <v>0</v>
      </c>
      <c r="AP999" s="180">
        <f t="shared" ca="1" si="3738"/>
        <v>0</v>
      </c>
      <c r="AQ999" s="180">
        <f t="shared" ca="1" si="3738"/>
        <v>0</v>
      </c>
      <c r="AR999" s="180">
        <f t="shared" ca="1" si="3738"/>
        <v>0</v>
      </c>
      <c r="AS999" s="180">
        <f t="shared" ca="1" si="3738"/>
        <v>0</v>
      </c>
      <c r="AT999" s="180">
        <f t="shared" ca="1" si="3738"/>
        <v>0</v>
      </c>
      <c r="AU999" s="180">
        <f t="shared" ca="1" si="3738"/>
        <v>0</v>
      </c>
      <c r="AV999" s="180">
        <f t="shared" ca="1" si="3738"/>
        <v>0</v>
      </c>
      <c r="AW999" s="58"/>
      <c r="AX999" s="142">
        <f ca="1">SUM(G999:AW999)</f>
        <v>0</v>
      </c>
    </row>
    <row r="1000" spans="1:50" hidden="1" outlineLevel="1" x14ac:dyDescent="0.2">
      <c r="A1000" s="38" t="str">
        <f ca="1">Language!A$1173</f>
        <v>Облагаемая база</v>
      </c>
      <c r="C1000" s="124" t="str">
        <f t="shared" ca="1" si="3650"/>
        <v>тыс. руб.</v>
      </c>
      <c r="F1000" s="100" t="s">
        <v>753</v>
      </c>
      <c r="G1000" s="138">
        <f ca="1">(OFFSET(Результаты!$F$39,0,G2)+OFFSET(Результаты!$F$46,0,G2)+OFFSET(Результаты!$F$56,0,G2))*Параметры!G$64</f>
        <v>361132.76648896455</v>
      </c>
      <c r="H1000" s="138">
        <f ca="1">(OFFSET(Результаты!$F$39,0,H2)+OFFSET(Результаты!$F$46,0,H2)+OFFSET(Результаты!$F$56,0,H2))*Параметры!H$64</f>
        <v>279086.93328109034</v>
      </c>
      <c r="I1000" s="138">
        <f ca="1">(OFFSET(Результаты!$F$39,0,I2)+OFFSET(Результаты!$F$46,0,I2)+OFFSET(Результаты!$F$56,0,I2))*Параметры!I$64</f>
        <v>273150.66835249116</v>
      </c>
      <c r="J1000" s="138">
        <f ca="1">(OFFSET(Результаты!$F$39,0,J2)+OFFSET(Результаты!$F$46,0,J2)+OFFSET(Результаты!$F$56,0,J2))*Параметры!J$64</f>
        <v>311349.53078889073</v>
      </c>
      <c r="K1000" s="138">
        <f ca="1">(OFFSET(Результаты!$F$39,0,K2)+OFFSET(Результаты!$F$46,0,K2)+OFFSET(Результаты!$F$56,0,K2))*Параметры!K$64</f>
        <v>449081.66991121275</v>
      </c>
      <c r="L1000" s="138">
        <f ca="1">(OFFSET(Результаты!$F$39,0,L2)+OFFSET(Результаты!$F$46,0,L2)+OFFSET(Результаты!$F$56,0,L2))*Параметры!L$64</f>
        <v>420383.75640745484</v>
      </c>
      <c r="M1000" s="138">
        <f ca="1">(OFFSET(Результаты!$F$39,0,M2)+OFFSET(Результаты!$F$46,0,M2)+OFFSET(Результаты!$F$56,0,M2))*Параметры!M$64</f>
        <v>376156.36737549305</v>
      </c>
      <c r="N1000" s="138">
        <f ca="1">(OFFSET(Результаты!$F$39,0,N2)+OFFSET(Результаты!$F$46,0,N2)+OFFSET(Результаты!$F$56,0,N2))*Параметры!N$64</f>
        <v>398643.83084612351</v>
      </c>
      <c r="O1000" s="138">
        <f ca="1">(OFFSET(Результаты!$F$39,0,O2)+OFFSET(Результаты!$F$46,0,O2)+OFFSET(Результаты!$F$56,0,O2))*Параметры!O$64</f>
        <v>551631.86137950502</v>
      </c>
      <c r="P1000" s="138">
        <f ca="1">(OFFSET(Результаты!$F$39,0,P2)+OFFSET(Результаты!$F$46,0,P2)+OFFSET(Результаты!$F$56,0,P2))*Параметры!P$64</f>
        <v>518734.14700783615</v>
      </c>
      <c r="Q1000" s="138">
        <f ca="1">(OFFSET(Результаты!$F$39,0,Q2)+OFFSET(Результаты!$F$46,0,Q2)+OFFSET(Результаты!$F$56,0,Q2))*Параметры!Q$64</f>
        <v>464875.69483573968</v>
      </c>
      <c r="R1000" s="138">
        <f ca="1">(OFFSET(Результаты!$F$39,0,R2)+OFFSET(Результаты!$F$46,0,R2)+OFFSET(Результаты!$F$56,0,R2))*Параметры!R$64</f>
        <v>476473.81008947996</v>
      </c>
      <c r="S1000" s="138">
        <f ca="1">(OFFSET(Результаты!$F$39,0,S2)+OFFSET(Результаты!$F$46,0,S2)+OFFSET(Результаты!$F$56,0,S2))*Параметры!S$64</f>
        <v>621277.17064126686</v>
      </c>
      <c r="T1000" s="138">
        <f ca="1">(OFFSET(Результаты!$F$39,0,T2)+OFFSET(Результаты!$F$46,0,T2)+OFFSET(Результаты!$F$56,0,T2))*Параметры!T$64</f>
        <v>568519.32151859952</v>
      </c>
      <c r="U1000" s="138">
        <f ca="1">(OFFSET(Результаты!$F$39,0,U2)+OFFSET(Результаты!$F$46,0,U2)+OFFSET(Результаты!$F$56,0,U2))*Параметры!U$64</f>
        <v>504121.25566611422</v>
      </c>
      <c r="V1000" s="138">
        <f ca="1">(OFFSET(Результаты!$F$39,0,V2)+OFFSET(Результаты!$F$46,0,V2)+OFFSET(Результаты!$F$56,0,V2))*Параметры!V$64</f>
        <v>514430.98396970984</v>
      </c>
      <c r="W1000" s="138">
        <f ca="1">(OFFSET(Результаты!$F$39,0,W2)+OFFSET(Результаты!$F$46,0,W2)+OFFSET(Результаты!$F$56,0,W2))*Параметры!W$64</f>
        <v>662234.14681122778</v>
      </c>
      <c r="X1000" s="138">
        <f ca="1">(OFFSET(Результаты!$F$39,0,X2)+OFFSET(Результаты!$F$46,0,X2)+OFFSET(Результаты!$F$56,0,X2))*Параметры!X$64</f>
        <v>601600.26237275219</v>
      </c>
      <c r="Y1000" s="138">
        <f ca="1">(OFFSET(Результаты!$F$39,0,Y2)+OFFSET(Результаты!$F$46,0,Y2)+OFFSET(Результаты!$F$56,0,Y2))*Параметры!Y$64</f>
        <v>521167.64066909382</v>
      </c>
      <c r="Z1000" s="138">
        <f ca="1">(OFFSET(Результаты!$F$39,0,Z2)+OFFSET(Результаты!$F$46,0,Z2)+OFFSET(Результаты!$F$56,0,Z2))*Параметры!Z$64</f>
        <v>524926.07327651838</v>
      </c>
      <c r="AA1000" s="138">
        <f ca="1">(OFFSET(Результаты!$F$39,0,AA2)+OFFSET(Результаты!$F$46,0,AA2)+OFFSET(Результаты!$F$56,0,AA2))*Параметры!AA$64</f>
        <v>681377.08230914164</v>
      </c>
      <c r="AB1000" s="138">
        <f ca="1">(OFFSET(Результаты!$F$39,0,AB2)+OFFSET(Результаты!$F$46,0,AB2)+OFFSET(Результаты!$F$56,0,AB2))*Параметры!AB$64</f>
        <v>616882.58254429547</v>
      </c>
      <c r="AC1000" s="138">
        <f ca="1">(OFFSET(Результаты!$F$39,0,AC2)+OFFSET(Результаты!$F$46,0,AC2)+OFFSET(Результаты!$F$56,0,AC2))*Параметры!AC$64</f>
        <v>536501.08304396051</v>
      </c>
      <c r="AD1000" s="138">
        <f ca="1">(OFFSET(Результаты!$F$39,0,AD2)+OFFSET(Результаты!$F$46,0,AD2)+OFFSET(Результаты!$F$56,0,AD2))*Параметры!AD$64</f>
        <v>543157.28082636767</v>
      </c>
      <c r="AE1000" s="138">
        <f ca="1">(OFFSET(Результаты!$F$39,0,AE2)+OFFSET(Результаты!$F$46,0,AE2)+OFFSET(Результаты!$F$56,0,AE2))*Параметры!AE$64</f>
        <v>708672.26812762173</v>
      </c>
      <c r="AF1000" s="138">
        <f ca="1">(OFFSET(Результаты!$F$39,0,AF2)+OFFSET(Результаты!$F$46,0,AF2)+OFFSET(Результаты!$F$56,0,AF2))*Параметры!AF$64</f>
        <v>639978.64938143024</v>
      </c>
      <c r="AG1000" s="138">
        <f ca="1">(OFFSET(Результаты!$F$39,0,AG2)+OFFSET(Результаты!$F$46,0,AG2)+OFFSET(Результаты!$F$56,0,AG2))*Параметры!AG$64</f>
        <v>549849.35841795348</v>
      </c>
      <c r="AH1000" s="138">
        <f ca="1">(OFFSET(Результаты!$F$39,0,AH2)+OFFSET(Результаты!$F$46,0,AH2)+OFFSET(Результаты!$F$56,0,AH2))*Параметры!AH$64</f>
        <v>553931.23280297744</v>
      </c>
      <c r="AI1000" s="138">
        <f ca="1">(OFFSET(Результаты!$F$39,0,AI2)+OFFSET(Результаты!$F$46,0,AI2)+OFFSET(Результаты!$F$56,0,AI2))*Параметры!AI$64</f>
        <v>729055.33594581869</v>
      </c>
      <c r="AJ1000" s="138">
        <f ca="1">(OFFSET(Результаты!$F$39,0,AJ2)+OFFSET(Результаты!$F$46,0,AJ2)+OFFSET(Результаты!$F$56,0,AJ2))*Параметры!AJ$64</f>
        <v>655913.57378555601</v>
      </c>
      <c r="AK1000" s="138">
        <f ca="1">(OFFSET(Результаты!$F$39,0,AK2)+OFFSET(Результаты!$F$46,0,AK2)+OFFSET(Результаты!$F$56,0,AK2))*Параметры!AK$64</f>
        <v>557849.31316315883</v>
      </c>
      <c r="AL1000" s="138">
        <f ca="1">(OFFSET(Результаты!$F$39,0,AL2)+OFFSET(Результаты!$F$46,0,AL2)+OFFSET(Результаты!$F$56,0,AL2))*Параметры!AL$64</f>
        <v>560587.74373256834</v>
      </c>
      <c r="AM1000" s="138">
        <f ca="1">(OFFSET(Результаты!$F$39,0,AM2)+OFFSET(Результаты!$F$46,0,AM2)+OFFSET(Результаты!$F$56,0,AM2))*Параметры!AM$64</f>
        <v>753542.31421160954</v>
      </c>
      <c r="AN1000" s="138">
        <f ca="1">(OFFSET(Результаты!$F$39,0,AN2)+OFFSET(Результаты!$F$46,0,AN2)+OFFSET(Результаты!$F$56,0,AN2))*Параметры!AN$64</f>
        <v>683499.97685186286</v>
      </c>
      <c r="AO1000" s="138">
        <f ca="1">(OFFSET(Результаты!$F$39,0,AO2)+OFFSET(Результаты!$F$46,0,AO2)+OFFSET(Результаты!$F$56,0,AO2))*Параметры!AO$64</f>
        <v>584111.92279259639</v>
      </c>
      <c r="AP1000" s="138">
        <f ca="1">(OFFSET(Результаты!$F$39,0,AP2)+OFFSET(Результаты!$F$46,0,AP2)+OFFSET(Результаты!$F$56,0,AP2))*Параметры!AP$64</f>
        <v>592636.95154108992</v>
      </c>
      <c r="AQ1000" s="138">
        <f ca="1">(OFFSET(Результаты!$F$39,0,AQ2)+OFFSET(Результаты!$F$46,0,AQ2)+OFFSET(Результаты!$F$56,0,AQ2))*Параметры!AQ$64</f>
        <v>798625.9842777861</v>
      </c>
      <c r="AR1000" s="138">
        <f ca="1">(OFFSET(Результаты!$F$39,0,AR2)+OFFSET(Результаты!$F$46,0,AR2)+OFFSET(Результаты!$F$56,0,AR2))*Параметры!AR$64</f>
        <v>724379.215675705</v>
      </c>
      <c r="AS1000" s="138">
        <f ca="1">(OFFSET(Результаты!$F$39,0,AS2)+OFFSET(Результаты!$F$46,0,AS2)+OFFSET(Результаты!$F$56,0,AS2))*Параметры!AS$64</f>
        <v>603413.03685563116</v>
      </c>
      <c r="AT1000" s="138">
        <f ca="1">(OFFSET(Результаты!$F$39,0,AT2)+OFFSET(Результаты!$F$46,0,AT2)+OFFSET(Результаты!$F$56,0,AT2))*Параметры!AT$64</f>
        <v>603179.45824762038</v>
      </c>
      <c r="AU1000" s="138">
        <f ca="1">(OFFSET(Результаты!$F$39,0,AU2)+OFFSET(Результаты!$F$46,0,AU2)+OFFSET(Результаты!$F$56,0,AU2))*Параметры!AU$64</f>
        <v>821160.75626251544</v>
      </c>
      <c r="AV1000" s="138">
        <f ca="1">(OFFSET(Результаты!$F$39,0,AV2)+OFFSET(Результаты!$F$46,0,AV2)+OFFSET(Результаты!$F$56,0,AV2))*Параметры!AV$64</f>
        <v>742086.71843148407</v>
      </c>
      <c r="AX1000" s="142">
        <f ca="1">SUM(G1000:AW1000)</f>
        <v>23639369.730918311</v>
      </c>
    </row>
    <row r="1001" spans="1:50" x14ac:dyDescent="0.2"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</row>
    <row r="1002" spans="1:50" ht="12.95" customHeight="1" collapsed="1" x14ac:dyDescent="0.2">
      <c r="A1002" s="239" t="str">
        <f ca="1">Language!A$1174</f>
        <v>Начисленный налог с дохода минус расходы (УСН)</v>
      </c>
      <c r="C1002" s="124" t="str">
        <f t="shared" ca="1" si="3650"/>
        <v>тыс. руб.</v>
      </c>
      <c r="F1002" s="100" t="s">
        <v>753</v>
      </c>
      <c r="G1002" s="143">
        <f ca="1">MAX(G1009,G1008*Параметры!G107)</f>
        <v>0</v>
      </c>
      <c r="H1002" s="143">
        <f ca="1">MAX(H1009,H1008*Параметры!H107)</f>
        <v>0</v>
      </c>
      <c r="I1002" s="143">
        <f ca="1">MAX(I1009,I1008*Параметры!I107)</f>
        <v>0</v>
      </c>
      <c r="J1002" s="143">
        <f ca="1">MAX(J1009,J1008*Параметры!J107)</f>
        <v>0</v>
      </c>
      <c r="K1002" s="143">
        <f ca="1">MAX(K1009,K1008*Параметры!K107)</f>
        <v>0</v>
      </c>
      <c r="L1002" s="143">
        <f ca="1">MAX(L1009,L1008*Параметры!L107)</f>
        <v>0</v>
      </c>
      <c r="M1002" s="143">
        <f ca="1">MAX(M1009,M1008*Параметры!M107)</f>
        <v>0</v>
      </c>
      <c r="N1002" s="143">
        <f ca="1">MAX(N1009,N1008*Параметры!N107)</f>
        <v>0</v>
      </c>
      <c r="O1002" s="143">
        <f ca="1">MAX(O1009,O1008*Параметры!O107)</f>
        <v>0</v>
      </c>
      <c r="P1002" s="143">
        <f ca="1">MAX(P1009,P1008*Параметры!P107)</f>
        <v>0</v>
      </c>
      <c r="Q1002" s="143">
        <f ca="1">MAX(Q1009,Q1008*Параметры!Q107)</f>
        <v>0</v>
      </c>
      <c r="R1002" s="143">
        <f ca="1">MAX(R1009,R1008*Параметры!R107)</f>
        <v>0</v>
      </c>
      <c r="S1002" s="143">
        <f ca="1">MAX(S1009,S1008*Параметры!S107)</f>
        <v>0</v>
      </c>
      <c r="T1002" s="143">
        <f ca="1">MAX(T1009,T1008*Параметры!T107)</f>
        <v>0</v>
      </c>
      <c r="U1002" s="143">
        <f ca="1">MAX(U1009,U1008*Параметры!U107)</f>
        <v>0</v>
      </c>
      <c r="V1002" s="143">
        <f ca="1">MAX(V1009,V1008*Параметры!V107)</f>
        <v>0</v>
      </c>
      <c r="W1002" s="143">
        <f ca="1">MAX(W1009,W1008*Параметры!W107)</f>
        <v>0</v>
      </c>
      <c r="X1002" s="143">
        <f ca="1">MAX(X1009,X1008*Параметры!X107)</f>
        <v>0</v>
      </c>
      <c r="Y1002" s="143">
        <f ca="1">MAX(Y1009,Y1008*Параметры!Y107)</f>
        <v>0</v>
      </c>
      <c r="Z1002" s="143">
        <f ca="1">MAX(Z1009,Z1008*Параметры!Z107)</f>
        <v>0</v>
      </c>
      <c r="AA1002" s="143">
        <f ca="1">MAX(AA1009,AA1008*Параметры!AA107)</f>
        <v>0</v>
      </c>
      <c r="AB1002" s="143">
        <f ca="1">MAX(AB1009,AB1008*Параметры!AB107)</f>
        <v>0</v>
      </c>
      <c r="AC1002" s="143">
        <f ca="1">MAX(AC1009,AC1008*Параметры!AC107)</f>
        <v>0</v>
      </c>
      <c r="AD1002" s="143">
        <f ca="1">MAX(AD1009,AD1008*Параметры!AD107)</f>
        <v>0</v>
      </c>
      <c r="AE1002" s="143">
        <f ca="1">MAX(AE1009,AE1008*Параметры!AE107)</f>
        <v>0</v>
      </c>
      <c r="AF1002" s="143">
        <f ca="1">MAX(AF1009,AF1008*Параметры!AF107)</f>
        <v>0</v>
      </c>
      <c r="AG1002" s="143">
        <f ca="1">MAX(AG1009,AG1008*Параметры!AG107)</f>
        <v>0</v>
      </c>
      <c r="AH1002" s="143">
        <f ca="1">MAX(AH1009,AH1008*Параметры!AH107)</f>
        <v>0</v>
      </c>
      <c r="AI1002" s="143">
        <f ca="1">MAX(AI1009,AI1008*Параметры!AI107)</f>
        <v>0</v>
      </c>
      <c r="AJ1002" s="143">
        <f ca="1">MAX(AJ1009,AJ1008*Параметры!AJ107)</f>
        <v>0</v>
      </c>
      <c r="AK1002" s="143">
        <f ca="1">MAX(AK1009,AK1008*Параметры!AK107)</f>
        <v>0</v>
      </c>
      <c r="AL1002" s="143">
        <f ca="1">MAX(AL1009,AL1008*Параметры!AL107)</f>
        <v>0</v>
      </c>
      <c r="AM1002" s="143">
        <f ca="1">MAX(AM1009,AM1008*Параметры!AM107)</f>
        <v>0</v>
      </c>
      <c r="AN1002" s="143">
        <f ca="1">MAX(AN1009,AN1008*Параметры!AN107)</f>
        <v>0</v>
      </c>
      <c r="AO1002" s="143">
        <f ca="1">MAX(AO1009,AO1008*Параметры!AO107)</f>
        <v>0</v>
      </c>
      <c r="AP1002" s="143">
        <f ca="1">MAX(AP1009,AP1008*Параметры!AP107)</f>
        <v>0</v>
      </c>
      <c r="AQ1002" s="143">
        <f ca="1">MAX(AQ1009,AQ1008*Параметры!AQ107)</f>
        <v>0</v>
      </c>
      <c r="AR1002" s="143">
        <f ca="1">MAX(AR1009,AR1008*Параметры!AR107)</f>
        <v>0</v>
      </c>
      <c r="AS1002" s="143">
        <f ca="1">MAX(AS1009,AS1008*Параметры!AS107)</f>
        <v>0</v>
      </c>
      <c r="AT1002" s="143">
        <f ca="1">MAX(AT1009,AT1008*Параметры!AT107)</f>
        <v>0</v>
      </c>
      <c r="AU1002" s="143">
        <f ca="1">MAX(AU1009,AU1008*Параметры!AU107)</f>
        <v>0</v>
      </c>
      <c r="AV1002" s="143">
        <f ca="1">MAX(AV1009,AV1008*Параметры!AV107)</f>
        <v>0</v>
      </c>
      <c r="AX1002" s="210">
        <f ca="1">SUM(G1002:AW1002)</f>
        <v>0</v>
      </c>
    </row>
    <row r="1003" spans="1:50" hidden="1" outlineLevel="1" x14ac:dyDescent="0.2">
      <c r="A1003" s="179" t="str">
        <f ca="1">Language!A$1175</f>
        <v>задолженность по налогу</v>
      </c>
      <c r="B1003" s="188"/>
      <c r="C1003" s="82" t="str">
        <f t="shared" ca="1" si="3650"/>
        <v>тыс. руб.</v>
      </c>
      <c r="D1003" s="155"/>
      <c r="F1003" s="100" t="s">
        <v>754</v>
      </c>
      <c r="G1003" s="316">
        <f ca="1">IF(AND(Параметры!$B$108=0,G$2&gt;1),F1003,G1002*Параметры!$B$108/Параметры!G$31)</f>
        <v>0</v>
      </c>
      <c r="H1003" s="316">
        <f ca="1">IF(AND(Параметры!$B$108=0,H$2&gt;1),G1003,H1002*Параметры!$B$108/Параметры!H$31)</f>
        <v>0</v>
      </c>
      <c r="I1003" s="316">
        <f ca="1">IF(AND(Параметры!$B$108=0,I$2&gt;1),H1003,I1002*Параметры!$B$108/Параметры!I$31)</f>
        <v>0</v>
      </c>
      <c r="J1003" s="316">
        <f ca="1">IF(AND(Параметры!$B$108=0,J$2&gt;1),I1003,J1002*Параметры!$B$108/Параметры!J$31)</f>
        <v>0</v>
      </c>
      <c r="K1003" s="316">
        <f ca="1">IF(AND(Параметры!$B$108=0,K$2&gt;1),J1003,K1002*Параметры!$B$108/Параметры!K$31)</f>
        <v>0</v>
      </c>
      <c r="L1003" s="316">
        <f ca="1">IF(AND(Параметры!$B$108=0,L$2&gt;1),K1003,L1002*Параметры!$B$108/Параметры!L$31)</f>
        <v>0</v>
      </c>
      <c r="M1003" s="316">
        <f ca="1">IF(AND(Параметры!$B$108=0,M$2&gt;1),L1003,M1002*Параметры!$B$108/Параметры!M$31)</f>
        <v>0</v>
      </c>
      <c r="N1003" s="316">
        <f ca="1">IF(AND(Параметры!$B$108=0,N$2&gt;1),M1003,N1002*Параметры!$B$108/Параметры!N$31)</f>
        <v>0</v>
      </c>
      <c r="O1003" s="316">
        <f ca="1">IF(AND(Параметры!$B$108=0,O$2&gt;1),N1003,O1002*Параметры!$B$108/Параметры!O$31)</f>
        <v>0</v>
      </c>
      <c r="P1003" s="316">
        <f ca="1">IF(AND(Параметры!$B$108=0,P$2&gt;1),O1003,P1002*Параметры!$B$108/Параметры!P$31)</f>
        <v>0</v>
      </c>
      <c r="Q1003" s="316">
        <f ca="1">IF(AND(Параметры!$B$108=0,Q$2&gt;1),P1003,Q1002*Параметры!$B$108/Параметры!Q$31)</f>
        <v>0</v>
      </c>
      <c r="R1003" s="316">
        <f ca="1">IF(AND(Параметры!$B$108=0,R$2&gt;1),Q1003,R1002*Параметры!$B$108/Параметры!R$31)</f>
        <v>0</v>
      </c>
      <c r="S1003" s="316">
        <f ca="1">IF(AND(Параметры!$B$108=0,S$2&gt;1),R1003,S1002*Параметры!$B$108/Параметры!S$31)</f>
        <v>0</v>
      </c>
      <c r="T1003" s="316">
        <f ca="1">IF(AND(Параметры!$B$108=0,T$2&gt;1),S1003,T1002*Параметры!$B$108/Параметры!T$31)</f>
        <v>0</v>
      </c>
      <c r="U1003" s="316">
        <f ca="1">IF(AND(Параметры!$B$108=0,U$2&gt;1),T1003,U1002*Параметры!$B$108/Параметры!U$31)</f>
        <v>0</v>
      </c>
      <c r="V1003" s="316">
        <f ca="1">IF(AND(Параметры!$B$108=0,V$2&gt;1),U1003,V1002*Параметры!$B$108/Параметры!V$31)</f>
        <v>0</v>
      </c>
      <c r="W1003" s="316">
        <f ca="1">IF(AND(Параметры!$B$108=0,W$2&gt;1),V1003,W1002*Параметры!$B$108/Параметры!W$31)</f>
        <v>0</v>
      </c>
      <c r="X1003" s="316">
        <f ca="1">IF(AND(Параметры!$B$108=0,X$2&gt;1),W1003,X1002*Параметры!$B$108/Параметры!X$31)</f>
        <v>0</v>
      </c>
      <c r="Y1003" s="316">
        <f ca="1">IF(AND(Параметры!$B$108=0,Y$2&gt;1),X1003,Y1002*Параметры!$B$108/Параметры!Y$31)</f>
        <v>0</v>
      </c>
      <c r="Z1003" s="316">
        <f ca="1">IF(AND(Параметры!$B$108=0,Z$2&gt;1),Y1003,Z1002*Параметры!$B$108/Параметры!Z$31)</f>
        <v>0</v>
      </c>
      <c r="AA1003" s="316">
        <f ca="1">IF(AND(Параметры!$B$108=0,AA$2&gt;1),Z1003,AA1002*Параметры!$B$108/Параметры!AA$31)</f>
        <v>0</v>
      </c>
      <c r="AB1003" s="316">
        <f ca="1">IF(AND(Параметры!$B$108=0,AB$2&gt;1),AA1003,AB1002*Параметры!$B$108/Параметры!AB$31)</f>
        <v>0</v>
      </c>
      <c r="AC1003" s="316">
        <f ca="1">IF(AND(Параметры!$B$108=0,AC$2&gt;1),AB1003,AC1002*Параметры!$B$108/Параметры!AC$31)</f>
        <v>0</v>
      </c>
      <c r="AD1003" s="316">
        <f ca="1">IF(AND(Параметры!$B$108=0,AD$2&gt;1),AC1003,AD1002*Параметры!$B$108/Параметры!AD$31)</f>
        <v>0</v>
      </c>
      <c r="AE1003" s="316">
        <f ca="1">IF(AND(Параметры!$B$108=0,AE$2&gt;1),AD1003,AE1002*Параметры!$B$108/Параметры!AE$31)</f>
        <v>0</v>
      </c>
      <c r="AF1003" s="316">
        <f ca="1">IF(AND(Параметры!$B$108=0,AF$2&gt;1),AE1003,AF1002*Параметры!$B$108/Параметры!AF$31)</f>
        <v>0</v>
      </c>
      <c r="AG1003" s="316">
        <f ca="1">IF(AND(Параметры!$B$108=0,AG$2&gt;1),AF1003,AG1002*Параметры!$B$108/Параметры!AG$31)</f>
        <v>0</v>
      </c>
      <c r="AH1003" s="316">
        <f ca="1">IF(AND(Параметры!$B$108=0,AH$2&gt;1),AG1003,AH1002*Параметры!$B$108/Параметры!AH$31)</f>
        <v>0</v>
      </c>
      <c r="AI1003" s="316">
        <f ca="1">IF(AND(Параметры!$B$108=0,AI$2&gt;1),AH1003,AI1002*Параметры!$B$108/Параметры!AI$31)</f>
        <v>0</v>
      </c>
      <c r="AJ1003" s="316">
        <f ca="1">IF(AND(Параметры!$B$108=0,AJ$2&gt;1),AI1003,AJ1002*Параметры!$B$108/Параметры!AJ$31)</f>
        <v>0</v>
      </c>
      <c r="AK1003" s="316">
        <f ca="1">IF(AND(Параметры!$B$108=0,AK$2&gt;1),AJ1003,AK1002*Параметры!$B$108/Параметры!AK$31)</f>
        <v>0</v>
      </c>
      <c r="AL1003" s="316">
        <f ca="1">IF(AND(Параметры!$B$108=0,AL$2&gt;1),AK1003,AL1002*Параметры!$B$108/Параметры!AL$31)</f>
        <v>0</v>
      </c>
      <c r="AM1003" s="316">
        <f ca="1">IF(AND(Параметры!$B$108=0,AM$2&gt;1),AL1003,AM1002*Параметры!$B$108/Параметры!AM$31)</f>
        <v>0</v>
      </c>
      <c r="AN1003" s="316">
        <f ca="1">IF(AND(Параметры!$B$108=0,AN$2&gt;1),AM1003,AN1002*Параметры!$B$108/Параметры!AN$31)</f>
        <v>0</v>
      </c>
      <c r="AO1003" s="316">
        <f ca="1">IF(AND(Параметры!$B$108=0,AO$2&gt;1),AN1003,AO1002*Параметры!$B$108/Параметры!AO$31)</f>
        <v>0</v>
      </c>
      <c r="AP1003" s="316">
        <f ca="1">IF(AND(Параметры!$B$108=0,AP$2&gt;1),AO1003,AP1002*Параметры!$B$108/Параметры!AP$31)</f>
        <v>0</v>
      </c>
      <c r="AQ1003" s="316">
        <f ca="1">IF(AND(Параметры!$B$108=0,AQ$2&gt;1),AP1003,AQ1002*Параметры!$B$108/Параметры!AQ$31)</f>
        <v>0</v>
      </c>
      <c r="AR1003" s="316">
        <f ca="1">IF(AND(Параметры!$B$108=0,AR$2&gt;1),AQ1003,AR1002*Параметры!$B$108/Параметры!AR$31)</f>
        <v>0</v>
      </c>
      <c r="AS1003" s="316">
        <f ca="1">IF(AND(Параметры!$B$108=0,AS$2&gt;1),AR1003,AS1002*Параметры!$B$108/Параметры!AS$31)</f>
        <v>0</v>
      </c>
      <c r="AT1003" s="316">
        <f ca="1">IF(AND(Параметры!$B$108=0,AT$2&gt;1),AS1003,AT1002*Параметры!$B$108/Параметры!AT$31)</f>
        <v>0</v>
      </c>
      <c r="AU1003" s="316">
        <f ca="1">IF(AND(Параметры!$B$108=0,AU$2&gt;1),AT1003,AU1002*Параметры!$B$108/Параметры!AU$31)</f>
        <v>0</v>
      </c>
      <c r="AV1003" s="316">
        <f ca="1">IF(AND(Параметры!$B$108=0,AV$2&gt;1),AU1003,AV1002*Параметры!$B$108/Параметры!AV$31)</f>
        <v>0</v>
      </c>
      <c r="AW1003" s="168"/>
      <c r="AX1003" s="142">
        <f ca="1">SUM(G1003:AW1003)</f>
        <v>0</v>
      </c>
    </row>
    <row r="1004" spans="1:50" hidden="1" outlineLevel="1" x14ac:dyDescent="0.2">
      <c r="A1004" s="179" t="str">
        <f ca="1">Language!A$1176</f>
        <v>уплаченный налог с дохода, уменьшенного на расходы</v>
      </c>
      <c r="B1004" s="228"/>
      <c r="C1004" s="82" t="str">
        <f t="shared" ca="1" si="3650"/>
        <v>тыс. руб.</v>
      </c>
      <c r="D1004" s="236"/>
      <c r="E1004" s="236"/>
      <c r="F1004" s="100" t="s">
        <v>753</v>
      </c>
      <c r="G1004" s="180">
        <f ca="1">G1002-IF(G$2=1,G1003,G1003-F1003)</f>
        <v>0</v>
      </c>
      <c r="H1004" s="180">
        <f t="shared" ref="H1004" ca="1" si="3739">H1002-IF(H$2=1,H1003,H1003-G1003)</f>
        <v>0</v>
      </c>
      <c r="I1004" s="180">
        <f t="shared" ref="I1004" ca="1" si="3740">I1002-IF(I$2=1,I1003,I1003-H1003)</f>
        <v>0</v>
      </c>
      <c r="J1004" s="180">
        <f t="shared" ref="J1004" ca="1" si="3741">J1002-IF(J$2=1,J1003,J1003-I1003)</f>
        <v>0</v>
      </c>
      <c r="K1004" s="180">
        <f t="shared" ref="K1004:AV1004" ca="1" si="3742">K1002-IF(K$2=1,K1003,K1003-J1003)</f>
        <v>0</v>
      </c>
      <c r="L1004" s="180">
        <f t="shared" ca="1" si="3742"/>
        <v>0</v>
      </c>
      <c r="M1004" s="180">
        <f t="shared" ca="1" si="3742"/>
        <v>0</v>
      </c>
      <c r="N1004" s="180">
        <f t="shared" ca="1" si="3742"/>
        <v>0</v>
      </c>
      <c r="O1004" s="180">
        <f t="shared" ca="1" si="3742"/>
        <v>0</v>
      </c>
      <c r="P1004" s="180">
        <f t="shared" ca="1" si="3742"/>
        <v>0</v>
      </c>
      <c r="Q1004" s="180">
        <f t="shared" ca="1" si="3742"/>
        <v>0</v>
      </c>
      <c r="R1004" s="180">
        <f t="shared" ca="1" si="3742"/>
        <v>0</v>
      </c>
      <c r="S1004" s="180">
        <f t="shared" ca="1" si="3742"/>
        <v>0</v>
      </c>
      <c r="T1004" s="180">
        <f t="shared" ca="1" si="3742"/>
        <v>0</v>
      </c>
      <c r="U1004" s="180">
        <f t="shared" ca="1" si="3742"/>
        <v>0</v>
      </c>
      <c r="V1004" s="180">
        <f t="shared" ca="1" si="3742"/>
        <v>0</v>
      </c>
      <c r="W1004" s="180">
        <f t="shared" ca="1" si="3742"/>
        <v>0</v>
      </c>
      <c r="X1004" s="180">
        <f t="shared" ca="1" si="3742"/>
        <v>0</v>
      </c>
      <c r="Y1004" s="180">
        <f t="shared" ca="1" si="3742"/>
        <v>0</v>
      </c>
      <c r="Z1004" s="180">
        <f t="shared" ca="1" si="3742"/>
        <v>0</v>
      </c>
      <c r="AA1004" s="180">
        <f t="shared" ca="1" si="3742"/>
        <v>0</v>
      </c>
      <c r="AB1004" s="180">
        <f t="shared" ca="1" si="3742"/>
        <v>0</v>
      </c>
      <c r="AC1004" s="180">
        <f t="shared" ca="1" si="3742"/>
        <v>0</v>
      </c>
      <c r="AD1004" s="180">
        <f t="shared" ca="1" si="3742"/>
        <v>0</v>
      </c>
      <c r="AE1004" s="180">
        <f t="shared" ca="1" si="3742"/>
        <v>0</v>
      </c>
      <c r="AF1004" s="180">
        <f t="shared" ca="1" si="3742"/>
        <v>0</v>
      </c>
      <c r="AG1004" s="180">
        <f t="shared" ca="1" si="3742"/>
        <v>0</v>
      </c>
      <c r="AH1004" s="180">
        <f t="shared" ca="1" si="3742"/>
        <v>0</v>
      </c>
      <c r="AI1004" s="180">
        <f t="shared" ca="1" si="3742"/>
        <v>0</v>
      </c>
      <c r="AJ1004" s="180">
        <f t="shared" ca="1" si="3742"/>
        <v>0</v>
      </c>
      <c r="AK1004" s="180">
        <f t="shared" ca="1" si="3742"/>
        <v>0</v>
      </c>
      <c r="AL1004" s="180">
        <f t="shared" ca="1" si="3742"/>
        <v>0</v>
      </c>
      <c r="AM1004" s="180">
        <f t="shared" ca="1" si="3742"/>
        <v>0</v>
      </c>
      <c r="AN1004" s="180">
        <f t="shared" ca="1" si="3742"/>
        <v>0</v>
      </c>
      <c r="AO1004" s="180">
        <f t="shared" ca="1" si="3742"/>
        <v>0</v>
      </c>
      <c r="AP1004" s="180">
        <f t="shared" ca="1" si="3742"/>
        <v>0</v>
      </c>
      <c r="AQ1004" s="180">
        <f t="shared" ca="1" si="3742"/>
        <v>0</v>
      </c>
      <c r="AR1004" s="180">
        <f t="shared" ca="1" si="3742"/>
        <v>0</v>
      </c>
      <c r="AS1004" s="180">
        <f t="shared" ca="1" si="3742"/>
        <v>0</v>
      </c>
      <c r="AT1004" s="180">
        <f t="shared" ca="1" si="3742"/>
        <v>0</v>
      </c>
      <c r="AU1004" s="180">
        <f t="shared" ca="1" si="3742"/>
        <v>0</v>
      </c>
      <c r="AV1004" s="180">
        <f t="shared" ca="1" si="3742"/>
        <v>0</v>
      </c>
      <c r="AW1004" s="58"/>
      <c r="AX1004" s="142">
        <f ca="1">SUM(G1004:AW1004)</f>
        <v>0</v>
      </c>
    </row>
    <row r="1005" spans="1:50" hidden="1" outlineLevel="1" x14ac:dyDescent="0.2">
      <c r="A1005" s="94" t="str">
        <f ca="1">Language!A$1177</f>
        <v>Облагаемая база до списания убытков</v>
      </c>
      <c r="C1005" s="124" t="str">
        <f t="shared" ca="1" si="3650"/>
        <v>тыс. руб.</v>
      </c>
      <c r="F1005" s="100" t="s">
        <v>753</v>
      </c>
      <c r="G1005" s="138">
        <f ca="1">(OFFSET(Результаты!$F$39,0,G2)+OFFSET(Результаты!$F$46,0,G2)+OFFSET(Результаты!$F$56,0,G2)+OFFSET(Результаты!$F$40,0,G2)+OFFSET(Результаты!$F$41,0,G2)+OFFSET(Результаты!$F$42,0,G2)+OFFSET(Результаты!$F$44,0,G2)+OFFSET(Результаты!$F$45,0,G2)+OFFSET(Результаты!$F$46,0,G2))*Параметры!G$64-G984</f>
        <v>331297.39671396458</v>
      </c>
      <c r="H1005" s="138">
        <f ca="1">(OFFSET(Результаты!$F$39,0,H2)+OFFSET(Результаты!$F$46,0,H2)+OFFSET(Результаты!$F$56,0,H2)+OFFSET(Результаты!$F$40,0,H2)+OFFSET(Результаты!$F$41,0,H2)+OFFSET(Результаты!$F$42,0,H2)+OFFSET(Результаты!$F$44,0,H2)+OFFSET(Результаты!$F$45,0,H2)+OFFSET(Результаты!$F$46,0,H2))*Параметры!H$64-H984</f>
        <v>132375.05124731583</v>
      </c>
      <c r="I1005" s="138">
        <f ca="1">(OFFSET(Результаты!$F$39,0,I2)+OFFSET(Результаты!$F$46,0,I2)+OFFSET(Результаты!$F$56,0,I2)+OFFSET(Результаты!$F$40,0,I2)+OFFSET(Результаты!$F$41,0,I2)+OFFSET(Результаты!$F$42,0,I2)+OFFSET(Результаты!$F$44,0,I2)+OFFSET(Результаты!$F$45,0,I2)+OFFSET(Результаты!$F$46,0,I2))*Параметры!I$64-I984</f>
        <v>72135.485102070525</v>
      </c>
      <c r="J1005" s="138">
        <f ca="1">(OFFSET(Результаты!$F$39,0,J2)+OFFSET(Результаты!$F$46,0,J2)+OFFSET(Результаты!$F$56,0,J2)+OFFSET(Результаты!$F$40,0,J2)+OFFSET(Результаты!$F$41,0,J2)+OFFSET(Результаты!$F$42,0,J2)+OFFSET(Результаты!$F$44,0,J2)+OFFSET(Результаты!$F$45,0,J2)+OFFSET(Результаты!$F$46,0,J2))*Параметры!J$64-J984</f>
        <v>129969.91134305159</v>
      </c>
      <c r="K1005" s="138">
        <f ca="1">(OFFSET(Результаты!$F$39,0,K2)+OFFSET(Результаты!$F$46,0,K2)+OFFSET(Результаты!$F$56,0,K2)+OFFSET(Результаты!$F$40,0,K2)+OFFSET(Результаты!$F$41,0,K2)+OFFSET(Результаты!$F$42,0,K2)+OFFSET(Результаты!$F$44,0,K2)+OFFSET(Результаты!$F$45,0,K2)+OFFSET(Результаты!$F$46,0,K2))*Параметры!K$64-K984</f>
        <v>249809.06812395636</v>
      </c>
      <c r="L1005" s="138">
        <f ca="1">(OFFSET(Результаты!$F$39,0,L2)+OFFSET(Результаты!$F$46,0,L2)+OFFSET(Результаты!$F$56,0,L2)+OFFSET(Результаты!$F$40,0,L2)+OFFSET(Результаты!$F$41,0,L2)+OFFSET(Результаты!$F$42,0,L2)+OFFSET(Результаты!$F$44,0,L2)+OFFSET(Результаты!$F$45,0,L2)+OFFSET(Результаты!$F$46,0,L2))*Параметры!L$64-L984</f>
        <v>223037.24108385877</v>
      </c>
      <c r="M1005" s="138">
        <f ca="1">(OFFSET(Результаты!$F$39,0,M2)+OFFSET(Результаты!$F$46,0,M2)+OFFSET(Результаты!$F$56,0,M2)+OFFSET(Результаты!$F$40,0,M2)+OFFSET(Результаты!$F$41,0,M2)+OFFSET(Результаты!$F$42,0,M2)+OFFSET(Результаты!$F$44,0,M2)+OFFSET(Результаты!$F$45,0,M2)+OFFSET(Результаты!$F$46,0,M2))*Параметры!M$64-M984</f>
        <v>129130.34630183625</v>
      </c>
      <c r="N1005" s="138">
        <f ca="1">(OFFSET(Результаты!$F$39,0,N2)+OFFSET(Результаты!$F$46,0,N2)+OFFSET(Результаты!$F$56,0,N2)+OFFSET(Результаты!$F$40,0,N2)+OFFSET(Результаты!$F$41,0,N2)+OFFSET(Результаты!$F$42,0,N2)+OFFSET(Результаты!$F$44,0,N2)+OFFSET(Результаты!$F$45,0,N2)+OFFSET(Результаты!$F$46,0,N2))*Параметры!N$64-N984</f>
        <v>174716.04957011843</v>
      </c>
      <c r="O1005" s="138">
        <f ca="1">(OFFSET(Результаты!$F$39,0,O2)+OFFSET(Результаты!$F$46,0,O2)+OFFSET(Результаты!$F$56,0,O2)+OFFSET(Результаты!$F$40,0,O2)+OFFSET(Результаты!$F$41,0,O2)+OFFSET(Результаты!$F$42,0,O2)+OFFSET(Результаты!$F$44,0,O2)+OFFSET(Результаты!$F$45,0,O2)+OFFSET(Результаты!$F$46,0,O2))*Параметры!O$64-O984</f>
        <v>308267.41458062752</v>
      </c>
      <c r="P1005" s="138">
        <f ca="1">(OFFSET(Результаты!$F$39,0,P2)+OFFSET(Результаты!$F$46,0,P2)+OFFSET(Результаты!$F$56,0,P2)+OFFSET(Результаты!$F$40,0,P2)+OFFSET(Результаты!$F$41,0,P2)+OFFSET(Результаты!$F$42,0,P2)+OFFSET(Результаты!$F$44,0,P2)+OFFSET(Результаты!$F$45,0,P2)+OFFSET(Результаты!$F$46,0,P2))*Параметры!P$64-P984</f>
        <v>276934.34938215342</v>
      </c>
      <c r="Q1005" s="138">
        <f ca="1">(OFFSET(Результаты!$F$39,0,Q2)+OFFSET(Результаты!$F$46,0,Q2)+OFFSET(Результаты!$F$56,0,Q2)+OFFSET(Результаты!$F$40,0,Q2)+OFFSET(Результаты!$F$41,0,Q2)+OFFSET(Результаты!$F$42,0,Q2)+OFFSET(Результаты!$F$44,0,Q2)+OFFSET(Результаты!$F$45,0,Q2)+OFFSET(Результаты!$F$46,0,Q2))*Параметры!Q$64-Q984</f>
        <v>178728.92376820254</v>
      </c>
      <c r="R1005" s="138">
        <f ca="1">(OFFSET(Результаты!$F$39,0,R2)+OFFSET(Результаты!$F$46,0,R2)+OFFSET(Результаты!$F$56,0,R2)+OFFSET(Результаты!$F$40,0,R2)+OFFSET(Результаты!$F$41,0,R2)+OFFSET(Результаты!$F$42,0,R2)+OFFSET(Результаты!$F$44,0,R2)+OFFSET(Результаты!$F$45,0,R2)+OFFSET(Результаты!$F$46,0,R2))*Параметры!R$64-R984</f>
        <v>220845.8823569089</v>
      </c>
      <c r="S1005" s="138">
        <f ca="1">(OFFSET(Результаты!$F$39,0,S2)+OFFSET(Результаты!$F$46,0,S2)+OFFSET(Результаты!$F$56,0,S2)+OFFSET(Результаты!$F$40,0,S2)+OFFSET(Результаты!$F$41,0,S2)+OFFSET(Результаты!$F$42,0,S2)+OFFSET(Результаты!$F$44,0,S2)+OFFSET(Результаты!$F$45,0,S2)+OFFSET(Результаты!$F$46,0,S2))*Параметры!S$64-S984</f>
        <v>350745.86127319589</v>
      </c>
      <c r="T1005" s="138">
        <f ca="1">(OFFSET(Результаты!$F$39,0,T2)+OFFSET(Результаты!$F$46,0,T2)+OFFSET(Результаты!$F$56,0,T2)+OFFSET(Результаты!$F$40,0,T2)+OFFSET(Результаты!$F$41,0,T2)+OFFSET(Результаты!$F$42,0,T2)+OFFSET(Результаты!$F$44,0,T2)+OFFSET(Результаты!$F$45,0,T2)+OFFSET(Результаты!$F$46,0,T2))*Параметры!T$64-T984</f>
        <v>305517.30352128216</v>
      </c>
      <c r="U1005" s="138">
        <f ca="1">(OFFSET(Результаты!$F$39,0,U2)+OFFSET(Результаты!$F$46,0,U2)+OFFSET(Результаты!$F$56,0,U2)+OFFSET(Результаты!$F$40,0,U2)+OFFSET(Результаты!$F$41,0,U2)+OFFSET(Результаты!$F$42,0,U2)+OFFSET(Результаты!$F$44,0,U2)+OFFSET(Результаты!$F$45,0,U2)+OFFSET(Результаты!$F$46,0,U2))*Параметры!U$64-U984</f>
        <v>196931.82931993477</v>
      </c>
      <c r="V1005" s="138">
        <f ca="1">(OFFSET(Результаты!$F$39,0,V2)+OFFSET(Результаты!$F$46,0,V2)+OFFSET(Результаты!$F$56,0,V2)+OFFSET(Результаты!$F$40,0,V2)+OFFSET(Результаты!$F$41,0,V2)+OFFSET(Результаты!$F$42,0,V2)+OFFSET(Результаты!$F$44,0,V2)+OFFSET(Результаты!$F$45,0,V2)+OFFSET(Результаты!$F$46,0,V2))*Параметры!V$64-V984</f>
        <v>239728.79340199236</v>
      </c>
      <c r="W1005" s="138">
        <f ca="1">(OFFSET(Результаты!$F$39,0,W2)+OFFSET(Результаты!$F$46,0,W2)+OFFSET(Результаты!$F$56,0,W2)+OFFSET(Результаты!$F$40,0,W2)+OFFSET(Результаты!$F$41,0,W2)+OFFSET(Результаты!$F$42,0,W2)+OFFSET(Результаты!$F$44,0,W2)+OFFSET(Результаты!$F$45,0,W2)+OFFSET(Результаты!$F$46,0,W2))*Параметры!W$64-W984</f>
        <v>372095.67552384397</v>
      </c>
      <c r="X1005" s="138">
        <f ca="1">(OFFSET(Результаты!$F$39,0,X2)+OFFSET(Результаты!$F$46,0,X2)+OFFSET(Результаты!$F$56,0,X2)+OFFSET(Результаты!$F$40,0,X2)+OFFSET(Результаты!$F$41,0,X2)+OFFSET(Результаты!$F$42,0,X2)+OFFSET(Результаты!$F$44,0,X2)+OFFSET(Результаты!$F$45,0,X2)+OFFSET(Результаты!$F$46,0,X2))*Параметры!X$64-X984</f>
        <v>319733.63792092865</v>
      </c>
      <c r="Y1005" s="138">
        <f ca="1">(OFFSET(Результаты!$F$39,0,Y2)+OFFSET(Результаты!$F$46,0,Y2)+OFFSET(Результаты!$F$56,0,Y2)+OFFSET(Результаты!$F$40,0,Y2)+OFFSET(Результаты!$F$41,0,Y2)+OFFSET(Результаты!$F$42,0,Y2)+OFFSET(Результаты!$F$44,0,Y2)+OFFSET(Результаты!$F$45,0,Y2)+OFFSET(Результаты!$F$46,0,Y2))*Параметры!Y$64-Y984</f>
        <v>194620.59586964041</v>
      </c>
      <c r="Z1005" s="138">
        <f ca="1">(OFFSET(Результаты!$F$39,0,Z2)+OFFSET(Результаты!$F$46,0,Z2)+OFFSET(Результаты!$F$56,0,Z2)+OFFSET(Результаты!$F$40,0,Z2)+OFFSET(Результаты!$F$41,0,Z2)+OFFSET(Результаты!$F$42,0,Z2)+OFFSET(Результаты!$F$44,0,Z2)+OFFSET(Результаты!$F$45,0,Z2)+OFFSET(Результаты!$F$46,0,Z2))*Параметры!Z$64-Z984</f>
        <v>232796.36444137516</v>
      </c>
      <c r="AA1005" s="138">
        <f ca="1">(OFFSET(Результаты!$F$39,0,AA2)+OFFSET(Результаты!$F$46,0,AA2)+OFFSET(Результаты!$F$56,0,AA2)+OFFSET(Результаты!$F$40,0,AA2)+OFFSET(Результаты!$F$41,0,AA2)+OFFSET(Результаты!$F$42,0,AA2)+OFFSET(Результаты!$F$44,0,AA2)+OFFSET(Результаты!$F$45,0,AA2)+OFFSET(Результаты!$F$46,0,AA2))*Параметры!AA$64-AA984</f>
        <v>372865.43102433311</v>
      </c>
      <c r="AB1005" s="138">
        <f ca="1">(OFFSET(Результаты!$F$39,0,AB2)+OFFSET(Результаты!$F$46,0,AB2)+OFFSET(Результаты!$F$56,0,AB2)+OFFSET(Результаты!$F$40,0,AB2)+OFFSET(Результаты!$F$41,0,AB2)+OFFSET(Результаты!$F$42,0,AB2)+OFFSET(Результаты!$F$44,0,AB2)+OFFSET(Результаты!$F$45,0,AB2)+OFFSET(Результаты!$F$46,0,AB2))*Параметры!AB$64-AB984</f>
        <v>317119.2470567649</v>
      </c>
      <c r="AC1005" s="138">
        <f ca="1">(OFFSET(Результаты!$F$39,0,AC2)+OFFSET(Результаты!$F$46,0,AC2)+OFFSET(Результаты!$F$56,0,AC2)+OFFSET(Результаты!$F$40,0,AC2)+OFFSET(Результаты!$F$41,0,AC2)+OFFSET(Результаты!$F$42,0,AC2)+OFFSET(Результаты!$F$44,0,AC2)+OFFSET(Результаты!$F$45,0,AC2)+OFFSET(Результаты!$F$46,0,AC2))*Параметры!AC$64-AC984</f>
        <v>190075.57497910864</v>
      </c>
      <c r="AD1005" s="138">
        <f ca="1">(OFFSET(Результаты!$F$39,0,AD2)+OFFSET(Результаты!$F$46,0,AD2)+OFFSET(Результаты!$F$56,0,AD2)+OFFSET(Результаты!$F$40,0,AD2)+OFFSET(Результаты!$F$41,0,AD2)+OFFSET(Результаты!$F$42,0,AD2)+OFFSET(Результаты!$F$44,0,AD2)+OFFSET(Результаты!$F$45,0,AD2)+OFFSET(Результаты!$F$46,0,AD2))*Параметры!AD$64-AD984</f>
        <v>233219.01726648878</v>
      </c>
      <c r="AE1005" s="138">
        <f ca="1">(OFFSET(Результаты!$F$39,0,AE2)+OFFSET(Результаты!$F$46,0,AE2)+OFFSET(Результаты!$F$56,0,AE2)+OFFSET(Результаты!$F$40,0,AE2)+OFFSET(Результаты!$F$41,0,AE2)+OFFSET(Результаты!$F$42,0,AE2)+OFFSET(Результаты!$F$44,0,AE2)+OFFSET(Результаты!$F$45,0,AE2)+OFFSET(Результаты!$F$46,0,AE2))*Параметры!AE$64-AE984</f>
        <v>381374.20007320738</v>
      </c>
      <c r="AF1005" s="138">
        <f ca="1">(OFFSET(Результаты!$F$39,0,AF2)+OFFSET(Результаты!$F$46,0,AF2)+OFFSET(Результаты!$F$56,0,AF2)+OFFSET(Результаты!$F$40,0,AF2)+OFFSET(Результаты!$F$41,0,AF2)+OFFSET(Результаты!$F$42,0,AF2)+OFFSET(Результаты!$F$44,0,AF2)+OFFSET(Результаты!$F$45,0,AF2)+OFFSET(Результаты!$F$46,0,AF2))*Параметры!AF$64-AF984</f>
        <v>321959.04087626614</v>
      </c>
      <c r="AG1005" s="138">
        <f ca="1">(OFFSET(Результаты!$F$39,0,AG2)+OFFSET(Результаты!$F$46,0,AG2)+OFFSET(Результаты!$F$56,0,AG2)+OFFSET(Результаты!$F$40,0,AG2)+OFFSET(Результаты!$F$41,0,AG2)+OFFSET(Результаты!$F$42,0,AG2)+OFFSET(Результаты!$F$44,0,AG2)+OFFSET(Результаты!$F$45,0,AG2)+OFFSET(Результаты!$F$46,0,AG2))*Параметры!AG$64-AG984</f>
        <v>184032.92228024767</v>
      </c>
      <c r="AH1005" s="138">
        <f ca="1">(OFFSET(Результаты!$F$39,0,AH2)+OFFSET(Результаты!$F$46,0,AH2)+OFFSET(Результаты!$F$56,0,AH2)+OFFSET(Результаты!$F$40,0,AH2)+OFFSET(Результаты!$F$41,0,AH2)+OFFSET(Результаты!$F$42,0,AH2)+OFFSET(Результаты!$F$44,0,AH2)+OFFSET(Результаты!$F$45,0,AH2)+OFFSET(Результаты!$F$46,0,AH2))*Параметры!AH$64-AH984</f>
        <v>226811.85755738011</v>
      </c>
      <c r="AI1005" s="138">
        <f ca="1">(OFFSET(Результаты!$F$39,0,AI2)+OFFSET(Результаты!$F$46,0,AI2)+OFFSET(Результаты!$F$56,0,AI2)+OFFSET(Результаты!$F$40,0,AI2)+OFFSET(Результаты!$F$41,0,AI2)+OFFSET(Результаты!$F$42,0,AI2)+OFFSET(Результаты!$F$44,0,AI2)+OFFSET(Результаты!$F$45,0,AI2)+OFFSET(Результаты!$F$46,0,AI2))*Параметры!AI$64-AI984</f>
        <v>383555.45315358986</v>
      </c>
      <c r="AJ1005" s="138">
        <f ca="1">(OFFSET(Результаты!$F$39,0,AJ2)+OFFSET(Результаты!$F$46,0,AJ2)+OFFSET(Результаты!$F$56,0,AJ2)+OFFSET(Результаты!$F$40,0,AJ2)+OFFSET(Результаты!$F$41,0,AJ2)+OFFSET(Результаты!$F$42,0,AJ2)+OFFSET(Результаты!$F$44,0,AJ2)+OFFSET(Результаты!$F$45,0,AJ2)+OFFSET(Результаты!$F$46,0,AJ2))*Параметры!AJ$64-AJ984</f>
        <v>320270.05130620359</v>
      </c>
      <c r="AK1005" s="138">
        <f ca="1">(OFFSET(Результаты!$F$39,0,AK2)+OFFSET(Результаты!$F$46,0,AK2)+OFFSET(Результаты!$F$56,0,AK2)+OFFSET(Результаты!$F$40,0,AK2)+OFFSET(Результаты!$F$41,0,AK2)+OFFSET(Результаты!$F$42,0,AK2)+OFFSET(Результаты!$F$44,0,AK2)+OFFSET(Результаты!$F$45,0,AK2)+OFFSET(Результаты!$F$46,0,AK2))*Параметры!AK$64-AK984</f>
        <v>171672.62251645405</v>
      </c>
      <c r="AL1005" s="138">
        <f ca="1">(OFFSET(Результаты!$F$39,0,AL2)+OFFSET(Результаты!$F$46,0,AL2)+OFFSET(Результаты!$F$56,0,AL2)+OFFSET(Результаты!$F$40,0,AL2)+OFFSET(Результаты!$F$41,0,AL2)+OFFSET(Результаты!$F$42,0,AL2)+OFFSET(Результаты!$F$44,0,AL2)+OFFSET(Результаты!$F$45,0,AL2)+OFFSET(Результаты!$F$46,0,AL2))*Параметры!AL$64-AL984</f>
        <v>215447.6903558934</v>
      </c>
      <c r="AM1005" s="138">
        <f ca="1">(OFFSET(Результаты!$F$39,0,AM2)+OFFSET(Результаты!$F$46,0,AM2)+OFFSET(Результаты!$F$56,0,AM2)+OFFSET(Результаты!$F$40,0,AM2)+OFFSET(Результаты!$F$41,0,AM2)+OFFSET(Результаты!$F$42,0,AM2)+OFFSET(Результаты!$F$44,0,AM2)+OFFSET(Результаты!$F$45,0,AM2)+OFFSET(Результаты!$F$46,0,AM2))*Параметры!AM$64-AM984</f>
        <v>388391.56452364358</v>
      </c>
      <c r="AN1005" s="138">
        <f ca="1">(OFFSET(Результаты!$F$39,0,AN2)+OFFSET(Результаты!$F$46,0,AN2)+OFFSET(Результаты!$F$56,0,AN2)+OFFSET(Результаты!$F$40,0,AN2)+OFFSET(Результаты!$F$41,0,AN2)+OFFSET(Результаты!$F$42,0,AN2)+OFFSET(Результаты!$F$44,0,AN2)+OFFSET(Результаты!$F$45,0,AN2)+OFFSET(Результаты!$F$46,0,AN2))*Параметры!AN$64-AN984</f>
        <v>328257.76865917636</v>
      </c>
      <c r="AO1005" s="138">
        <f ca="1">(OFFSET(Результаты!$F$39,0,AO2)+OFFSET(Результаты!$F$46,0,AO2)+OFFSET(Результаты!$F$56,0,AO2)+OFFSET(Результаты!$F$40,0,AO2)+OFFSET(Результаты!$F$41,0,AO2)+OFFSET(Результаты!$F$42,0,AO2)+OFFSET(Результаты!$F$44,0,AO2)+OFFSET(Результаты!$F$45,0,AO2)+OFFSET(Результаты!$F$46,0,AO2))*Параметры!AO$64-AO984</f>
        <v>174875.45847959019</v>
      </c>
      <c r="AP1005" s="138">
        <f ca="1">(OFFSET(Результаты!$F$39,0,AP2)+OFFSET(Результаты!$F$46,0,AP2)+OFFSET(Результаты!$F$56,0,AP2)+OFFSET(Результаты!$F$40,0,AP2)+OFFSET(Результаты!$F$41,0,AP2)+OFFSET(Результаты!$F$42,0,AP2)+OFFSET(Результаты!$F$44,0,AP2)+OFFSET(Результаты!$F$45,0,AP2)+OFFSET(Результаты!$F$46,0,AP2))*Параметры!AP$64-AP984</f>
        <v>226514.28090228804</v>
      </c>
      <c r="AQ1005" s="138">
        <f ca="1">(OFFSET(Результаты!$F$39,0,AQ2)+OFFSET(Результаты!$F$46,0,AQ2)+OFFSET(Результаты!$F$56,0,AQ2)+OFFSET(Результаты!$F$40,0,AQ2)+OFFSET(Результаты!$F$41,0,AQ2)+OFFSET(Результаты!$F$42,0,AQ2)+OFFSET(Результаты!$F$44,0,AQ2)+OFFSET(Результаты!$F$45,0,AQ2)+OFFSET(Результаты!$F$46,0,AQ2))*Параметры!AQ$64-AQ984</f>
        <v>411182.20451818639</v>
      </c>
      <c r="AR1005" s="138">
        <f ca="1">(OFFSET(Результаты!$F$39,0,AR2)+OFFSET(Результаты!$F$46,0,AR2)+OFFSET(Результаты!$F$56,0,AR2)+OFFSET(Результаты!$F$40,0,AR2)+OFFSET(Результаты!$F$41,0,AR2)+OFFSET(Результаты!$F$42,0,AR2)+OFFSET(Результаты!$F$44,0,AR2)+OFFSET(Результаты!$F$45,0,AR2)+OFFSET(Результаты!$F$46,0,AR2))*Параметры!AR$64-AR984</f>
        <v>347432.85536295455</v>
      </c>
      <c r="AS1005" s="138">
        <f ca="1">(OFFSET(Результаты!$F$39,0,AS2)+OFFSET(Результаты!$F$46,0,AS2)+OFFSET(Результаты!$F$56,0,AS2)+OFFSET(Результаты!$F$40,0,AS2)+OFFSET(Результаты!$F$41,0,AS2)+OFFSET(Результаты!$F$42,0,AS2)+OFFSET(Результаты!$F$44,0,AS2)+OFFSET(Результаты!$F$45,0,AS2)+OFFSET(Результаты!$F$46,0,AS2))*Параметры!AS$64-AS984</f>
        <v>165118.91864130599</v>
      </c>
      <c r="AT1005" s="138">
        <f ca="1">(OFFSET(Результаты!$F$39,0,AT2)+OFFSET(Результаты!$F$46,0,AT2)+OFFSET(Результаты!$F$56,0,AT2)+OFFSET(Результаты!$F$40,0,AT2)+OFFSET(Результаты!$F$41,0,AT2)+OFFSET(Результаты!$F$42,0,AT2)+OFFSET(Результаты!$F$44,0,AT2)+OFFSET(Результаты!$F$45,0,AT2)+OFFSET(Результаты!$F$46,0,AT2))*Параметры!AT$64-AT984</f>
        <v>210519.87816001783</v>
      </c>
      <c r="AU1005" s="138">
        <f ca="1">(OFFSET(Результаты!$F$39,0,AU2)+OFFSET(Результаты!$F$46,0,AU2)+OFFSET(Результаты!$F$56,0,AU2)+OFFSET(Результаты!$F$40,0,AU2)+OFFSET(Результаты!$F$41,0,AU2)+OFFSET(Результаты!$F$42,0,AU2)+OFFSET(Результаты!$F$44,0,AU2)+OFFSET(Результаты!$F$45,0,AU2)+OFFSET(Результаты!$F$46,0,AU2))*Параметры!AU$64-AU984</f>
        <v>405833.74764469243</v>
      </c>
      <c r="AV1005" s="138">
        <f ca="1">(OFFSET(Результаты!$F$39,0,AV2)+OFFSET(Результаты!$F$46,0,AV2)+OFFSET(Результаты!$F$56,0,AV2)+OFFSET(Результаты!$F$40,0,AV2)+OFFSET(Результаты!$F$41,0,AV2)+OFFSET(Результаты!$F$42,0,AV2)+OFFSET(Результаты!$F$44,0,AV2)+OFFSET(Результаты!$F$45,0,AV2)+OFFSET(Результаты!$F$46,0,AV2))*Параметры!AV$64-AV984</f>
        <v>337818.93764176208</v>
      </c>
      <c r="AX1005" s="142">
        <f ca="1">SUM(G1005:AW1005)</f>
        <v>10953765.903825819</v>
      </c>
    </row>
    <row r="1006" spans="1:50" hidden="1" outlineLevel="1" x14ac:dyDescent="0.2">
      <c r="A1006" s="38" t="str">
        <f ca="1">Language!A$1178</f>
        <v>Убытки предыдущих периодов</v>
      </c>
      <c r="C1006" s="124" t="str">
        <f t="shared" ca="1" si="3650"/>
        <v>тыс. руб.</v>
      </c>
      <c r="F1006" s="100" t="s">
        <v>754</v>
      </c>
      <c r="G1006" s="138">
        <f>IF(G$2=1,0,MIN(F1005,0)+F1006-F1007)</f>
        <v>0</v>
      </c>
      <c r="H1006" s="138">
        <f t="shared" ref="H1006:AV1006" ca="1" si="3743">IF(H$2=1,0,MIN(G1005,0)+G1006-G1007)</f>
        <v>0</v>
      </c>
      <c r="I1006" s="138">
        <f t="shared" ca="1" si="3743"/>
        <v>0</v>
      </c>
      <c r="J1006" s="138">
        <f t="shared" ca="1" si="3743"/>
        <v>0</v>
      </c>
      <c r="K1006" s="138">
        <f t="shared" ca="1" si="3743"/>
        <v>0</v>
      </c>
      <c r="L1006" s="138">
        <f t="shared" ca="1" si="3743"/>
        <v>0</v>
      </c>
      <c r="M1006" s="138">
        <f t="shared" ca="1" si="3743"/>
        <v>0</v>
      </c>
      <c r="N1006" s="138">
        <f t="shared" ca="1" si="3743"/>
        <v>0</v>
      </c>
      <c r="O1006" s="138">
        <f t="shared" ca="1" si="3743"/>
        <v>0</v>
      </c>
      <c r="P1006" s="138">
        <f t="shared" ca="1" si="3743"/>
        <v>0</v>
      </c>
      <c r="Q1006" s="138">
        <f t="shared" ca="1" si="3743"/>
        <v>0</v>
      </c>
      <c r="R1006" s="138">
        <f t="shared" ca="1" si="3743"/>
        <v>0</v>
      </c>
      <c r="S1006" s="138">
        <f t="shared" ca="1" si="3743"/>
        <v>0</v>
      </c>
      <c r="T1006" s="138">
        <f t="shared" ca="1" si="3743"/>
        <v>0</v>
      </c>
      <c r="U1006" s="138">
        <f t="shared" ca="1" si="3743"/>
        <v>0</v>
      </c>
      <c r="V1006" s="138">
        <f t="shared" ca="1" si="3743"/>
        <v>0</v>
      </c>
      <c r="W1006" s="138">
        <f t="shared" ca="1" si="3743"/>
        <v>0</v>
      </c>
      <c r="X1006" s="138">
        <f t="shared" ca="1" si="3743"/>
        <v>0</v>
      </c>
      <c r="Y1006" s="138">
        <f t="shared" ca="1" si="3743"/>
        <v>0</v>
      </c>
      <c r="Z1006" s="138">
        <f t="shared" ca="1" si="3743"/>
        <v>0</v>
      </c>
      <c r="AA1006" s="138">
        <f t="shared" ca="1" si="3743"/>
        <v>0</v>
      </c>
      <c r="AB1006" s="138">
        <f t="shared" ca="1" si="3743"/>
        <v>0</v>
      </c>
      <c r="AC1006" s="138">
        <f t="shared" ca="1" si="3743"/>
        <v>0</v>
      </c>
      <c r="AD1006" s="138">
        <f t="shared" ca="1" si="3743"/>
        <v>0</v>
      </c>
      <c r="AE1006" s="138">
        <f t="shared" ca="1" si="3743"/>
        <v>0</v>
      </c>
      <c r="AF1006" s="138">
        <f t="shared" ca="1" si="3743"/>
        <v>0</v>
      </c>
      <c r="AG1006" s="138">
        <f t="shared" ca="1" si="3743"/>
        <v>0</v>
      </c>
      <c r="AH1006" s="138">
        <f t="shared" ca="1" si="3743"/>
        <v>0</v>
      </c>
      <c r="AI1006" s="138">
        <f t="shared" ca="1" si="3743"/>
        <v>0</v>
      </c>
      <c r="AJ1006" s="138">
        <f t="shared" ca="1" si="3743"/>
        <v>0</v>
      </c>
      <c r="AK1006" s="138">
        <f t="shared" ca="1" si="3743"/>
        <v>0</v>
      </c>
      <c r="AL1006" s="138">
        <f t="shared" ca="1" si="3743"/>
        <v>0</v>
      </c>
      <c r="AM1006" s="138">
        <f t="shared" ca="1" si="3743"/>
        <v>0</v>
      </c>
      <c r="AN1006" s="138">
        <f t="shared" ca="1" si="3743"/>
        <v>0</v>
      </c>
      <c r="AO1006" s="138">
        <f t="shared" ca="1" si="3743"/>
        <v>0</v>
      </c>
      <c r="AP1006" s="138">
        <f t="shared" ca="1" si="3743"/>
        <v>0</v>
      </c>
      <c r="AQ1006" s="138">
        <f t="shared" ca="1" si="3743"/>
        <v>0</v>
      </c>
      <c r="AR1006" s="138">
        <f t="shared" ca="1" si="3743"/>
        <v>0</v>
      </c>
      <c r="AS1006" s="138">
        <f t="shared" ca="1" si="3743"/>
        <v>0</v>
      </c>
      <c r="AT1006" s="138">
        <f t="shared" ca="1" si="3743"/>
        <v>0</v>
      </c>
      <c r="AU1006" s="138">
        <f t="shared" ca="1" si="3743"/>
        <v>0</v>
      </c>
      <c r="AV1006" s="138">
        <f t="shared" ca="1" si="3743"/>
        <v>0</v>
      </c>
      <c r="AX1006" s="142"/>
    </row>
    <row r="1007" spans="1:50" hidden="1" outlineLevel="1" x14ac:dyDescent="0.2">
      <c r="A1007" s="38" t="str">
        <f ca="1">Language!A$1179</f>
        <v>Списание убытков предыдущих периодов</v>
      </c>
      <c r="C1007" s="124" t="str">
        <f t="shared" ca="1" si="3650"/>
        <v>тыс. руб.</v>
      </c>
      <c r="F1007" s="100" t="s">
        <v>753</v>
      </c>
      <c r="G1007" s="138">
        <f ca="1">-IF(G1005&gt;0,MIN(-G1006,G1005),0)</f>
        <v>0</v>
      </c>
      <c r="H1007" s="138">
        <f t="shared" ref="H1007:K1007" ca="1" si="3744">-IF(H1005&gt;0,MIN(-H1006,H1005),0)</f>
        <v>0</v>
      </c>
      <c r="I1007" s="138">
        <f t="shared" ca="1" si="3744"/>
        <v>0</v>
      </c>
      <c r="J1007" s="138">
        <f t="shared" ca="1" si="3744"/>
        <v>0</v>
      </c>
      <c r="K1007" s="138">
        <f t="shared" ca="1" si="3744"/>
        <v>0</v>
      </c>
      <c r="L1007" s="138">
        <f t="shared" ref="L1007:M1007" ca="1" si="3745">-IF(L1005&gt;0,MIN(-L1006,L1005),0)</f>
        <v>0</v>
      </c>
      <c r="M1007" s="138">
        <f t="shared" ca="1" si="3745"/>
        <v>0</v>
      </c>
      <c r="N1007" s="138">
        <f t="shared" ref="N1007:O1007" ca="1" si="3746">-IF(N1005&gt;0,MIN(-N1006,N1005),0)</f>
        <v>0</v>
      </c>
      <c r="O1007" s="138">
        <f t="shared" ca="1" si="3746"/>
        <v>0</v>
      </c>
      <c r="P1007" s="138">
        <f t="shared" ref="P1007:Q1007" ca="1" si="3747">-IF(P1005&gt;0,MIN(-P1006,P1005),0)</f>
        <v>0</v>
      </c>
      <c r="Q1007" s="138">
        <f t="shared" ca="1" si="3747"/>
        <v>0</v>
      </c>
      <c r="R1007" s="138">
        <f t="shared" ref="R1007:S1007" ca="1" si="3748">-IF(R1005&gt;0,MIN(-R1006,R1005),0)</f>
        <v>0</v>
      </c>
      <c r="S1007" s="138">
        <f t="shared" ca="1" si="3748"/>
        <v>0</v>
      </c>
      <c r="T1007" s="138">
        <f t="shared" ref="T1007:U1007" ca="1" si="3749">-IF(T1005&gt;0,MIN(-T1006,T1005),0)</f>
        <v>0</v>
      </c>
      <c r="U1007" s="138">
        <f t="shared" ca="1" si="3749"/>
        <v>0</v>
      </c>
      <c r="V1007" s="138">
        <f t="shared" ref="V1007:W1007" ca="1" si="3750">-IF(V1005&gt;0,MIN(-V1006,V1005),0)</f>
        <v>0</v>
      </c>
      <c r="W1007" s="138">
        <f t="shared" ca="1" si="3750"/>
        <v>0</v>
      </c>
      <c r="X1007" s="138">
        <f t="shared" ref="X1007:Y1007" ca="1" si="3751">-IF(X1005&gt;0,MIN(-X1006,X1005),0)</f>
        <v>0</v>
      </c>
      <c r="Y1007" s="138">
        <f t="shared" ca="1" si="3751"/>
        <v>0</v>
      </c>
      <c r="Z1007" s="138">
        <f t="shared" ref="Z1007:AA1007" ca="1" si="3752">-IF(Z1005&gt;0,MIN(-Z1006,Z1005),0)</f>
        <v>0</v>
      </c>
      <c r="AA1007" s="138">
        <f t="shared" ca="1" si="3752"/>
        <v>0</v>
      </c>
      <c r="AB1007" s="138">
        <f t="shared" ref="AB1007:AC1007" ca="1" si="3753">-IF(AB1005&gt;0,MIN(-AB1006,AB1005),0)</f>
        <v>0</v>
      </c>
      <c r="AC1007" s="138">
        <f t="shared" ca="1" si="3753"/>
        <v>0</v>
      </c>
      <c r="AD1007" s="138">
        <f t="shared" ref="AD1007:AE1007" ca="1" si="3754">-IF(AD1005&gt;0,MIN(-AD1006,AD1005),0)</f>
        <v>0</v>
      </c>
      <c r="AE1007" s="138">
        <f t="shared" ca="1" si="3754"/>
        <v>0</v>
      </c>
      <c r="AF1007" s="138">
        <f t="shared" ref="AF1007:AG1007" ca="1" si="3755">-IF(AF1005&gt;0,MIN(-AF1006,AF1005),0)</f>
        <v>0</v>
      </c>
      <c r="AG1007" s="138">
        <f t="shared" ca="1" si="3755"/>
        <v>0</v>
      </c>
      <c r="AH1007" s="138">
        <f t="shared" ref="AH1007:AI1007" ca="1" si="3756">-IF(AH1005&gt;0,MIN(-AH1006,AH1005),0)</f>
        <v>0</v>
      </c>
      <c r="AI1007" s="138">
        <f t="shared" ca="1" si="3756"/>
        <v>0</v>
      </c>
      <c r="AJ1007" s="138">
        <f t="shared" ref="AJ1007:AK1007" ca="1" si="3757">-IF(AJ1005&gt;0,MIN(-AJ1006,AJ1005),0)</f>
        <v>0</v>
      </c>
      <c r="AK1007" s="138">
        <f t="shared" ca="1" si="3757"/>
        <v>0</v>
      </c>
      <c r="AL1007" s="138">
        <f t="shared" ref="AL1007:AM1007" ca="1" si="3758">-IF(AL1005&gt;0,MIN(-AL1006,AL1005),0)</f>
        <v>0</v>
      </c>
      <c r="AM1007" s="138">
        <f t="shared" ca="1" si="3758"/>
        <v>0</v>
      </c>
      <c r="AN1007" s="138">
        <f t="shared" ref="AN1007:AO1007" ca="1" si="3759">-IF(AN1005&gt;0,MIN(-AN1006,AN1005),0)</f>
        <v>0</v>
      </c>
      <c r="AO1007" s="138">
        <f t="shared" ca="1" si="3759"/>
        <v>0</v>
      </c>
      <c r="AP1007" s="138">
        <f t="shared" ref="AP1007:AQ1007" ca="1" si="3760">-IF(AP1005&gt;0,MIN(-AP1006,AP1005),0)</f>
        <v>0</v>
      </c>
      <c r="AQ1007" s="138">
        <f t="shared" ca="1" si="3760"/>
        <v>0</v>
      </c>
      <c r="AR1007" s="138">
        <f t="shared" ref="AR1007:AS1007" ca="1" si="3761">-IF(AR1005&gt;0,MIN(-AR1006,AR1005),0)</f>
        <v>0</v>
      </c>
      <c r="AS1007" s="138">
        <f t="shared" ca="1" si="3761"/>
        <v>0</v>
      </c>
      <c r="AT1007" s="138">
        <f t="shared" ref="AT1007:AU1007" ca="1" si="3762">-IF(AT1005&gt;0,MIN(-AT1006,AT1005),0)</f>
        <v>0</v>
      </c>
      <c r="AU1007" s="138">
        <f t="shared" ca="1" si="3762"/>
        <v>0</v>
      </c>
      <c r="AV1007" s="138">
        <f t="shared" ref="AV1007" ca="1" si="3763">-IF(AV1005&gt;0,MIN(-AV1006,AV1005),0)</f>
        <v>0</v>
      </c>
      <c r="AX1007" s="142">
        <f ca="1">SUM(G1007:AW1007)</f>
        <v>0</v>
      </c>
    </row>
    <row r="1008" spans="1:50" hidden="1" outlineLevel="1" x14ac:dyDescent="0.2">
      <c r="A1008" s="38" t="str">
        <f ca="1">Language!A$1180</f>
        <v>Облагаемая база</v>
      </c>
      <c r="C1008" s="124" t="str">
        <f t="shared" ca="1" si="3650"/>
        <v>тыс. руб.</v>
      </c>
      <c r="F1008" s="100" t="s">
        <v>753</v>
      </c>
      <c r="G1008" s="138">
        <f ca="1">MAX(G1005+G1007,0)</f>
        <v>331297.39671396458</v>
      </c>
      <c r="H1008" s="138">
        <f t="shared" ref="H1008:K1008" ca="1" si="3764">MAX(H1005+H1007,0)</f>
        <v>132375.05124731583</v>
      </c>
      <c r="I1008" s="138">
        <f t="shared" ca="1" si="3764"/>
        <v>72135.485102070525</v>
      </c>
      <c r="J1008" s="138">
        <f t="shared" ca="1" si="3764"/>
        <v>129969.91134305159</v>
      </c>
      <c r="K1008" s="138">
        <f t="shared" ca="1" si="3764"/>
        <v>249809.06812395636</v>
      </c>
      <c r="L1008" s="138">
        <f t="shared" ref="L1008:M1008" ca="1" si="3765">MAX(L1005+L1007,0)</f>
        <v>223037.24108385877</v>
      </c>
      <c r="M1008" s="138">
        <f t="shared" ca="1" si="3765"/>
        <v>129130.34630183625</v>
      </c>
      <c r="N1008" s="138">
        <f t="shared" ref="N1008:O1008" ca="1" si="3766">MAX(N1005+N1007,0)</f>
        <v>174716.04957011843</v>
      </c>
      <c r="O1008" s="138">
        <f t="shared" ca="1" si="3766"/>
        <v>308267.41458062752</v>
      </c>
      <c r="P1008" s="138">
        <f t="shared" ref="P1008:Q1008" ca="1" si="3767">MAX(P1005+P1007,0)</f>
        <v>276934.34938215342</v>
      </c>
      <c r="Q1008" s="138">
        <f t="shared" ca="1" si="3767"/>
        <v>178728.92376820254</v>
      </c>
      <c r="R1008" s="138">
        <f t="shared" ref="R1008:S1008" ca="1" si="3768">MAX(R1005+R1007,0)</f>
        <v>220845.8823569089</v>
      </c>
      <c r="S1008" s="138">
        <f t="shared" ca="1" si="3768"/>
        <v>350745.86127319589</v>
      </c>
      <c r="T1008" s="138">
        <f t="shared" ref="T1008:U1008" ca="1" si="3769">MAX(T1005+T1007,0)</f>
        <v>305517.30352128216</v>
      </c>
      <c r="U1008" s="138">
        <f t="shared" ca="1" si="3769"/>
        <v>196931.82931993477</v>
      </c>
      <c r="V1008" s="138">
        <f t="shared" ref="V1008:W1008" ca="1" si="3770">MAX(V1005+V1007,0)</f>
        <v>239728.79340199236</v>
      </c>
      <c r="W1008" s="138">
        <f t="shared" ca="1" si="3770"/>
        <v>372095.67552384397</v>
      </c>
      <c r="X1008" s="138">
        <f t="shared" ref="X1008:Y1008" ca="1" si="3771">MAX(X1005+X1007,0)</f>
        <v>319733.63792092865</v>
      </c>
      <c r="Y1008" s="138">
        <f t="shared" ca="1" si="3771"/>
        <v>194620.59586964041</v>
      </c>
      <c r="Z1008" s="138">
        <f t="shared" ref="Z1008:AA1008" ca="1" si="3772">MAX(Z1005+Z1007,0)</f>
        <v>232796.36444137516</v>
      </c>
      <c r="AA1008" s="138">
        <f t="shared" ca="1" si="3772"/>
        <v>372865.43102433311</v>
      </c>
      <c r="AB1008" s="138">
        <f t="shared" ref="AB1008:AC1008" ca="1" si="3773">MAX(AB1005+AB1007,0)</f>
        <v>317119.2470567649</v>
      </c>
      <c r="AC1008" s="138">
        <f t="shared" ca="1" si="3773"/>
        <v>190075.57497910864</v>
      </c>
      <c r="AD1008" s="138">
        <f t="shared" ref="AD1008:AE1008" ca="1" si="3774">MAX(AD1005+AD1007,0)</f>
        <v>233219.01726648878</v>
      </c>
      <c r="AE1008" s="138">
        <f t="shared" ca="1" si="3774"/>
        <v>381374.20007320738</v>
      </c>
      <c r="AF1008" s="138">
        <f t="shared" ref="AF1008:AG1008" ca="1" si="3775">MAX(AF1005+AF1007,0)</f>
        <v>321959.04087626614</v>
      </c>
      <c r="AG1008" s="138">
        <f t="shared" ca="1" si="3775"/>
        <v>184032.92228024767</v>
      </c>
      <c r="AH1008" s="138">
        <f t="shared" ref="AH1008:AI1008" ca="1" si="3776">MAX(AH1005+AH1007,0)</f>
        <v>226811.85755738011</v>
      </c>
      <c r="AI1008" s="138">
        <f t="shared" ca="1" si="3776"/>
        <v>383555.45315358986</v>
      </c>
      <c r="AJ1008" s="138">
        <f t="shared" ref="AJ1008:AK1008" ca="1" si="3777">MAX(AJ1005+AJ1007,0)</f>
        <v>320270.05130620359</v>
      </c>
      <c r="AK1008" s="138">
        <f t="shared" ca="1" si="3777"/>
        <v>171672.62251645405</v>
      </c>
      <c r="AL1008" s="138">
        <f t="shared" ref="AL1008:AM1008" ca="1" si="3778">MAX(AL1005+AL1007,0)</f>
        <v>215447.6903558934</v>
      </c>
      <c r="AM1008" s="138">
        <f t="shared" ca="1" si="3778"/>
        <v>388391.56452364358</v>
      </c>
      <c r="AN1008" s="138">
        <f t="shared" ref="AN1008:AO1008" ca="1" si="3779">MAX(AN1005+AN1007,0)</f>
        <v>328257.76865917636</v>
      </c>
      <c r="AO1008" s="138">
        <f t="shared" ca="1" si="3779"/>
        <v>174875.45847959019</v>
      </c>
      <c r="AP1008" s="138">
        <f t="shared" ref="AP1008:AQ1008" ca="1" si="3780">MAX(AP1005+AP1007,0)</f>
        <v>226514.28090228804</v>
      </c>
      <c r="AQ1008" s="138">
        <f t="shared" ca="1" si="3780"/>
        <v>411182.20451818639</v>
      </c>
      <c r="AR1008" s="138">
        <f t="shared" ref="AR1008:AS1008" ca="1" si="3781">MAX(AR1005+AR1007,0)</f>
        <v>347432.85536295455</v>
      </c>
      <c r="AS1008" s="138">
        <f t="shared" ca="1" si="3781"/>
        <v>165118.91864130599</v>
      </c>
      <c r="AT1008" s="138">
        <f t="shared" ref="AT1008:AU1008" ca="1" si="3782">MAX(AT1005+AT1007,0)</f>
        <v>210519.87816001783</v>
      </c>
      <c r="AU1008" s="138">
        <f t="shared" ca="1" si="3782"/>
        <v>405833.74764469243</v>
      </c>
      <c r="AV1008" s="138">
        <f t="shared" ref="AV1008" ca="1" si="3783">MAX(AV1005+AV1007,0)</f>
        <v>337818.93764176208</v>
      </c>
      <c r="AX1008" s="142">
        <f ca="1">SUM(G1008:AW1008)</f>
        <v>10953765.903825819</v>
      </c>
    </row>
    <row r="1009" spans="1:50" hidden="1" outlineLevel="1" x14ac:dyDescent="0.2">
      <c r="A1009" s="38" t="str">
        <f ca="1">Language!A$1181</f>
        <v>Минимальный налог (% от доходов)</v>
      </c>
      <c r="B1009" s="97"/>
      <c r="C1009" s="124" t="str">
        <f t="shared" ca="1" si="3650"/>
        <v>тыс. руб.</v>
      </c>
      <c r="F1009" s="100" t="s">
        <v>753</v>
      </c>
      <c r="G1009" s="138">
        <f ca="1">(OFFSET(Результаты!$F$39,0,G2)+OFFSET(Результаты!$F$46,0,G2)+OFFSET(Результаты!$F$56,0,G2))*Параметры!G$64*Параметры!G109</f>
        <v>0</v>
      </c>
      <c r="H1009" s="138">
        <f ca="1">(OFFSET(Результаты!$F$39,0,H2)+OFFSET(Результаты!$F$46,0,H2)+OFFSET(Результаты!$F$56,0,H2))*Параметры!H$64*Параметры!H109</f>
        <v>0</v>
      </c>
      <c r="I1009" s="138">
        <f ca="1">(OFFSET(Результаты!$F$39,0,I2)+OFFSET(Результаты!$F$46,0,I2)+OFFSET(Результаты!$F$56,0,I2))*Параметры!I$64*Параметры!I109</f>
        <v>0</v>
      </c>
      <c r="J1009" s="138">
        <f ca="1">(OFFSET(Результаты!$F$39,0,J2)+OFFSET(Результаты!$F$46,0,J2)+OFFSET(Результаты!$F$56,0,J2))*Параметры!J$64*Параметры!J109</f>
        <v>0</v>
      </c>
      <c r="K1009" s="138">
        <f ca="1">(OFFSET(Результаты!$F$39,0,K2)+OFFSET(Результаты!$F$46,0,K2)+OFFSET(Результаты!$F$56,0,K2))*Параметры!K$64*Параметры!K109</f>
        <v>0</v>
      </c>
      <c r="L1009" s="138">
        <f ca="1">(OFFSET(Результаты!$F$39,0,L2)+OFFSET(Результаты!$F$46,0,L2)+OFFSET(Результаты!$F$56,0,L2))*Параметры!L$64*Параметры!L109</f>
        <v>0</v>
      </c>
      <c r="M1009" s="138">
        <f ca="1">(OFFSET(Результаты!$F$39,0,M2)+OFFSET(Результаты!$F$46,0,M2)+OFFSET(Результаты!$F$56,0,M2))*Параметры!M$64*Параметры!M109</f>
        <v>0</v>
      </c>
      <c r="N1009" s="138">
        <f ca="1">(OFFSET(Результаты!$F$39,0,N2)+OFFSET(Результаты!$F$46,0,N2)+OFFSET(Результаты!$F$56,0,N2))*Параметры!N$64*Параметры!N109</f>
        <v>0</v>
      </c>
      <c r="O1009" s="138">
        <f ca="1">(OFFSET(Результаты!$F$39,0,O2)+OFFSET(Результаты!$F$46,0,O2)+OFFSET(Результаты!$F$56,0,O2))*Параметры!O$64*Параметры!O109</f>
        <v>0</v>
      </c>
      <c r="P1009" s="138">
        <f ca="1">(OFFSET(Результаты!$F$39,0,P2)+OFFSET(Результаты!$F$46,0,P2)+OFFSET(Результаты!$F$56,0,P2))*Параметры!P$64*Параметры!P109</f>
        <v>0</v>
      </c>
      <c r="Q1009" s="138">
        <f ca="1">(OFFSET(Результаты!$F$39,0,Q2)+OFFSET(Результаты!$F$46,0,Q2)+OFFSET(Результаты!$F$56,0,Q2))*Параметры!Q$64*Параметры!Q109</f>
        <v>0</v>
      </c>
      <c r="R1009" s="138">
        <f ca="1">(OFFSET(Результаты!$F$39,0,R2)+OFFSET(Результаты!$F$46,0,R2)+OFFSET(Результаты!$F$56,0,R2))*Параметры!R$64*Параметры!R109</f>
        <v>0</v>
      </c>
      <c r="S1009" s="138">
        <f ca="1">(OFFSET(Результаты!$F$39,0,S2)+OFFSET(Результаты!$F$46,0,S2)+OFFSET(Результаты!$F$56,0,S2))*Параметры!S$64*Параметры!S109</f>
        <v>0</v>
      </c>
      <c r="T1009" s="138">
        <f ca="1">(OFFSET(Результаты!$F$39,0,T2)+OFFSET(Результаты!$F$46,0,T2)+OFFSET(Результаты!$F$56,0,T2))*Параметры!T$64*Параметры!T109</f>
        <v>0</v>
      </c>
      <c r="U1009" s="138">
        <f ca="1">(OFFSET(Результаты!$F$39,0,U2)+OFFSET(Результаты!$F$46,0,U2)+OFFSET(Результаты!$F$56,0,U2))*Параметры!U$64*Параметры!U109</f>
        <v>0</v>
      </c>
      <c r="V1009" s="138">
        <f ca="1">(OFFSET(Результаты!$F$39,0,V2)+OFFSET(Результаты!$F$46,0,V2)+OFFSET(Результаты!$F$56,0,V2))*Параметры!V$64*Параметры!V109</f>
        <v>0</v>
      </c>
      <c r="W1009" s="138">
        <f ca="1">(OFFSET(Результаты!$F$39,0,W2)+OFFSET(Результаты!$F$46,0,W2)+OFFSET(Результаты!$F$56,0,W2))*Параметры!W$64*Параметры!W109</f>
        <v>0</v>
      </c>
      <c r="X1009" s="138">
        <f ca="1">(OFFSET(Результаты!$F$39,0,X2)+OFFSET(Результаты!$F$46,0,X2)+OFFSET(Результаты!$F$56,0,X2))*Параметры!X$64*Параметры!X109</f>
        <v>0</v>
      </c>
      <c r="Y1009" s="138">
        <f ca="1">(OFFSET(Результаты!$F$39,0,Y2)+OFFSET(Результаты!$F$46,0,Y2)+OFFSET(Результаты!$F$56,0,Y2))*Параметры!Y$64*Параметры!Y109</f>
        <v>0</v>
      </c>
      <c r="Z1009" s="138">
        <f ca="1">(OFFSET(Результаты!$F$39,0,Z2)+OFFSET(Результаты!$F$46,0,Z2)+OFFSET(Результаты!$F$56,0,Z2))*Параметры!Z$64*Параметры!Z109</f>
        <v>0</v>
      </c>
      <c r="AA1009" s="138">
        <f ca="1">(OFFSET(Результаты!$F$39,0,AA2)+OFFSET(Результаты!$F$46,0,AA2)+OFFSET(Результаты!$F$56,0,AA2))*Параметры!AA$64*Параметры!AA109</f>
        <v>0</v>
      </c>
      <c r="AB1009" s="138">
        <f ca="1">(OFFSET(Результаты!$F$39,0,AB2)+OFFSET(Результаты!$F$46,0,AB2)+OFFSET(Результаты!$F$56,0,AB2))*Параметры!AB$64*Параметры!AB109</f>
        <v>0</v>
      </c>
      <c r="AC1009" s="138">
        <f ca="1">(OFFSET(Результаты!$F$39,0,AC2)+OFFSET(Результаты!$F$46,0,AC2)+OFFSET(Результаты!$F$56,0,AC2))*Параметры!AC$64*Параметры!AC109</f>
        <v>0</v>
      </c>
      <c r="AD1009" s="138">
        <f ca="1">(OFFSET(Результаты!$F$39,0,AD2)+OFFSET(Результаты!$F$46,0,AD2)+OFFSET(Результаты!$F$56,0,AD2))*Параметры!AD$64*Параметры!AD109</f>
        <v>0</v>
      </c>
      <c r="AE1009" s="138">
        <f ca="1">(OFFSET(Результаты!$F$39,0,AE2)+OFFSET(Результаты!$F$46,0,AE2)+OFFSET(Результаты!$F$56,0,AE2))*Параметры!AE$64*Параметры!AE109</f>
        <v>0</v>
      </c>
      <c r="AF1009" s="138">
        <f ca="1">(OFFSET(Результаты!$F$39,0,AF2)+OFFSET(Результаты!$F$46,0,AF2)+OFFSET(Результаты!$F$56,0,AF2))*Параметры!AF$64*Параметры!AF109</f>
        <v>0</v>
      </c>
      <c r="AG1009" s="138">
        <f ca="1">(OFFSET(Результаты!$F$39,0,AG2)+OFFSET(Результаты!$F$46,0,AG2)+OFFSET(Результаты!$F$56,0,AG2))*Параметры!AG$64*Параметры!AG109</f>
        <v>0</v>
      </c>
      <c r="AH1009" s="138">
        <f ca="1">(OFFSET(Результаты!$F$39,0,AH2)+OFFSET(Результаты!$F$46,0,AH2)+OFFSET(Результаты!$F$56,0,AH2))*Параметры!AH$64*Параметры!AH109</f>
        <v>0</v>
      </c>
      <c r="AI1009" s="138">
        <f ca="1">(OFFSET(Результаты!$F$39,0,AI2)+OFFSET(Результаты!$F$46,0,AI2)+OFFSET(Результаты!$F$56,0,AI2))*Параметры!AI$64*Параметры!AI109</f>
        <v>0</v>
      </c>
      <c r="AJ1009" s="138">
        <f ca="1">(OFFSET(Результаты!$F$39,0,AJ2)+OFFSET(Результаты!$F$46,0,AJ2)+OFFSET(Результаты!$F$56,0,AJ2))*Параметры!AJ$64*Параметры!AJ109</f>
        <v>0</v>
      </c>
      <c r="AK1009" s="138">
        <f ca="1">(OFFSET(Результаты!$F$39,0,AK2)+OFFSET(Результаты!$F$46,0,AK2)+OFFSET(Результаты!$F$56,0,AK2))*Параметры!AK$64*Параметры!AK109</f>
        <v>0</v>
      </c>
      <c r="AL1009" s="138">
        <f ca="1">(OFFSET(Результаты!$F$39,0,AL2)+OFFSET(Результаты!$F$46,0,AL2)+OFFSET(Результаты!$F$56,0,AL2))*Параметры!AL$64*Параметры!AL109</f>
        <v>0</v>
      </c>
      <c r="AM1009" s="138">
        <f ca="1">(OFFSET(Результаты!$F$39,0,AM2)+OFFSET(Результаты!$F$46,0,AM2)+OFFSET(Результаты!$F$56,0,AM2))*Параметры!AM$64*Параметры!AM109</f>
        <v>0</v>
      </c>
      <c r="AN1009" s="138">
        <f ca="1">(OFFSET(Результаты!$F$39,0,AN2)+OFFSET(Результаты!$F$46,0,AN2)+OFFSET(Результаты!$F$56,0,AN2))*Параметры!AN$64*Параметры!AN109</f>
        <v>0</v>
      </c>
      <c r="AO1009" s="138">
        <f ca="1">(OFFSET(Результаты!$F$39,0,AO2)+OFFSET(Результаты!$F$46,0,AO2)+OFFSET(Результаты!$F$56,0,AO2))*Параметры!AO$64*Параметры!AO109</f>
        <v>0</v>
      </c>
      <c r="AP1009" s="138">
        <f ca="1">(OFFSET(Результаты!$F$39,0,AP2)+OFFSET(Результаты!$F$46,0,AP2)+OFFSET(Результаты!$F$56,0,AP2))*Параметры!AP$64*Параметры!AP109</f>
        <v>0</v>
      </c>
      <c r="AQ1009" s="138">
        <f ca="1">(OFFSET(Результаты!$F$39,0,AQ2)+OFFSET(Результаты!$F$46,0,AQ2)+OFFSET(Результаты!$F$56,0,AQ2))*Параметры!AQ$64*Параметры!AQ109</f>
        <v>0</v>
      </c>
      <c r="AR1009" s="138">
        <f ca="1">(OFFSET(Результаты!$F$39,0,AR2)+OFFSET(Результаты!$F$46,0,AR2)+OFFSET(Результаты!$F$56,0,AR2))*Параметры!AR$64*Параметры!AR109</f>
        <v>0</v>
      </c>
      <c r="AS1009" s="138">
        <f ca="1">(OFFSET(Результаты!$F$39,0,AS2)+OFFSET(Результаты!$F$46,0,AS2)+OFFSET(Результаты!$F$56,0,AS2))*Параметры!AS$64*Параметры!AS109</f>
        <v>0</v>
      </c>
      <c r="AT1009" s="138">
        <f ca="1">(OFFSET(Результаты!$F$39,0,AT2)+OFFSET(Результаты!$F$46,0,AT2)+OFFSET(Результаты!$F$56,0,AT2))*Параметры!AT$64*Параметры!AT109</f>
        <v>0</v>
      </c>
      <c r="AU1009" s="138">
        <f ca="1">(OFFSET(Результаты!$F$39,0,AU2)+OFFSET(Результаты!$F$46,0,AU2)+OFFSET(Результаты!$F$56,0,AU2))*Параметры!AU$64*Параметры!AU109</f>
        <v>0</v>
      </c>
      <c r="AV1009" s="138">
        <f ca="1">(OFFSET(Результаты!$F$39,0,AV2)+OFFSET(Результаты!$F$46,0,AV2)+OFFSET(Результаты!$F$56,0,AV2))*Параметры!AV$64*Параметры!AV109</f>
        <v>0</v>
      </c>
      <c r="AX1009" s="142">
        <f ca="1">SUM(G1009:AW1009)</f>
        <v>0</v>
      </c>
    </row>
    <row r="1010" spans="1:50" x14ac:dyDescent="0.2"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</row>
    <row r="1011" spans="1:50" x14ac:dyDescent="0.2">
      <c r="A1011" s="38" t="str">
        <f ca="1">Language!A$1182</f>
        <v>Начисленные налоговые платежи</v>
      </c>
      <c r="C1011" s="124" t="str">
        <f t="shared" ref="C1011:C1013" ca="1" si="3784">CurName1</f>
        <v>тыс. руб.</v>
      </c>
      <c r="F1011" s="100" t="s">
        <v>753</v>
      </c>
      <c r="G1011" s="138">
        <f ca="1">G954+G955+G956+G958+G976+G984+G988+G997+G1002</f>
        <v>-43521.778506228846</v>
      </c>
      <c r="H1011" s="138">
        <f t="shared" ref="H1011:K1011" ca="1" si="3785">H954+H955+H956+H958+H976+H984+H988+H997+H1002</f>
        <v>7314.2544951116824</v>
      </c>
      <c r="I1011" s="138">
        <f t="shared" ca="1" si="3785"/>
        <v>6417.9083961492452</v>
      </c>
      <c r="J1011" s="138">
        <f t="shared" ca="1" si="3785"/>
        <v>12140.351462750912</v>
      </c>
      <c r="K1011" s="138">
        <f t="shared" ca="1" si="3785"/>
        <v>28093.565512548772</v>
      </c>
      <c r="L1011" s="138">
        <f t="shared" ref="L1011:M1011" ca="1" si="3786">L954+L955+L956+L958+L976+L984+L988+L997+L1002</f>
        <v>13863.059667365758</v>
      </c>
      <c r="M1011" s="138">
        <f t="shared" ca="1" si="3786"/>
        <v>10493.805918501203</v>
      </c>
      <c r="N1011" s="138">
        <f t="shared" ref="N1011:O1011" ca="1" si="3787">N954+N955+N956+N958+N976+N984+N988+N997+N1002</f>
        <v>16332.929949259942</v>
      </c>
      <c r="O1011" s="138">
        <f t="shared" ca="1" si="3787"/>
        <v>34501.084294818873</v>
      </c>
      <c r="P1011" s="138">
        <f t="shared" ref="P1011:Q1011" ca="1" si="3788">P954+P955+P956+P958+P976+P984+P988+P997+P1002</f>
        <v>18261.411580170876</v>
      </c>
      <c r="Q1011" s="138">
        <f t="shared" ca="1" si="3788"/>
        <v>14208.471312569642</v>
      </c>
      <c r="R1011" s="138">
        <f t="shared" ref="R1011:S1011" ca="1" si="3789">R954+R955+R956+R958+R976+R984+R988+R997+R1002</f>
        <v>19699.028043127168</v>
      </c>
      <c r="S1011" s="138">
        <f t="shared" ca="1" si="3789"/>
        <v>38237.181096944107</v>
      </c>
      <c r="T1011" s="138">
        <f t="shared" ref="T1011:U1011" ca="1" si="3790">T954+T955+T956+T958+T976+T984+T988+T997+T1002</f>
        <v>20281.390686896812</v>
      </c>
      <c r="U1011" s="138">
        <f t="shared" ca="1" si="3790"/>
        <v>16393.34072704463</v>
      </c>
      <c r="V1011" s="138">
        <f t="shared" ref="V1011:W1011" ca="1" si="3791">V954+V955+V956+V958+V976+V984+V988+V997+V1002</f>
        <v>22232.881723782273</v>
      </c>
      <c r="W1011" s="138">
        <f t="shared" ca="1" si="3791"/>
        <v>41903.161709521453</v>
      </c>
      <c r="X1011" s="138">
        <f t="shared" ref="X1011:Y1011" ca="1" si="3792">X954+X955+X956+X958+X976+X984+X988+X997+X1002</f>
        <v>22890.152719637183</v>
      </c>
      <c r="Y1011" s="138">
        <f t="shared" ca="1" si="3792"/>
        <v>17240.877886501428</v>
      </c>
      <c r="Z1011" s="138">
        <f t="shared" ref="Z1011:AA1011" ca="1" si="3793">Z954+Z955+Z956+Z958+Z976+Z984+Z988+Z997+Z1002</f>
        <v>23428.794771342265</v>
      </c>
      <c r="AA1011" s="138">
        <f t="shared" ca="1" si="3793"/>
        <v>44277.265687138744</v>
      </c>
      <c r="AB1011" s="138">
        <f t="shared" ref="AB1011:AC1011" ca="1" si="3794">AB954+AB955+AB956+AB958+AB976+AB984+AB988+AB997+AB1002</f>
        <v>24121.420561483006</v>
      </c>
      <c r="AC1011" s="138">
        <f t="shared" ca="1" si="3794"/>
        <v>18947.574663670359</v>
      </c>
      <c r="AD1011" s="138">
        <f t="shared" ref="AD1011:AE1011" ca="1" si="3795">AD954+AD955+AD956+AD958+AD976+AD984+AD988+AD997+AD1002</f>
        <v>25516.63096817123</v>
      </c>
      <c r="AE1011" s="138">
        <f t="shared" ca="1" si="3795"/>
        <v>47626.019294269601</v>
      </c>
      <c r="AF1011" s="138">
        <f t="shared" ref="AF1011:AG1011" ca="1" si="3796">AF954+AF955+AF956+AF958+AF976+AF984+AF988+AF997+AF1002</f>
        <v>26270.9794892346</v>
      </c>
      <c r="AG1011" s="138">
        <f t="shared" ca="1" si="3796"/>
        <v>20279.996310531074</v>
      </c>
      <c r="AH1011" s="138">
        <f t="shared" ref="AH1011:AI1011" ca="1" si="3797">AH954+AH955+AH956+AH958+AH976+AH984+AH988+AH997+AH1002</f>
        <v>27246.065715826808</v>
      </c>
      <c r="AI1011" s="138">
        <f t="shared" ca="1" si="3797"/>
        <v>50684.929173882767</v>
      </c>
      <c r="AJ1011" s="138">
        <f t="shared" ref="AJ1011:AK1011" ca="1" si="3798">AJ954+AJ955+AJ956+AJ958+AJ976+AJ984+AJ988+AJ997+AJ1002</f>
        <v>28051.541540717895</v>
      </c>
      <c r="AK1011" s="138">
        <f t="shared" ca="1" si="3798"/>
        <v>21392.224203195281</v>
      </c>
      <c r="AL1011" s="138">
        <f t="shared" ref="AL1011:AM1011" ca="1" si="3799">AL954+AL955+AL956+AL958+AL976+AL984+AL988+AL997+AL1002</f>
        <v>28774.723301040482</v>
      </c>
      <c r="AM1011" s="138">
        <f t="shared" ca="1" si="3799"/>
        <v>53618.361578208875</v>
      </c>
      <c r="AN1011" s="138">
        <f t="shared" ref="AN1011:AO1011" ca="1" si="3800">AN954+AN955+AN956+AN958+AN976+AN984+AN988+AN997+AN1002</f>
        <v>29625.390851675344</v>
      </c>
      <c r="AO1011" s="138">
        <f t="shared" ca="1" si="3800"/>
        <v>22630.412657526289</v>
      </c>
      <c r="AP1011" s="138">
        <f t="shared" ref="AP1011:AQ1011" ca="1" si="3801">AP954+AP955+AP956+AP958+AP976+AP984+AP988+AP997+AP1002</f>
        <v>30455.196315719084</v>
      </c>
      <c r="AQ1011" s="138">
        <f t="shared" ca="1" si="3801"/>
        <v>56788.777740229649</v>
      </c>
      <c r="AR1011" s="138">
        <f t="shared" ref="AR1011:AS1011" ca="1" si="3802">AR954+AR955+AR956+AR958+AR976+AR984+AR988+AR997+AR1002</f>
        <v>31355.543713779363</v>
      </c>
      <c r="AS1011" s="138">
        <f t="shared" ca="1" si="3802"/>
        <v>21325.616036170137</v>
      </c>
      <c r="AT1011" s="138">
        <f t="shared" ref="AT1011:AU1011" ca="1" si="3803">AT954+AT955+AT956+AT958+AT976+AT984+AT988+AT997+AT1002</f>
        <v>29580.815817307139</v>
      </c>
      <c r="AU1011" s="138">
        <f t="shared" ca="1" si="3803"/>
        <v>57454.767910415394</v>
      </c>
      <c r="AV1011" s="138">
        <f t="shared" ref="AV1011" ca="1" si="3804">AV954+AV955+AV956+AV958+AV976+AV984+AV988+AV997+AV1002</f>
        <v>30455.31389236523</v>
      </c>
      <c r="AX1011" s="142">
        <f ca="1">SUM(G1011:AW1011)</f>
        <v>1066891.4408703737</v>
      </c>
    </row>
    <row r="1012" spans="1:50" x14ac:dyDescent="0.2">
      <c r="A1012" s="38" t="str">
        <f ca="1">Language!A$1183</f>
        <v>Уплаченные налоговые платежи</v>
      </c>
      <c r="C1012" s="124" t="str">
        <f t="shared" ca="1" si="3784"/>
        <v>тыс. руб.</v>
      </c>
      <c r="F1012" s="100" t="s">
        <v>753</v>
      </c>
      <c r="G1012" s="138">
        <f ca="1">G954+G955+G956+G960+G978+G986+G990+G999+G1004</f>
        <v>-29014.519004152564</v>
      </c>
      <c r="H1012" s="138">
        <f t="shared" ref="H1012:K1012" ca="1" si="3805">H954+H955+H956+H960+H978+H986+H990+H999+H1004</f>
        <v>-9631.0898386684948</v>
      </c>
      <c r="I1012" s="138">
        <f t="shared" ca="1" si="3805"/>
        <v>6716.6904291367246</v>
      </c>
      <c r="J1012" s="138">
        <f t="shared" ca="1" si="3805"/>
        <v>10232.870440550356</v>
      </c>
      <c r="K1012" s="138">
        <f t="shared" ca="1" si="3805"/>
        <v>22775.827495949485</v>
      </c>
      <c r="L1012" s="138">
        <f t="shared" ref="L1012:M1012" ca="1" si="3806">L954+L955+L956+L960+L978+L986+L990+L999+L1004</f>
        <v>18606.561615760096</v>
      </c>
      <c r="M1012" s="138">
        <f t="shared" ca="1" si="3806"/>
        <v>11616.890501456057</v>
      </c>
      <c r="N1012" s="138">
        <f t="shared" ref="N1012:O1012" ca="1" si="3807">N954+N955+N956+N960+N978+N986+N990+N999+N1004</f>
        <v>14386.555272340363</v>
      </c>
      <c r="O1012" s="138">
        <f t="shared" ca="1" si="3807"/>
        <v>28445.032846299229</v>
      </c>
      <c r="P1012" s="138">
        <f t="shared" ref="P1012:Q1012" ca="1" si="3808">P954+P955+P956+P960+P978+P986+P990+P999+P1004</f>
        <v>23674.635818386872</v>
      </c>
      <c r="Q1012" s="138">
        <f t="shared" ca="1" si="3808"/>
        <v>15559.451401770053</v>
      </c>
      <c r="R1012" s="138">
        <f t="shared" ref="R1012:S1012" ca="1" si="3809">R954+R955+R956+R960+R978+R986+R990+R999+R1004</f>
        <v>17868.842466274658</v>
      </c>
      <c r="S1012" s="138">
        <f t="shared" ca="1" si="3809"/>
        <v>32057.796745671792</v>
      </c>
      <c r="T1012" s="138">
        <f t="shared" ref="T1012:U1012" ca="1" si="3810">T954+T955+T956+T960+T978+T986+T990+T999+T1004</f>
        <v>26266.654156912577</v>
      </c>
      <c r="U1012" s="138">
        <f t="shared" ca="1" si="3810"/>
        <v>17689.357380328693</v>
      </c>
      <c r="V1012" s="138">
        <f t="shared" ref="V1012:W1012" ca="1" si="3811">V954+V955+V956+V960+V978+V986+V990+V999+V1004</f>
        <v>20286.368058203057</v>
      </c>
      <c r="W1012" s="138">
        <f t="shared" ca="1" si="3811"/>
        <v>35346.40171427506</v>
      </c>
      <c r="X1012" s="138">
        <f t="shared" ref="X1012:Y1012" ca="1" si="3812">X954+X955+X956+X960+X978+X986+X990+X999+X1004</f>
        <v>29227.82238293194</v>
      </c>
      <c r="Y1012" s="138">
        <f t="shared" ca="1" si="3812"/>
        <v>19123.969497546681</v>
      </c>
      <c r="Z1012" s="138">
        <f t="shared" ref="Z1012:AA1012" ca="1" si="3813">Z954+Z955+Z956+Z960+Z978+Z986+Z990+Z999+Z1004</f>
        <v>21366.155809728654</v>
      </c>
      <c r="AA1012" s="138">
        <f t="shared" ca="1" si="3813"/>
        <v>37327.775381873253</v>
      </c>
      <c r="AB1012" s="138">
        <f t="shared" ref="AB1012:AC1012" ca="1" si="3814">AB954+AB955+AB956+AB960+AB978+AB986+AB990+AB999+AB1004</f>
        <v>30840.035603368255</v>
      </c>
      <c r="AC1012" s="138">
        <f t="shared" ca="1" si="3814"/>
        <v>20672.189962941244</v>
      </c>
      <c r="AD1012" s="138">
        <f t="shared" ref="AD1012:AE1012" ca="1" si="3815">AD954+AD955+AD956+AD960+AD978+AD986+AD990+AD999+AD1004</f>
        <v>23326.945533337606</v>
      </c>
      <c r="AE1012" s="138">
        <f t="shared" ca="1" si="3815"/>
        <v>40256.223185570139</v>
      </c>
      <c r="AF1012" s="138">
        <f t="shared" ref="AF1012:AG1012" ca="1" si="3816">AF954+AF955+AF956+AF960+AF978+AF986+AF990+AF999+AF1004</f>
        <v>33389.326090912931</v>
      </c>
      <c r="AG1012" s="138">
        <f t="shared" ca="1" si="3816"/>
        <v>22276.99070343225</v>
      </c>
      <c r="AH1012" s="138">
        <f t="shared" ref="AH1012:AI1012" ca="1" si="3817">AH954+AH955+AH956+AH960+AH978+AH986+AH990+AH999+AH1004</f>
        <v>24924.04258072823</v>
      </c>
      <c r="AI1012" s="138">
        <f t="shared" ca="1" si="3817"/>
        <v>42871.974687864116</v>
      </c>
      <c r="AJ1012" s="138">
        <f t="shared" ref="AJ1012:AK1012" ca="1" si="3818">AJ954+AJ955+AJ956+AJ960+AJ978+AJ986+AJ990+AJ999+AJ1004</f>
        <v>35596.004085106186</v>
      </c>
      <c r="AK1012" s="138">
        <f t="shared" ca="1" si="3818"/>
        <v>23611.996649036155</v>
      </c>
      <c r="AL1012" s="138">
        <f t="shared" ref="AL1012:AM1012" ca="1" si="3819">AL954+AL955+AL956+AL960+AL978+AL986+AL990+AL999+AL1004</f>
        <v>26313.890268425414</v>
      </c>
      <c r="AM1012" s="138">
        <f t="shared" ca="1" si="3819"/>
        <v>45337.148819152746</v>
      </c>
      <c r="AN1012" s="138">
        <f t="shared" ref="AN1012:AO1012" ca="1" si="3820">AN954+AN955+AN956+AN960+AN978+AN986+AN990+AN999+AN1004</f>
        <v>37623.047760519854</v>
      </c>
      <c r="AO1012" s="138">
        <f t="shared" ca="1" si="3820"/>
        <v>24962.072055575976</v>
      </c>
      <c r="AP1012" s="138">
        <f t="shared" ref="AP1012:AQ1012" ca="1" si="3821">AP954+AP955+AP956+AP960+AP978+AP986+AP990+AP999+AP1004</f>
        <v>27846.935096321486</v>
      </c>
      <c r="AQ1012" s="138">
        <f t="shared" ca="1" si="3821"/>
        <v>48010.917265392796</v>
      </c>
      <c r="AR1012" s="138">
        <f t="shared" ref="AR1012:AS1012" ca="1" si="3822">AR954+AR955+AR956+AR960+AR978+AR986+AR990+AR999+AR1004</f>
        <v>39833.288389262787</v>
      </c>
      <c r="AS1012" s="138">
        <f t="shared" ca="1" si="3822"/>
        <v>24668.92526203988</v>
      </c>
      <c r="AT1012" s="138">
        <f t="shared" ref="AT1012:AU1012" ca="1" si="3823">AT954+AT955+AT956+AT960+AT978+AT986+AT990+AT999+AT1004</f>
        <v>26829.082556928141</v>
      </c>
      <c r="AU1012" s="138">
        <f t="shared" ca="1" si="3823"/>
        <v>48163.450546045977</v>
      </c>
      <c r="AV1012" s="138">
        <f t="shared" ref="AV1012" ca="1" si="3824">AV954+AV955+AV956+AV960+AV978+AV986+AV990+AV999+AV1004</f>
        <v>39455.131898381951</v>
      </c>
      <c r="AX1012" s="142">
        <f ca="1">SUM(G1012:AW1012)</f>
        <v>1056739.6695729187</v>
      </c>
    </row>
    <row r="1013" spans="1:50" s="98" customFormat="1" x14ac:dyDescent="0.2">
      <c r="A1013" s="38" t="str">
        <f ca="1">Language!A$1184</f>
        <v>Задолженность перед бюджетом и фондами</v>
      </c>
      <c r="B1013" s="38"/>
      <c r="C1013" s="124" t="str">
        <f t="shared" ca="1" si="3784"/>
        <v>тыс. руб.</v>
      </c>
      <c r="D1013" s="57"/>
      <c r="E1013" s="57"/>
      <c r="F1013" s="100" t="s">
        <v>754</v>
      </c>
      <c r="G1013" s="138">
        <f ca="1">G959+G977+G989+G985+G998+G1003</f>
        <v>-14507.259502076282</v>
      </c>
      <c r="H1013" s="138">
        <f t="shared" ref="H1013:K1013" ca="1" si="3825">H959+H977+H989+H985+H998+H1003</f>
        <v>2438.084831703894</v>
      </c>
      <c r="I1013" s="138">
        <f t="shared" ca="1" si="3825"/>
        <v>2139.3027987164146</v>
      </c>
      <c r="J1013" s="138">
        <f t="shared" ca="1" si="3825"/>
        <v>4046.7838209169704</v>
      </c>
      <c r="K1013" s="138">
        <f t="shared" ca="1" si="3825"/>
        <v>9364.5218375162585</v>
      </c>
      <c r="L1013" s="138">
        <f t="shared" ref="L1013:M1013" ca="1" si="3826">L959+L977+L989+L985+L998+L1003</f>
        <v>4621.0198891219197</v>
      </c>
      <c r="M1013" s="138">
        <f t="shared" ca="1" si="3826"/>
        <v>3497.9353061670677</v>
      </c>
      <c r="N1013" s="138">
        <f t="shared" ref="N1013:O1013" ca="1" si="3827">N959+N977+N989+N985+N998+N1003</f>
        <v>5444.3099830866486</v>
      </c>
      <c r="O1013" s="138">
        <f t="shared" ca="1" si="3827"/>
        <v>11500.36143160629</v>
      </c>
      <c r="P1013" s="138">
        <f t="shared" ref="P1013:Q1013" ca="1" si="3828">P959+P977+P989+P985+P998+P1003</f>
        <v>6087.1371933902919</v>
      </c>
      <c r="Q1013" s="138">
        <f t="shared" ca="1" si="3828"/>
        <v>4736.1571041898806</v>
      </c>
      <c r="R1013" s="138">
        <f t="shared" ref="R1013:S1013" ca="1" si="3829">R959+R977+R989+R985+R998+R1003</f>
        <v>6566.3426810423889</v>
      </c>
      <c r="S1013" s="138">
        <f t="shared" ca="1" si="3829"/>
        <v>12745.727032314702</v>
      </c>
      <c r="T1013" s="138">
        <f t="shared" ref="T1013:U1013" ca="1" si="3830">T959+T977+T989+T985+T998+T1003</f>
        <v>6760.4635622989381</v>
      </c>
      <c r="U1013" s="138">
        <f t="shared" ca="1" si="3830"/>
        <v>5464.4469090148768</v>
      </c>
      <c r="V1013" s="138">
        <f t="shared" ref="V1013:W1013" ca="1" si="3831">V959+V977+V989+V985+V998+V1003</f>
        <v>7410.9605745940917</v>
      </c>
      <c r="W1013" s="138">
        <f t="shared" ca="1" si="3831"/>
        <v>13967.720569840485</v>
      </c>
      <c r="X1013" s="138">
        <f t="shared" ref="X1013:Y1013" ca="1" si="3832">X959+X977+X989+X985+X998+X1003</f>
        <v>7630.0509065457281</v>
      </c>
      <c r="Y1013" s="138">
        <f t="shared" ca="1" si="3832"/>
        <v>5746.9592955004755</v>
      </c>
      <c r="Z1013" s="138">
        <f t="shared" ref="Z1013:AA1013" ca="1" si="3833">Z959+Z977+Z989+Z985+Z998+Z1003</f>
        <v>7809.5982571140885</v>
      </c>
      <c r="AA1013" s="138">
        <f t="shared" ca="1" si="3833"/>
        <v>14759.08856237958</v>
      </c>
      <c r="AB1013" s="138">
        <f t="shared" ref="AB1013:AC1013" ca="1" si="3834">AB959+AB977+AB989+AB985+AB998+AB1003</f>
        <v>8040.4735204943354</v>
      </c>
      <c r="AC1013" s="138">
        <f t="shared" ca="1" si="3834"/>
        <v>6315.8582212234533</v>
      </c>
      <c r="AD1013" s="138">
        <f t="shared" ref="AD1013:AE1013" ca="1" si="3835">AD959+AD977+AD989+AD985+AD998+AD1003</f>
        <v>8505.5436560570761</v>
      </c>
      <c r="AE1013" s="138">
        <f t="shared" ca="1" si="3835"/>
        <v>15875.339764756534</v>
      </c>
      <c r="AF1013" s="138">
        <f t="shared" ref="AF1013:AG1013" ca="1" si="3836">AF959+AF977+AF989+AF985+AF998+AF1003</f>
        <v>8756.9931630781994</v>
      </c>
      <c r="AG1013" s="138">
        <f t="shared" ca="1" si="3836"/>
        <v>6759.9987701770242</v>
      </c>
      <c r="AH1013" s="138">
        <f t="shared" ref="AH1013:AI1013" ca="1" si="3837">AH959+AH977+AH989+AH985+AH998+AH1003</f>
        <v>9082.0219052756038</v>
      </c>
      <c r="AI1013" s="138">
        <f t="shared" ca="1" si="3837"/>
        <v>16894.976391294258</v>
      </c>
      <c r="AJ1013" s="138">
        <f t="shared" ref="AJ1013:AK1013" ca="1" si="3838">AJ959+AJ977+AJ989+AJ985+AJ998+AJ1003</f>
        <v>9350.5138469059657</v>
      </c>
      <c r="AK1013" s="138">
        <f t="shared" ca="1" si="3838"/>
        <v>7130.7414010650937</v>
      </c>
      <c r="AL1013" s="138">
        <f t="shared" ref="AL1013:AM1013" ca="1" si="3839">AL959+AL977+AL989+AL985+AL998+AL1003</f>
        <v>9591.5744336801599</v>
      </c>
      <c r="AM1013" s="138">
        <f t="shared" ca="1" si="3839"/>
        <v>17872.78719273629</v>
      </c>
      <c r="AN1013" s="138">
        <f t="shared" ref="AN1013:AO1013" ca="1" si="3840">AN959+AN977+AN989+AN985+AN998+AN1003</f>
        <v>9875.13028389178</v>
      </c>
      <c r="AO1013" s="138">
        <f t="shared" ca="1" si="3840"/>
        <v>7543.4708858420963</v>
      </c>
      <c r="AP1013" s="138">
        <f t="shared" ref="AP1013:AQ1013" ca="1" si="3841">AP959+AP977+AP989+AP985+AP998+AP1003</f>
        <v>10151.732105239695</v>
      </c>
      <c r="AQ1013" s="138">
        <f t="shared" ca="1" si="3841"/>
        <v>18929.592580076547</v>
      </c>
      <c r="AR1013" s="138">
        <f t="shared" ref="AR1013:AS1013" ca="1" si="3842">AR959+AR977+AR989+AR985+AR998+AR1003</f>
        <v>10451.847904593122</v>
      </c>
      <c r="AS1013" s="138">
        <f t="shared" ca="1" si="3842"/>
        <v>7108.5386787233801</v>
      </c>
      <c r="AT1013" s="138">
        <f t="shared" ref="AT1013:AU1013" ca="1" si="3843">AT959+AT977+AT989+AT985+AT998+AT1003</f>
        <v>9860.2719391023784</v>
      </c>
      <c r="AU1013" s="138">
        <f t="shared" ca="1" si="3843"/>
        <v>19151.589303471796</v>
      </c>
      <c r="AV1013" s="138">
        <f t="shared" ref="AV1013" ca="1" si="3844">AV959+AV977+AV989+AV985+AV998+AV1003</f>
        <v>10151.771297455078</v>
      </c>
      <c r="AW1013" s="94"/>
      <c r="AX1013" s="171"/>
    </row>
    <row r="1014" spans="1:50" x14ac:dyDescent="0.2">
      <c r="A1014" s="51"/>
      <c r="B1014" s="51"/>
      <c r="C1014" s="51"/>
      <c r="D1014" s="68"/>
      <c r="E1014" s="68" t="s">
        <v>982</v>
      </c>
      <c r="F1014" s="68"/>
      <c r="G1014" s="240"/>
      <c r="H1014" s="240"/>
      <c r="I1014" s="240"/>
      <c r="J1014" s="240"/>
      <c r="K1014" s="240"/>
      <c r="L1014" s="240"/>
      <c r="M1014" s="240"/>
      <c r="N1014" s="240"/>
      <c r="O1014" s="240"/>
      <c r="P1014" s="240"/>
      <c r="Q1014" s="240"/>
      <c r="R1014" s="240"/>
      <c r="S1014" s="240"/>
      <c r="T1014" s="240"/>
      <c r="U1014" s="240"/>
      <c r="V1014" s="240"/>
      <c r="W1014" s="240"/>
      <c r="X1014" s="240"/>
      <c r="Y1014" s="240"/>
      <c r="Z1014" s="240"/>
      <c r="AA1014" s="240"/>
      <c r="AB1014" s="240"/>
      <c r="AC1014" s="240"/>
      <c r="AD1014" s="240"/>
      <c r="AE1014" s="240"/>
      <c r="AF1014" s="240"/>
      <c r="AG1014" s="240"/>
      <c r="AH1014" s="240"/>
      <c r="AI1014" s="240"/>
      <c r="AJ1014" s="240"/>
      <c r="AK1014" s="240"/>
      <c r="AL1014" s="240"/>
      <c r="AM1014" s="240"/>
      <c r="AN1014" s="240"/>
      <c r="AO1014" s="240"/>
      <c r="AP1014" s="240"/>
      <c r="AQ1014" s="240"/>
      <c r="AR1014" s="240"/>
      <c r="AS1014" s="240"/>
      <c r="AT1014" s="240"/>
      <c r="AU1014" s="240"/>
      <c r="AV1014" s="240"/>
      <c r="AW1014" s="112"/>
      <c r="AX1014" s="149"/>
    </row>
  </sheetData>
  <sheetProtection formatCells="0"/>
  <mergeCells count="1">
    <mergeCell ref="A1:C2"/>
  </mergeCells>
  <dataValidations count="2">
    <dataValidation type="list" allowBlank="1" showInputMessage="1" showErrorMessage="1" sqref="B719 B747 B907 B898 B926 B917">
      <formula1>"0,1"</formula1>
    </dataValidation>
    <dataValidation type="decimal" errorStyle="warning" allowBlank="1" showInputMessage="1" showErrorMessage="1" error="0% ... 50%" sqref="B718 B746">
      <formula1>0</formula1>
      <formula2>0.5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outlinePr summaryBelow="0" summaryRight="0"/>
  </sheetPr>
  <dimension ref="A1:AX349"/>
  <sheetViews>
    <sheetView zoomScaleNormal="100"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I22" sqref="I22"/>
    </sheetView>
  </sheetViews>
  <sheetFormatPr defaultColWidth="8.7109375" defaultRowHeight="12.75" outlineLevelRow="1" x14ac:dyDescent="0.2"/>
  <cols>
    <col min="1" max="1" width="50.7109375" style="38" customWidth="1"/>
    <col min="2" max="2" width="12.7109375" style="78" customWidth="1"/>
    <col min="3" max="3" width="12.7109375" style="130" customWidth="1"/>
    <col min="4" max="5" width="12.42578125" style="38" hidden="1" customWidth="1"/>
    <col min="6" max="6" width="16.42578125" style="38" hidden="1" customWidth="1"/>
    <col min="7" max="48" width="12.7109375" style="38" customWidth="1"/>
    <col min="49" max="49" width="1.7109375" style="38" customWidth="1"/>
    <col min="50" max="50" width="12.7109375" style="38" customWidth="1"/>
    <col min="51" max="16384" width="8.7109375" style="38"/>
  </cols>
  <sheetData>
    <row r="1" spans="1:50" s="94" customFormat="1" x14ac:dyDescent="0.2">
      <c r="A1" s="384" t="str">
        <f ca="1">Language!A1185 &amp; " :: " &amp; Prj_Name</f>
        <v>Результаты :: Агро</v>
      </c>
      <c r="B1" s="385"/>
      <c r="C1" s="385"/>
      <c r="D1" s="52" t="s">
        <v>6</v>
      </c>
      <c r="E1" s="52" t="s">
        <v>4</v>
      </c>
      <c r="F1" s="52" t="s">
        <v>5</v>
      </c>
      <c r="G1" s="52" t="str">
        <f ca="1">Параметры!G$34</f>
        <v>4 кв. 2022</v>
      </c>
      <c r="H1" s="52" t="str">
        <f ca="1">Параметры!H$34</f>
        <v>1 кв. 2023</v>
      </c>
      <c r="I1" s="52" t="str">
        <f ca="1">Параметры!I$34</f>
        <v>2 кв. 2023</v>
      </c>
      <c r="J1" s="52" t="str">
        <f ca="1">Параметры!J$34</f>
        <v>3 кв. 2023</v>
      </c>
      <c r="K1" s="52" t="str">
        <f ca="1">Параметры!K$34</f>
        <v>4 кв. 2023</v>
      </c>
      <c r="L1" s="52" t="str">
        <f ca="1">Параметры!L$34</f>
        <v>1 кв. 2024</v>
      </c>
      <c r="M1" s="52" t="str">
        <f ca="1">Параметры!M$34</f>
        <v>2 кв. 2024</v>
      </c>
      <c r="N1" s="52" t="str">
        <f ca="1">Параметры!N$34</f>
        <v>3 кв. 2024</v>
      </c>
      <c r="O1" s="52" t="str">
        <f ca="1">Параметры!O$34</f>
        <v>4 кв. 2024</v>
      </c>
      <c r="P1" s="52" t="str">
        <f ca="1">Параметры!P$34</f>
        <v>1 кв. 2025</v>
      </c>
      <c r="Q1" s="52" t="str">
        <f ca="1">Параметры!Q$34</f>
        <v>2 кв. 2025</v>
      </c>
      <c r="R1" s="52" t="str">
        <f ca="1">Параметры!R$34</f>
        <v>3 кв. 2025</v>
      </c>
      <c r="S1" s="52" t="str">
        <f ca="1">Параметры!S$34</f>
        <v>4 кв. 2025</v>
      </c>
      <c r="T1" s="52" t="str">
        <f ca="1">Параметры!T$34</f>
        <v>1 кв. 2026</v>
      </c>
      <c r="U1" s="52" t="str">
        <f ca="1">Параметры!U$34</f>
        <v>2 кв. 2026</v>
      </c>
      <c r="V1" s="52" t="str">
        <f ca="1">Параметры!V$34</f>
        <v>3 кв. 2026</v>
      </c>
      <c r="W1" s="52" t="str">
        <f ca="1">Параметры!W$34</f>
        <v>4 кв. 2026</v>
      </c>
      <c r="X1" s="52" t="str">
        <f ca="1">Параметры!X$34</f>
        <v>1 кв. 2027</v>
      </c>
      <c r="Y1" s="52" t="str">
        <f ca="1">Параметры!Y$34</f>
        <v>2 кв. 2027</v>
      </c>
      <c r="Z1" s="52" t="str">
        <f ca="1">Параметры!Z$34</f>
        <v>3 кв. 2027</v>
      </c>
      <c r="AA1" s="52" t="str">
        <f ca="1">Параметры!AA$34</f>
        <v>4 кв. 2027</v>
      </c>
      <c r="AB1" s="52" t="str">
        <f ca="1">Параметры!AB$34</f>
        <v>1 кв. 2028</v>
      </c>
      <c r="AC1" s="52" t="str">
        <f ca="1">Параметры!AC$34</f>
        <v>2 кв. 2028</v>
      </c>
      <c r="AD1" s="52" t="str">
        <f ca="1">Параметры!AD$34</f>
        <v>3 кв. 2028</v>
      </c>
      <c r="AE1" s="52" t="str">
        <f ca="1">Параметры!AE$34</f>
        <v>4 кв. 2028</v>
      </c>
      <c r="AF1" s="52" t="str">
        <f ca="1">Параметры!AF$34</f>
        <v>1 кв. 2029</v>
      </c>
      <c r="AG1" s="52" t="str">
        <f ca="1">Параметры!AG$34</f>
        <v>2 кв. 2029</v>
      </c>
      <c r="AH1" s="52" t="str">
        <f ca="1">Параметры!AH$34</f>
        <v>3 кв. 2029</v>
      </c>
      <c r="AI1" s="52" t="str">
        <f ca="1">Параметры!AI$34</f>
        <v>4 кв. 2029</v>
      </c>
      <c r="AJ1" s="52" t="str">
        <f ca="1">Параметры!AJ$34</f>
        <v>1 кв. 2030</v>
      </c>
      <c r="AK1" s="52" t="str">
        <f ca="1">Параметры!AK$34</f>
        <v>2 кв. 2030</v>
      </c>
      <c r="AL1" s="52" t="str">
        <f ca="1">Параметры!AL$34</f>
        <v>3 кв. 2030</v>
      </c>
      <c r="AM1" s="52" t="str">
        <f ca="1">Параметры!AM$34</f>
        <v>4 кв. 2030</v>
      </c>
      <c r="AN1" s="52" t="str">
        <f ca="1">Параметры!AN$34</f>
        <v>1 кв. 2031</v>
      </c>
      <c r="AO1" s="52" t="str">
        <f ca="1">Параметры!AO$34</f>
        <v>2 кв. 2031</v>
      </c>
      <c r="AP1" s="52" t="str">
        <f ca="1">Параметры!AP$34</f>
        <v>3 кв. 2031</v>
      </c>
      <c r="AQ1" s="52" t="str">
        <f ca="1">Параметры!AQ$34</f>
        <v>4 кв. 2031</v>
      </c>
      <c r="AR1" s="52" t="str">
        <f ca="1">Параметры!AR$34</f>
        <v>1 кв. 2032</v>
      </c>
      <c r="AS1" s="52" t="str">
        <f ca="1">Параметры!AS$34</f>
        <v>2 кв. 2032</v>
      </c>
      <c r="AT1" s="52" t="str">
        <f ca="1">Параметры!AT$34</f>
        <v>3 кв. 2032</v>
      </c>
      <c r="AU1" s="52" t="str">
        <f ca="1">Параметры!AU$34</f>
        <v>4 кв. 2032</v>
      </c>
      <c r="AV1" s="52" t="str">
        <f ca="1">Параметры!AV$34</f>
        <v>1 кв. 2033</v>
      </c>
      <c r="AW1" s="114"/>
      <c r="AX1" s="115" t="str">
        <f ca="1">Language!$A$1445</f>
        <v>ИТОГО</v>
      </c>
    </row>
    <row r="2" spans="1:50" s="94" customFormat="1" x14ac:dyDescent="0.2">
      <c r="A2" s="385"/>
      <c r="B2" s="385"/>
      <c r="C2" s="385"/>
      <c r="D2" s="158"/>
      <c r="E2" s="158"/>
      <c r="F2" s="158"/>
      <c r="G2" s="52">
        <f>Параметры!G25</f>
        <v>1</v>
      </c>
      <c r="H2" s="52">
        <f>Параметры!H25</f>
        <v>2</v>
      </c>
      <c r="I2" s="52">
        <f>Параметры!I25</f>
        <v>3</v>
      </c>
      <c r="J2" s="52">
        <f>Параметры!J25</f>
        <v>4</v>
      </c>
      <c r="K2" s="52">
        <f>Параметры!K25</f>
        <v>5</v>
      </c>
      <c r="L2" s="52">
        <f>Параметры!L25</f>
        <v>6</v>
      </c>
      <c r="M2" s="52">
        <f>Параметры!M25</f>
        <v>7</v>
      </c>
      <c r="N2" s="52">
        <f>Параметры!N25</f>
        <v>8</v>
      </c>
      <c r="O2" s="52">
        <f>Параметры!O25</f>
        <v>9</v>
      </c>
      <c r="P2" s="52">
        <f>Параметры!P25</f>
        <v>10</v>
      </c>
      <c r="Q2" s="52">
        <f>Параметры!Q25</f>
        <v>11</v>
      </c>
      <c r="R2" s="52">
        <f>Параметры!R25</f>
        <v>12</v>
      </c>
      <c r="S2" s="52">
        <f>Параметры!S25</f>
        <v>13</v>
      </c>
      <c r="T2" s="52">
        <f>Параметры!T25</f>
        <v>14</v>
      </c>
      <c r="U2" s="52">
        <f>Параметры!U25</f>
        <v>15</v>
      </c>
      <c r="V2" s="52">
        <f>Параметры!V25</f>
        <v>16</v>
      </c>
      <c r="W2" s="52">
        <f>Параметры!W25</f>
        <v>17</v>
      </c>
      <c r="X2" s="52">
        <f>Параметры!X25</f>
        <v>18</v>
      </c>
      <c r="Y2" s="52">
        <f>Параметры!Y25</f>
        <v>19</v>
      </c>
      <c r="Z2" s="52">
        <f>Параметры!Z25</f>
        <v>20</v>
      </c>
      <c r="AA2" s="52">
        <f>Параметры!AA25</f>
        <v>21</v>
      </c>
      <c r="AB2" s="52">
        <f>Параметры!AB25</f>
        <v>22</v>
      </c>
      <c r="AC2" s="52">
        <f>Параметры!AC25</f>
        <v>23</v>
      </c>
      <c r="AD2" s="52">
        <f>Параметры!AD25</f>
        <v>24</v>
      </c>
      <c r="AE2" s="52">
        <f>Параметры!AE25</f>
        <v>25</v>
      </c>
      <c r="AF2" s="52">
        <f>Параметры!AF25</f>
        <v>26</v>
      </c>
      <c r="AG2" s="52">
        <f>Параметры!AG25</f>
        <v>27</v>
      </c>
      <c r="AH2" s="52">
        <f>Параметры!AH25</f>
        <v>28</v>
      </c>
      <c r="AI2" s="52">
        <f>Параметры!AI25</f>
        <v>29</v>
      </c>
      <c r="AJ2" s="52">
        <f>Параметры!AJ25</f>
        <v>30</v>
      </c>
      <c r="AK2" s="52">
        <f>Параметры!AK25</f>
        <v>31</v>
      </c>
      <c r="AL2" s="52">
        <f>Параметры!AL25</f>
        <v>32</v>
      </c>
      <c r="AM2" s="52">
        <f>Параметры!AM25</f>
        <v>33</v>
      </c>
      <c r="AN2" s="52">
        <f>Параметры!AN25</f>
        <v>34</v>
      </c>
      <c r="AO2" s="52">
        <f>Параметры!AO25</f>
        <v>35</v>
      </c>
      <c r="AP2" s="52">
        <f>Параметры!AP25</f>
        <v>36</v>
      </c>
      <c r="AQ2" s="52">
        <f>Параметры!AQ25</f>
        <v>37</v>
      </c>
      <c r="AR2" s="52">
        <f>Параметры!AR25</f>
        <v>38</v>
      </c>
      <c r="AS2" s="52">
        <f>Параметры!AS25</f>
        <v>39</v>
      </c>
      <c r="AT2" s="52">
        <f>Параметры!AT25</f>
        <v>40</v>
      </c>
      <c r="AU2" s="52">
        <f>Параметры!AU25</f>
        <v>41</v>
      </c>
      <c r="AV2" s="52">
        <f>Параметры!AV25</f>
        <v>42</v>
      </c>
      <c r="AW2" s="114"/>
      <c r="AX2" s="114"/>
    </row>
    <row r="3" spans="1:50" x14ac:dyDescent="0.2">
      <c r="D3" s="57"/>
      <c r="E3" s="57"/>
      <c r="F3" s="57"/>
    </row>
    <row r="4" spans="1:50" s="64" customFormat="1" ht="25.5" customHeight="1" thickBot="1" x14ac:dyDescent="0.25">
      <c r="A4" s="118" t="str">
        <f ca="1">Language!A1186</f>
        <v>ОТЧЕТ О ПРИБЫЛЯХ И УБЫТКАХ</v>
      </c>
      <c r="B4" s="241"/>
      <c r="C4" s="242"/>
      <c r="D4" s="121"/>
      <c r="E4" s="121" t="s">
        <v>898</v>
      </c>
      <c r="F4" s="121"/>
      <c r="G4" s="69" t="str">
        <f ca="1">Параметры!G$34</f>
        <v>4 кв. 2022</v>
      </c>
      <c r="H4" s="140" t="str">
        <f ca="1">Параметры!H$34</f>
        <v>1 кв. 2023</v>
      </c>
      <c r="I4" s="140" t="str">
        <f ca="1">Параметры!I$34</f>
        <v>2 кв. 2023</v>
      </c>
      <c r="J4" s="140" t="str">
        <f ca="1">Параметры!J$34</f>
        <v>3 кв. 2023</v>
      </c>
      <c r="K4" s="140" t="str">
        <f ca="1">Параметры!K$34</f>
        <v>4 кв. 2023</v>
      </c>
      <c r="L4" s="140" t="str">
        <f ca="1">Параметры!L$34</f>
        <v>1 кв. 2024</v>
      </c>
      <c r="M4" s="140" t="str">
        <f ca="1">Параметры!M$34</f>
        <v>2 кв. 2024</v>
      </c>
      <c r="N4" s="140" t="str">
        <f ca="1">Параметры!N$34</f>
        <v>3 кв. 2024</v>
      </c>
      <c r="O4" s="140" t="str">
        <f ca="1">Параметры!O$34</f>
        <v>4 кв. 2024</v>
      </c>
      <c r="P4" s="140" t="str">
        <f ca="1">Параметры!P$34</f>
        <v>1 кв. 2025</v>
      </c>
      <c r="Q4" s="140" t="str">
        <f ca="1">Параметры!Q$34</f>
        <v>2 кв. 2025</v>
      </c>
      <c r="R4" s="140" t="str">
        <f ca="1">Параметры!R$34</f>
        <v>3 кв. 2025</v>
      </c>
      <c r="S4" s="140" t="str">
        <f ca="1">Параметры!S$34</f>
        <v>4 кв. 2025</v>
      </c>
      <c r="T4" s="140" t="str">
        <f ca="1">Параметры!T$34</f>
        <v>1 кв. 2026</v>
      </c>
      <c r="U4" s="140" t="str">
        <f ca="1">Параметры!U$34</f>
        <v>2 кв. 2026</v>
      </c>
      <c r="V4" s="140" t="str">
        <f ca="1">Параметры!V$34</f>
        <v>3 кв. 2026</v>
      </c>
      <c r="W4" s="140" t="str">
        <f ca="1">Параметры!W$34</f>
        <v>4 кв. 2026</v>
      </c>
      <c r="X4" s="140" t="str">
        <f ca="1">Параметры!X$34</f>
        <v>1 кв. 2027</v>
      </c>
      <c r="Y4" s="140" t="str">
        <f ca="1">Параметры!Y$34</f>
        <v>2 кв. 2027</v>
      </c>
      <c r="Z4" s="140" t="str">
        <f ca="1">Параметры!Z$34</f>
        <v>3 кв. 2027</v>
      </c>
      <c r="AA4" s="140" t="str">
        <f ca="1">Параметры!AA$34</f>
        <v>4 кв. 2027</v>
      </c>
      <c r="AB4" s="140" t="str">
        <f ca="1">Параметры!AB$34</f>
        <v>1 кв. 2028</v>
      </c>
      <c r="AC4" s="140" t="str">
        <f ca="1">Параметры!AC$34</f>
        <v>2 кв. 2028</v>
      </c>
      <c r="AD4" s="140" t="str">
        <f ca="1">Параметры!AD$34</f>
        <v>3 кв. 2028</v>
      </c>
      <c r="AE4" s="140" t="str">
        <f ca="1">Параметры!AE$34</f>
        <v>4 кв. 2028</v>
      </c>
      <c r="AF4" s="140" t="str">
        <f ca="1">Параметры!AF$34</f>
        <v>1 кв. 2029</v>
      </c>
      <c r="AG4" s="140" t="str">
        <f ca="1">Параметры!AG$34</f>
        <v>2 кв. 2029</v>
      </c>
      <c r="AH4" s="140" t="str">
        <f ca="1">Параметры!AH$34</f>
        <v>3 кв. 2029</v>
      </c>
      <c r="AI4" s="140" t="str">
        <f ca="1">Параметры!AI$34</f>
        <v>4 кв. 2029</v>
      </c>
      <c r="AJ4" s="140" t="str">
        <f ca="1">Параметры!AJ$34</f>
        <v>1 кв. 2030</v>
      </c>
      <c r="AK4" s="140" t="str">
        <f ca="1">Параметры!AK$34</f>
        <v>2 кв. 2030</v>
      </c>
      <c r="AL4" s="140" t="str">
        <f ca="1">Параметры!AL$34</f>
        <v>3 кв. 2030</v>
      </c>
      <c r="AM4" s="140" t="str">
        <f ca="1">Параметры!AM$34</f>
        <v>4 кв. 2030</v>
      </c>
      <c r="AN4" s="140" t="str">
        <f ca="1">Параметры!AN$34</f>
        <v>1 кв. 2031</v>
      </c>
      <c r="AO4" s="140" t="str">
        <f ca="1">Параметры!AO$34</f>
        <v>2 кв. 2031</v>
      </c>
      <c r="AP4" s="140" t="str">
        <f ca="1">Параметры!AP$34</f>
        <v>3 кв. 2031</v>
      </c>
      <c r="AQ4" s="140" t="str">
        <f ca="1">Параметры!AQ$34</f>
        <v>4 кв. 2031</v>
      </c>
      <c r="AR4" s="140" t="str">
        <f ca="1">Параметры!AR$34</f>
        <v>1 кв. 2032</v>
      </c>
      <c r="AS4" s="140" t="str">
        <f ca="1">Параметры!AS$34</f>
        <v>2 кв. 2032</v>
      </c>
      <c r="AT4" s="140" t="str">
        <f ca="1">Параметры!AT$34</f>
        <v>3 кв. 2032</v>
      </c>
      <c r="AU4" s="140" t="str">
        <f ca="1">Параметры!AU$34</f>
        <v>4 кв. 2032</v>
      </c>
      <c r="AV4" s="140" t="str">
        <f ca="1">Параметры!AV$34</f>
        <v>1 кв. 2033</v>
      </c>
      <c r="AW4" s="140"/>
      <c r="AX4" s="141" t="str">
        <f ca="1">Language!$A$1445</f>
        <v>ИТОГО</v>
      </c>
    </row>
    <row r="5" spans="1:50" ht="13.5" thickTop="1" x14ac:dyDescent="0.2">
      <c r="A5" s="65"/>
      <c r="D5" s="57"/>
      <c r="E5" s="243"/>
      <c r="F5" s="57"/>
    </row>
    <row r="6" spans="1:50" x14ac:dyDescent="0.2">
      <c r="A6" s="65" t="str">
        <f ca="1">Language!A1187</f>
        <v>Выручка</v>
      </c>
      <c r="C6" s="130" t="str">
        <f ca="1">Параметры!$C$64</f>
        <v>тыс. руб.</v>
      </c>
      <c r="D6" s="57"/>
      <c r="E6" s="243" t="s">
        <v>952</v>
      </c>
      <c r="F6" s="57" t="s">
        <v>753</v>
      </c>
      <c r="G6" s="138">
        <f ca="1">Проект!G321 / Параметры!G$64</f>
        <v>250628.67917076248</v>
      </c>
      <c r="H6" s="138">
        <f ca="1">Проект!H321 / Параметры!H$64</f>
        <v>143638.1521754298</v>
      </c>
      <c r="I6" s="138">
        <f ca="1">Проект!I321 / Параметры!I$64</f>
        <v>189523.19661492985</v>
      </c>
      <c r="J6" s="138">
        <f ca="1">Проект!J321 / Параметры!J$64</f>
        <v>212765.1504605776</v>
      </c>
      <c r="K6" s="138">
        <f ca="1">Проект!K321 / Параметры!K$64</f>
        <v>397010.91754848772</v>
      </c>
      <c r="L6" s="138">
        <f ca="1">Проект!L321 / Параметры!L$64</f>
        <v>249149.13827210269</v>
      </c>
      <c r="M6" s="138">
        <f ca="1">Проект!M321 / Параметры!M$64</f>
        <v>271269.03579772002</v>
      </c>
      <c r="N6" s="138">
        <f ca="1">Проект!N321 / Параметры!N$64</f>
        <v>290741.43503499002</v>
      </c>
      <c r="O6" s="138">
        <f ca="1">Проект!O321 / Параметры!O$64</f>
        <v>499067.98456754873</v>
      </c>
      <c r="P6" s="138">
        <f ca="1">Проект!P321 / Параметры!P$64</f>
        <v>331236.27736687765</v>
      </c>
      <c r="Q6" s="138">
        <f ca="1">Проект!Q321 / Параметры!Q$64</f>
        <v>351093.21956617088</v>
      </c>
      <c r="R6" s="138">
        <f ca="1">Проект!R321 / Параметры!R$64</f>
        <v>356245.1074609441</v>
      </c>
      <c r="S6" s="138">
        <f ca="1">Проект!S321 / Параметры!S$64</f>
        <v>561114.14923256356</v>
      </c>
      <c r="T6" s="138">
        <f ca="1">Проект!T321 / Параметры!T$64</f>
        <v>366776.78659540502</v>
      </c>
      <c r="U6" s="138">
        <f ca="1">Проект!U321 / Параметры!U$64</f>
        <v>389459.8716457134</v>
      </c>
      <c r="V6" s="138">
        <f ca="1">Проект!V321 / Параметры!V$64</f>
        <v>395174.74589110841</v>
      </c>
      <c r="W6" s="138">
        <f ca="1">Проект!W321 / Параметры!W$64</f>
        <v>612593.52854043769</v>
      </c>
      <c r="X6" s="138">
        <f ca="1">Проект!X321 / Параметры!X$64</f>
        <v>406857.30247533746</v>
      </c>
      <c r="Y6" s="138">
        <f ca="1">Проект!Y321 / Параметры!Y$64</f>
        <v>413677.91699091613</v>
      </c>
      <c r="Z6" s="138">
        <f ca="1">Проект!Z321 / Параметры!Z$64</f>
        <v>419748.16310821223</v>
      </c>
      <c r="AA6" s="138">
        <f ca="1">Проект!AA321 / Параметры!AA$64</f>
        <v>650224.73525472661</v>
      </c>
      <c r="AB6" s="138">
        <f ca="1">Проект!AB321 / Параметры!AB$64</f>
        <v>432157.18397208379</v>
      </c>
      <c r="AC6" s="138">
        <f ca="1">Проект!AC321 / Параметры!AC$64</f>
        <v>446919.77870131476</v>
      </c>
      <c r="AD6" s="138">
        <f ca="1">Проект!AD321 / Параметры!AD$64</f>
        <v>453477.81078370911</v>
      </c>
      <c r="AE6" s="138">
        <f ca="1">Проект!AE321 / Параметры!AE$64</f>
        <v>697908.36172182614</v>
      </c>
      <c r="AF6" s="138">
        <f ca="1">Проект!AF321 / Параметры!AF$64</f>
        <v>466883.98169735551</v>
      </c>
      <c r="AG6" s="138">
        <f ca="1">Проект!AG321 / Параметры!AG$64</f>
        <v>475978.19626506895</v>
      </c>
      <c r="AH6" s="138">
        <f ca="1">Проект!AH321 / Параметры!AH$64</f>
        <v>482962.6270966985</v>
      </c>
      <c r="AI6" s="138">
        <f ca="1">Проект!AI321 / Параметры!AI$64</f>
        <v>742092.41093181004</v>
      </c>
      <c r="AJ6" s="138">
        <f ca="1">Проект!AJ321 / Параметры!AJ$64</f>
        <v>497240.45805070334</v>
      </c>
      <c r="AK6" s="138">
        <f ca="1">Проект!AK321 / Параметры!AK$64</f>
        <v>503692.85354969709</v>
      </c>
      <c r="AL6" s="138">
        <f ca="1">Проект!AL321 / Параметры!AL$64</f>
        <v>511083.96499893832</v>
      </c>
      <c r="AM6" s="138">
        <f ca="1">Проект!AM321 / Параметры!AM$64</f>
        <v>785748.96889287722</v>
      </c>
      <c r="AN6" s="138">
        <f ca="1">Проект!AN321 / Параметры!AN$64</f>
        <v>526193.14746182144</v>
      </c>
      <c r="AO6" s="138">
        <f ca="1">Проект!AO321 / Параметры!AO$64</f>
        <v>533800.02868372505</v>
      </c>
      <c r="AP6" s="138">
        <f ca="1">Проект!AP321 / Параметры!AP$64</f>
        <v>541632.92818945588</v>
      </c>
      <c r="AQ6" s="138">
        <f ca="1">Проект!AQ321 / Параметры!AQ$64</f>
        <v>832776.12905460107</v>
      </c>
      <c r="AR6" s="138">
        <f ca="1">Проект!AR321 / Параметры!AR$64</f>
        <v>557645.23008184112</v>
      </c>
      <c r="AS6" s="138">
        <f ca="1">Проект!AS321 / Параметры!AS$64</f>
        <v>543295.8766353426</v>
      </c>
      <c r="AT6" s="138">
        <f ca="1">Проект!AT321 / Параметры!AT$64</f>
        <v>551268.11675315653</v>
      </c>
      <c r="AU6" s="138">
        <f ca="1">Проект!AU321 / Параметры!AU$64</f>
        <v>859544.42464891227</v>
      </c>
      <c r="AV6" s="138">
        <f ca="1">Проект!AV321 / Параметры!AV$64</f>
        <v>567565.26386089379</v>
      </c>
      <c r="AW6" s="138"/>
      <c r="AX6" s="171">
        <f t="shared" ref="AX6:AX11" ca="1" si="0">SUM(G6:AW6)</f>
        <v>19767863.235802796</v>
      </c>
    </row>
    <row r="7" spans="1:50" x14ac:dyDescent="0.2">
      <c r="A7" s="65" t="str">
        <f ca="1">Language!A1188</f>
        <v>Себестоимость:</v>
      </c>
      <c r="C7" s="130" t="str">
        <f ca="1">Параметры!$C$64</f>
        <v>тыс. руб.</v>
      </c>
      <c r="D7" s="57"/>
      <c r="E7" s="243" t="s">
        <v>959</v>
      </c>
      <c r="F7" s="57" t="s">
        <v>753</v>
      </c>
      <c r="G7" s="138">
        <f ca="1">SUM(G8:G10)</f>
        <v>-115632.12525</v>
      </c>
      <c r="H7" s="138">
        <f t="shared" ref="H7:K7" ca="1" si="1">SUM(H8:H10)</f>
        <v>-115248.81188342787</v>
      </c>
      <c r="I7" s="138">
        <f t="shared" ca="1" si="1"/>
        <v>-162827.61922033157</v>
      </c>
      <c r="J7" s="138">
        <f t="shared" ca="1" si="1"/>
        <v>-145315.95051922835</v>
      </c>
      <c r="K7" s="138">
        <f t="shared" ca="1" si="1"/>
        <v>-160433.29442300001</v>
      </c>
      <c r="L7" s="138">
        <f t="shared" ref="L7:M7" ca="1" si="2">SUM(L8:L10)</f>
        <v>-158754.13936717392</v>
      </c>
      <c r="M7" s="138">
        <f t="shared" ca="1" si="2"/>
        <v>-202154.1069067652</v>
      </c>
      <c r="N7" s="138">
        <f t="shared" ref="N7:O7" ca="1" si="3">SUM(N8:N10)</f>
        <v>-182142.95393264713</v>
      </c>
      <c r="O7" s="138">
        <f t="shared" ca="1" si="3"/>
        <v>-198579.79161936001</v>
      </c>
      <c r="P7" s="138">
        <f t="shared" ref="P7:Q7" ca="1" si="4">SUM(P8:P10)</f>
        <v>-197218.39268295528</v>
      </c>
      <c r="Q7" s="138">
        <f t="shared" ca="1" si="4"/>
        <v>-235181.49112523385</v>
      </c>
      <c r="R7" s="138">
        <f t="shared" ref="R7:S7" ca="1" si="5">SUM(R8:R10)</f>
        <v>-209287.7092131378</v>
      </c>
      <c r="S7" s="138">
        <f t="shared" ca="1" si="5"/>
        <v>-221886.89286312243</v>
      </c>
      <c r="T7" s="138">
        <f t="shared" ref="T7:U7" ca="1" si="6">SUM(T8:T10)</f>
        <v>-215474.88471129042</v>
      </c>
      <c r="U7" s="138">
        <f t="shared" ca="1" si="6"/>
        <v>-253269.828141112</v>
      </c>
      <c r="V7" s="138">
        <f t="shared" ref="V7:W7" ca="1" si="7">SUM(V8:V10)</f>
        <v>-225880.78376775875</v>
      </c>
      <c r="W7" s="138">
        <f t="shared" ca="1" si="7"/>
        <v>-239295.13932122302</v>
      </c>
      <c r="X7" s="138">
        <f t="shared" ref="X7:Y7" ca="1" si="8">SUM(X8:X10)</f>
        <v>-232558.50056291046</v>
      </c>
      <c r="Y7" s="138">
        <f t="shared" ca="1" si="8"/>
        <v>-270677.10371769755</v>
      </c>
      <c r="Z7" s="138">
        <f t="shared" ref="Z7:AA7" ca="1" si="9">SUM(Z8:Z10)</f>
        <v>-241677.16181613103</v>
      </c>
      <c r="AA7" s="138">
        <f t="shared" ca="1" si="9"/>
        <v>-255929.29993189915</v>
      </c>
      <c r="AB7" s="138">
        <f t="shared" ref="AB7:AC7" ca="1" si="10">SUM(AB8:AB10)</f>
        <v>-248821.86715823517</v>
      </c>
      <c r="AC7" s="138">
        <f t="shared" ca="1" si="10"/>
        <v>-288616.47559191473</v>
      </c>
      <c r="AD7" s="138">
        <f t="shared" ref="AD7:AE7" ca="1" si="11">SUM(AD8:AD10)</f>
        <v>-257901.46430861892</v>
      </c>
      <c r="AE7" s="138">
        <f t="shared" ca="1" si="11"/>
        <v>-273034.02362060355</v>
      </c>
      <c r="AF7" s="138">
        <f t="shared" ref="AF7:AG7" ca="1" si="12">SUM(AF8:AF10)</f>
        <v>-265525.80893405003</v>
      </c>
      <c r="AG7" s="138">
        <f t="shared" ca="1" si="12"/>
        <v>-306221.0232986997</v>
      </c>
      <c r="AH7" s="138">
        <f t="shared" ref="AH7:AI7" ca="1" si="13">SUM(AH8:AH10)</f>
        <v>-273667.33093744976</v>
      </c>
      <c r="AI7" s="138">
        <f t="shared" ca="1" si="13"/>
        <v>-289712.12532494438</v>
      </c>
      <c r="AJ7" s="138">
        <f t="shared" ref="AJ7:AK7" ca="1" si="14">SUM(AJ8:AJ10)</f>
        <v>-281757.76210030727</v>
      </c>
      <c r="AK7" s="138">
        <f t="shared" ca="1" si="14"/>
        <v>-324795.96906502231</v>
      </c>
      <c r="AL7" s="138">
        <f t="shared" ref="AL7:AM7" ca="1" si="15">SUM(AL8:AL10)</f>
        <v>-290292.01464749395</v>
      </c>
      <c r="AM7" s="138">
        <f t="shared" ca="1" si="15"/>
        <v>-307302.49961066816</v>
      </c>
      <c r="AN7" s="138">
        <f t="shared" ref="AN7:AO7" ca="1" si="16">SUM(AN8:AN10)</f>
        <v>-298873.9215692578</v>
      </c>
      <c r="AO7" s="138">
        <f t="shared" ca="1" si="16"/>
        <v>-344622.78110857686</v>
      </c>
      <c r="AP7" s="138">
        <f t="shared" ref="AP7:AQ7" ca="1" si="17">SUM(AP8:AP10)</f>
        <v>-308053.56465076318</v>
      </c>
      <c r="AQ7" s="138">
        <f t="shared" ca="1" si="17"/>
        <v>-326089.72694217711</v>
      </c>
      <c r="AR7" s="138">
        <f t="shared" ref="AR7:AS7" ca="1" si="18">SUM(AR8:AR10)</f>
        <v>-317160.5565256885</v>
      </c>
      <c r="AS7" s="138">
        <f t="shared" ca="1" si="18"/>
        <v>-369394.20801376289</v>
      </c>
      <c r="AT7" s="138">
        <f t="shared" ref="AT7:AU7" ca="1" si="19">SUM(AT8:AT10)</f>
        <v>-330690.91417569312</v>
      </c>
      <c r="AU7" s="138">
        <f t="shared" ca="1" si="19"/>
        <v>-349870.20335202344</v>
      </c>
      <c r="AV7" s="138">
        <f t="shared" ref="AV7" ca="1" si="20">SUM(AV8:AV10)</f>
        <v>-340467.13433378114</v>
      </c>
      <c r="AW7" s="138"/>
      <c r="AX7" s="171">
        <f t="shared" ca="1" si="0"/>
        <v>-10632297.356246138</v>
      </c>
    </row>
    <row r="8" spans="1:50" x14ac:dyDescent="0.2">
      <c r="A8" s="99" t="str">
        <f ca="1">Language!A1189</f>
        <v>сырье и материалы</v>
      </c>
      <c r="C8" s="130" t="str">
        <f ca="1">Параметры!$C$64</f>
        <v>тыс. руб.</v>
      </c>
      <c r="D8" s="57"/>
      <c r="E8" s="243" t="s">
        <v>960</v>
      </c>
      <c r="F8" s="57" t="s">
        <v>753</v>
      </c>
      <c r="G8" s="138">
        <f ca="1">-Проект!G449 / Параметры!G$64</f>
        <v>-73386.125249999997</v>
      </c>
      <c r="H8" s="138">
        <f ca="1">-Проект!H449 / Параметры!H$64</f>
        <v>-72382.900578186702</v>
      </c>
      <c r="I8" s="138">
        <f ca="1">-Проект!I449 / Параметры!I$64</f>
        <v>-113598.8577885994</v>
      </c>
      <c r="J8" s="138">
        <f ca="1">-Проект!J449 / Параметры!J$64</f>
        <v>-95364.813815173315</v>
      </c>
      <c r="K8" s="138">
        <f ca="1">-Проект!K449 / Параметры!K$64</f>
        <v>-109749.18242300001</v>
      </c>
      <c r="L8" s="138">
        <f ca="1">-Проект!L449 / Параметры!L$64</f>
        <v>-107326.29650449082</v>
      </c>
      <c r="M8" s="138">
        <f ca="1">-Проект!M449 / Параметры!M$64</f>
        <v>-146217.63948187858</v>
      </c>
      <c r="N8" s="138">
        <f ca="1">-Проект!N449 / Параметры!N$64</f>
        <v>-125385.68338954952</v>
      </c>
      <c r="O8" s="138">
        <f ca="1">-Проект!O449 / Параметры!O$64</f>
        <v>-140989.67361936002</v>
      </c>
      <c r="P8" s="138">
        <f ca="1">-Проект!P449 / Параметры!P$64</f>
        <v>-138783.20615058832</v>
      </c>
      <c r="Q8" s="138">
        <f ca="1">-Проект!Q449 / Параметры!Q$64</f>
        <v>-175888.83565485405</v>
      </c>
      <c r="R8" s="138">
        <f ca="1">-Проект!R449 / Параметры!R$64</f>
        <v>-149125.0024374543</v>
      </c>
      <c r="S8" s="138">
        <f ca="1">-Проект!S449 / Параметры!S$64</f>
        <v>-160841.36778312243</v>
      </c>
      <c r="T8" s="138">
        <f ca="1">-Проект!T449 / Параметры!T$64</f>
        <v>-153533.58698698145</v>
      </c>
      <c r="U8" s="138">
        <f ca="1">-Проект!U449 / Параметры!U$64</f>
        <v>-190419.6133425094</v>
      </c>
      <c r="V8" s="138">
        <f ca="1">-Проект!V449 / Параметры!V$64</f>
        <v>-162108.31458553427</v>
      </c>
      <c r="W8" s="138">
        <f ca="1">-Проект!W449 / Параметры!W$64</f>
        <v>-174586.88273642302</v>
      </c>
      <c r="X8" s="138">
        <f ca="1">-Проект!X449 / Параметры!X$64</f>
        <v>-166900.72497514295</v>
      </c>
      <c r="Y8" s="138">
        <f ca="1">-Проект!Y449 / Параметры!Y$64</f>
        <v>-204055.87603117878</v>
      </c>
      <c r="Z8" s="138">
        <f ca="1">-Проект!Z449 / Параметры!Z$64</f>
        <v>-174078.34448297307</v>
      </c>
      <c r="AA8" s="138">
        <f ca="1">-Проект!AA449 / Параметры!AA$64</f>
        <v>-187338.54795201114</v>
      </c>
      <c r="AB8" s="138">
        <f ca="1">-Проект!AB449 / Параметры!AB$64</f>
        <v>-179224.62503520161</v>
      </c>
      <c r="AC8" s="138">
        <f ca="1">-Проект!AC449 / Параметры!AC$64</f>
        <v>-217997.97424420482</v>
      </c>
      <c r="AD8" s="138">
        <f ca="1">-Проект!AD449 / Параметры!AD$64</f>
        <v>-186246.71793547145</v>
      </c>
      <c r="AE8" s="138">
        <f ca="1">-Проект!AE449 / Параметры!AE$64</f>
        <v>-200327.82652192225</v>
      </c>
      <c r="AF8" s="138">
        <f ca="1">-Проект!AF449 / Параметры!AF$64</f>
        <v>-191752.73228363442</v>
      </c>
      <c r="AG8" s="138">
        <f ca="1">-Проект!AG449 / Параметры!AG$64</f>
        <v>-231365.41187012722</v>
      </c>
      <c r="AH8" s="138">
        <f ca="1">-Проект!AH449 / Параметры!AH$64</f>
        <v>-197713.29978191346</v>
      </c>
      <c r="AI8" s="138">
        <f ca="1">-Проект!AI449 / Параметры!AI$64</f>
        <v>-212643.5564003422</v>
      </c>
      <c r="AJ8" s="138">
        <f ca="1">-Проект!AJ449 / Параметры!AJ$64</f>
        <v>-203558.30085086671</v>
      </c>
      <c r="AK8" s="138">
        <f ca="1">-Проект!AK449 / Параметры!AK$64</f>
        <v>-245449.02095073543</v>
      </c>
      <c r="AL8" s="138">
        <f ca="1">-Проект!AL449 / Параметры!AL$64</f>
        <v>-209780.74162262544</v>
      </c>
      <c r="AM8" s="138">
        <f ca="1">-Проект!AM449 / Параметры!AM$64</f>
        <v>-225609.81655058987</v>
      </c>
      <c r="AN8" s="138">
        <f ca="1">-Проект!AN449 / Параметры!AN$64</f>
        <v>-215982.49264485086</v>
      </c>
      <c r="AO8" s="138">
        <f ca="1">-Проект!AO449 / Параметры!AO$64</f>
        <v>-260515.01610743281</v>
      </c>
      <c r="AP8" s="138">
        <f ca="1">-Проект!AP449 / Параметры!AP$64</f>
        <v>-222711.61524440255</v>
      </c>
      <c r="AQ8" s="138">
        <f ca="1">-Проект!AQ449 / Параметры!AQ$64</f>
        <v>-239495.48289849408</v>
      </c>
      <c r="AR8" s="138">
        <f ca="1">-Проект!AR449 / Параметры!AR$64</f>
        <v>-229295.6418658171</v>
      </c>
      <c r="AS8" s="138">
        <f ca="1">-Проект!AS449 / Параметры!AS$64</f>
        <v>-280239.97711255017</v>
      </c>
      <c r="AT8" s="138">
        <f ca="1">-Проект!AT449 / Параметры!AT$64</f>
        <v>-240228.44780495091</v>
      </c>
      <c r="AU8" s="138">
        <f ca="1">-Проект!AU449 / Параметры!AU$64</f>
        <v>-258080.30466571939</v>
      </c>
      <c r="AV8" s="138">
        <f ca="1">-Проект!AV449 / Параметры!AV$64</f>
        <v>-247330.32479431751</v>
      </c>
      <c r="AW8" s="138"/>
      <c r="AX8" s="171">
        <f t="shared" ca="1" si="0"/>
        <v>-7717610.8031551838</v>
      </c>
    </row>
    <row r="9" spans="1:50" x14ac:dyDescent="0.2">
      <c r="A9" s="99" t="str">
        <f ca="1">Language!A1190</f>
        <v>производственный персонал</v>
      </c>
      <c r="C9" s="130" t="str">
        <f ca="1">Параметры!$C$64</f>
        <v>тыс. руб.</v>
      </c>
      <c r="D9" s="57"/>
      <c r="E9" s="243" t="s">
        <v>961</v>
      </c>
      <c r="F9" s="57" t="s">
        <v>753</v>
      </c>
      <c r="G9" s="138">
        <f ca="1">-Проект!G483 / Параметры!G$64</f>
        <v>-27846</v>
      </c>
      <c r="H9" s="138">
        <f ca="1">-Проект!H483 / Параметры!H$64</f>
        <v>-28254.607920412487</v>
      </c>
      <c r="I9" s="138">
        <f ca="1">-Проект!I483 / Параметры!I$64</f>
        <v>-34403.054028710889</v>
      </c>
      <c r="J9" s="138">
        <f ca="1">-Проект!J483 / Параметры!J$64</f>
        <v>-34907.879151260262</v>
      </c>
      <c r="K9" s="138">
        <f ca="1">-Проект!K483 / Параметры!K$64</f>
        <v>-35420.112000000001</v>
      </c>
      <c r="L9" s="138">
        <f ca="1">-Проект!L483 / Параметры!L$64</f>
        <v>-35939.861274764684</v>
      </c>
      <c r="M9" s="138">
        <f ca="1">-Проект!M483 / Параметры!M$64</f>
        <v>-40221.217577684045</v>
      </c>
      <c r="N9" s="138">
        <f ca="1">-Проект!N483 / Параметры!N$64</f>
        <v>-40811.417537135159</v>
      </c>
      <c r="O9" s="138">
        <f ca="1">-Проект!O483 / Параметры!O$64</f>
        <v>-41410.278000000006</v>
      </c>
      <c r="P9" s="138">
        <f ca="1">-Проект!P483 / Параметры!P$64</f>
        <v>-42017.926049173417</v>
      </c>
      <c r="Q9" s="138">
        <f ca="1">-Проект!Q483 / Параметры!Q$64</f>
        <v>-42634.490632345092</v>
      </c>
      <c r="R9" s="138">
        <f ca="1">-Проект!R483 / Параметры!R$64</f>
        <v>-43260.102589363276</v>
      </c>
      <c r="S9" s="138">
        <f ca="1">-Проект!S483 / Параметры!S$64</f>
        <v>-43894.894679999998</v>
      </c>
      <c r="T9" s="138">
        <f ca="1">-Проект!T483 / Параметры!T$64</f>
        <v>-44539.00161212383</v>
      </c>
      <c r="U9" s="138">
        <f ca="1">-Проект!U483 / Параметры!U$64</f>
        <v>-45192.560070285806</v>
      </c>
      <c r="V9" s="138">
        <f ca="1">-Проект!V483 / Параметры!V$64</f>
        <v>-45855.708744725067</v>
      </c>
      <c r="W9" s="138">
        <f ca="1">-Проект!W483 / Параметры!W$64</f>
        <v>-46528.588360800008</v>
      </c>
      <c r="X9" s="138">
        <f ca="1">-Проект!X483 / Параметры!X$64</f>
        <v>-47211.341708851258</v>
      </c>
      <c r="Y9" s="138">
        <f ca="1">-Проект!Y483 / Параметры!Y$64</f>
        <v>-47904.113674502951</v>
      </c>
      <c r="Z9" s="138">
        <f ca="1">-Проект!Z483 / Параметры!Z$64</f>
        <v>-48607.051269408577</v>
      </c>
      <c r="AA9" s="138">
        <f ca="1">-Проект!AA483 / Параметры!AA$64</f>
        <v>-49320.303662448016</v>
      </c>
      <c r="AB9" s="138">
        <f ca="1">-Проект!AB483 / Параметры!AB$64</f>
        <v>-50044.02221138234</v>
      </c>
      <c r="AC9" s="138">
        <f ca="1">-Проект!AC483 / Параметры!AC$64</f>
        <v>-50778.360494973138</v>
      </c>
      <c r="AD9" s="138">
        <f ca="1">-Проект!AD483 / Параметры!AD$64</f>
        <v>-51523.474345573093</v>
      </c>
      <c r="AE9" s="138">
        <f ca="1">-Проект!AE483 / Параметры!AE$64</f>
        <v>-52279.521882194895</v>
      </c>
      <c r="AF9" s="138">
        <f ca="1">-Проект!AF483 / Параметры!AF$64</f>
        <v>-53046.66354406529</v>
      </c>
      <c r="AG9" s="138">
        <f ca="1">-Проект!AG483 / Параметры!AG$64</f>
        <v>-53825.062124671524</v>
      </c>
      <c r="AH9" s="138">
        <f ca="1">-Проект!AH483 / Параметры!AH$64</f>
        <v>-54614.882806307491</v>
      </c>
      <c r="AI9" s="138">
        <f ca="1">-Проект!AI483 / Параметры!AI$64</f>
        <v>-55416.2931951266</v>
      </c>
      <c r="AJ9" s="138">
        <f ca="1">-Проект!AJ483 / Параметры!AJ$64</f>
        <v>-56229.46335670921</v>
      </c>
      <c r="AK9" s="138">
        <f ca="1">-Проект!AK483 / Параметры!AK$64</f>
        <v>-57054.56585215182</v>
      </c>
      <c r="AL9" s="138">
        <f ca="1">-Проект!AL483 / Параметры!AL$64</f>
        <v>-57891.775774685942</v>
      </c>
      <c r="AM9" s="138">
        <f ca="1">-Проект!AM483 / Параметры!AM$64</f>
        <v>-58741.270786834197</v>
      </c>
      <c r="AN9" s="138">
        <f ca="1">-Проект!AN483 / Параметры!AN$64</f>
        <v>-59603.231158111768</v>
      </c>
      <c r="AO9" s="138">
        <f ca="1">-Проект!AO483 / Параметры!AO$64</f>
        <v>-60477.839803280935</v>
      </c>
      <c r="AP9" s="138">
        <f ca="1">-Проект!AP483 / Параметры!AP$64</f>
        <v>-61365.282321167098</v>
      </c>
      <c r="AQ9" s="138">
        <f ca="1">-Проект!AQ483 / Параметры!AQ$64</f>
        <v>-62265.747034044252</v>
      </c>
      <c r="AR9" s="138">
        <f ca="1">-Проект!AR483 / Параметры!AR$64</f>
        <v>-63179.425027598474</v>
      </c>
      <c r="AS9" s="138">
        <f ca="1">-Проект!AS483 / Параметры!AS$64</f>
        <v>-64106.510191477806</v>
      </c>
      <c r="AT9" s="138">
        <f ca="1">-Проект!AT483 / Параметры!AT$64</f>
        <v>-65047.199260437133</v>
      </c>
      <c r="AU9" s="138">
        <f ca="1">-Проект!AU483 / Параметры!AU$64</f>
        <v>-66001.691856086924</v>
      </c>
      <c r="AV9" s="138">
        <f ca="1">-Проект!AV483 / Параметры!AV$64</f>
        <v>-66970.190529254382</v>
      </c>
      <c r="AW9" s="138"/>
      <c r="AX9" s="171">
        <f t="shared" ca="1" si="0"/>
        <v>-2086642.984100129</v>
      </c>
    </row>
    <row r="10" spans="1:50" x14ac:dyDescent="0.2">
      <c r="A10" s="99" t="str">
        <f ca="1">Language!A1191</f>
        <v>прочие производственные расходы</v>
      </c>
      <c r="C10" s="130" t="str">
        <f ca="1">Параметры!$C$64</f>
        <v>тыс. руб.</v>
      </c>
      <c r="D10" s="57"/>
      <c r="E10" s="243" t="s">
        <v>962</v>
      </c>
      <c r="F10" s="57" t="s">
        <v>753</v>
      </c>
      <c r="G10" s="138">
        <f ca="1">-Проект!G579 / Параметры!G$64</f>
        <v>-14400</v>
      </c>
      <c r="H10" s="138">
        <f ca="1">-Проект!H579 / Параметры!H$64</f>
        <v>-14611.303384828694</v>
      </c>
      <c r="I10" s="138">
        <f ca="1">-Проект!I579 / Параметры!I$64</f>
        <v>-14825.707403021281</v>
      </c>
      <c r="J10" s="138">
        <f ca="1">-Проект!J579 / Параметры!J$64</f>
        <v>-15043.257552794767</v>
      </c>
      <c r="K10" s="138">
        <f ca="1">-Проект!K579 / Параметры!K$64</f>
        <v>-15264</v>
      </c>
      <c r="L10" s="138">
        <f ca="1">-Проект!L579 / Параметры!L$64</f>
        <v>-15487.981587918415</v>
      </c>
      <c r="M10" s="138">
        <f ca="1">-Проект!M579 / Параметры!M$64</f>
        <v>-15715.249847202558</v>
      </c>
      <c r="N10" s="138">
        <f ca="1">-Проект!N579 / Параметры!N$64</f>
        <v>-15945.853005962454</v>
      </c>
      <c r="O10" s="138">
        <f ca="1">-Проект!O579 / Параметры!O$64</f>
        <v>-16179.84</v>
      </c>
      <c r="P10" s="138">
        <f ca="1">-Проект!P579 / Параметры!P$64</f>
        <v>-16417.260483193524</v>
      </c>
      <c r="Q10" s="138">
        <f ca="1">-Проект!Q579 / Параметры!Q$64</f>
        <v>-16658.164838034711</v>
      </c>
      <c r="R10" s="138">
        <f ca="1">-Проект!R579 / Параметры!R$64</f>
        <v>-16902.604186320204</v>
      </c>
      <c r="S10" s="138">
        <f ca="1">-Проект!S579 / Параметры!S$64</f>
        <v>-17150.630400000002</v>
      </c>
      <c r="T10" s="138">
        <f ca="1">-Проект!T579 / Параметры!T$64</f>
        <v>-17402.296112185133</v>
      </c>
      <c r="U10" s="138">
        <f ca="1">-Проект!U579 / Параметры!U$64</f>
        <v>-17657.654728316797</v>
      </c>
      <c r="V10" s="138">
        <f ca="1">-Проект!V579 / Параметры!V$64</f>
        <v>-17916.760437499415</v>
      </c>
      <c r="W10" s="138">
        <f ca="1">-Проект!W579 / Параметры!W$64</f>
        <v>-18179.668224000005</v>
      </c>
      <c r="X10" s="138">
        <f ca="1">-Проект!X579 / Параметры!X$64</f>
        <v>-18446.433878916243</v>
      </c>
      <c r="Y10" s="138">
        <f ca="1">-Проект!Y579 / Параметры!Y$64</f>
        <v>-18717.114012015805</v>
      </c>
      <c r="Z10" s="138">
        <f ca="1">-Проект!Z579 / Параметры!Z$64</f>
        <v>-18991.766063749383</v>
      </c>
      <c r="AA10" s="138">
        <f ca="1">-Проект!AA579 / Параметры!AA$64</f>
        <v>-19270.448317440005</v>
      </c>
      <c r="AB10" s="138">
        <f ca="1">-Проект!AB579 / Параметры!AB$64</f>
        <v>-19553.21991165122</v>
      </c>
      <c r="AC10" s="138">
        <f ca="1">-Проект!AC579 / Параметры!AC$64</f>
        <v>-19840.140852736753</v>
      </c>
      <c r="AD10" s="138">
        <f ca="1">-Проект!AD579 / Параметры!AD$64</f>
        <v>-20131.272027574349</v>
      </c>
      <c r="AE10" s="138">
        <f ca="1">-Проект!AE579 / Параметры!AE$64</f>
        <v>-20426.675216486405</v>
      </c>
      <c r="AF10" s="138">
        <f ca="1">-Проект!AF579 / Параметры!AF$64</f>
        <v>-20726.413106350294</v>
      </c>
      <c r="AG10" s="138">
        <f ca="1">-Проект!AG579 / Параметры!AG$64</f>
        <v>-21030.54930390096</v>
      </c>
      <c r="AH10" s="138">
        <f ca="1">-Проект!AH579 / Параметры!AH$64</f>
        <v>-21339.148349228806</v>
      </c>
      <c r="AI10" s="138">
        <f ca="1">-Проект!AI579 / Параметры!AI$64</f>
        <v>-21652.27572947559</v>
      </c>
      <c r="AJ10" s="138">
        <f ca="1">-Проект!AJ579 / Параметры!AJ$64</f>
        <v>-21969.99789273131</v>
      </c>
      <c r="AK10" s="138">
        <f ca="1">-Проект!AK579 / Параметры!AK$64</f>
        <v>-22292.382262135019</v>
      </c>
      <c r="AL10" s="138">
        <f ca="1">-Проект!AL579 / Параметры!AL$64</f>
        <v>-22619.497250182536</v>
      </c>
      <c r="AM10" s="138">
        <f ca="1">-Проект!AM579 / Параметры!AM$64</f>
        <v>-22951.412273244125</v>
      </c>
      <c r="AN10" s="138">
        <f ca="1">-Проект!AN579 / Параметры!AN$64</f>
        <v>-23288.19776629519</v>
      </c>
      <c r="AO10" s="138">
        <f ca="1">-Проект!AO579 / Параметры!AO$64</f>
        <v>-23629.925197863122</v>
      </c>
      <c r="AP10" s="138">
        <f ca="1">-Проект!AP579 / Параметры!AP$64</f>
        <v>-23976.66708519349</v>
      </c>
      <c r="AQ10" s="138">
        <f ca="1">-Проект!AQ579 / Параметры!AQ$64</f>
        <v>-24328.497009638777</v>
      </c>
      <c r="AR10" s="138">
        <f ca="1">-Проект!AR579 / Параметры!AR$64</f>
        <v>-24685.4896322729</v>
      </c>
      <c r="AS10" s="138">
        <f ca="1">-Проект!AS579 / Параметры!AS$64</f>
        <v>-25047.720709734909</v>
      </c>
      <c r="AT10" s="138">
        <f ca="1">-Проект!AT579 / Параметры!AT$64</f>
        <v>-25415.267110305096</v>
      </c>
      <c r="AU10" s="138">
        <f ca="1">-Проект!AU579 / Параметры!AU$64</f>
        <v>-25788.206830217103</v>
      </c>
      <c r="AV10" s="138">
        <f ca="1">-Проект!AV579 / Параметры!AV$64</f>
        <v>-26166.619010209273</v>
      </c>
      <c r="AW10" s="138"/>
      <c r="AX10" s="171">
        <f t="shared" ca="1" si="0"/>
        <v>-828043.56899082672</v>
      </c>
    </row>
    <row r="11" spans="1:50" x14ac:dyDescent="0.2">
      <c r="A11" s="125" t="str">
        <f ca="1">Language!A1193</f>
        <v>Валовая прибыль</v>
      </c>
      <c r="B11" s="244"/>
      <c r="C11" s="127" t="str">
        <f ca="1">Параметры!$C$64</f>
        <v>тыс. руб.</v>
      </c>
      <c r="D11" s="128"/>
      <c r="E11" s="245" t="s">
        <v>1528</v>
      </c>
      <c r="F11" s="128" t="s">
        <v>753</v>
      </c>
      <c r="G11" s="246">
        <f ca="1">G6+G7</f>
        <v>134996.5539207625</v>
      </c>
      <c r="H11" s="246">
        <f t="shared" ref="H11:K11" ca="1" si="21">H6+H7</f>
        <v>28389.340292001929</v>
      </c>
      <c r="I11" s="246">
        <f t="shared" ca="1" si="21"/>
        <v>26695.57739459828</v>
      </c>
      <c r="J11" s="246">
        <f t="shared" ca="1" si="21"/>
        <v>67449.199941349245</v>
      </c>
      <c r="K11" s="246">
        <f t="shared" ca="1" si="21"/>
        <v>236577.62312548771</v>
      </c>
      <c r="L11" s="246">
        <f t="shared" ref="L11:M11" ca="1" si="22">L6+L7</f>
        <v>90394.998904928769</v>
      </c>
      <c r="M11" s="246">
        <f t="shared" ca="1" si="22"/>
        <v>69114.92889095482</v>
      </c>
      <c r="N11" s="246">
        <f t="shared" ref="N11:O11" ca="1" si="23">N6+N7</f>
        <v>108598.48110234289</v>
      </c>
      <c r="O11" s="246">
        <f t="shared" ca="1" si="23"/>
        <v>300488.19294818875</v>
      </c>
      <c r="P11" s="246">
        <f t="shared" ref="P11:Q11" ca="1" si="24">P6+P7</f>
        <v>134017.88468392237</v>
      </c>
      <c r="Q11" s="246">
        <f t="shared" ca="1" si="24"/>
        <v>115911.72844093703</v>
      </c>
      <c r="R11" s="246">
        <f t="shared" ref="R11:S11" ca="1" si="25">R6+R7</f>
        <v>146957.3982478063</v>
      </c>
      <c r="S11" s="246">
        <f t="shared" ca="1" si="25"/>
        <v>339227.25636944117</v>
      </c>
      <c r="T11" s="246">
        <f t="shared" ref="T11:U11" ca="1" si="26">T6+T7</f>
        <v>151301.9018841146</v>
      </c>
      <c r="U11" s="246">
        <f t="shared" ca="1" si="26"/>
        <v>136190.0435046014</v>
      </c>
      <c r="V11" s="246">
        <f t="shared" ref="V11:W11" ca="1" si="27">V6+V7</f>
        <v>169293.96212334966</v>
      </c>
      <c r="W11" s="246">
        <f t="shared" ca="1" si="27"/>
        <v>373298.38921921467</v>
      </c>
      <c r="X11" s="246">
        <f t="shared" ref="X11:Y11" ca="1" si="28">X6+X7</f>
        <v>174298.80191242701</v>
      </c>
      <c r="Y11" s="246">
        <f t="shared" ca="1" si="28"/>
        <v>143000.81327321858</v>
      </c>
      <c r="Z11" s="246">
        <f t="shared" ref="Z11:AA11" ca="1" si="29">Z6+Z7</f>
        <v>178071.0012920812</v>
      </c>
      <c r="AA11" s="246">
        <f t="shared" ca="1" si="29"/>
        <v>394295.43532282743</v>
      </c>
      <c r="AB11" s="246">
        <f t="shared" ref="AB11:AC11" ca="1" si="30">AB6+AB7</f>
        <v>183335.31681384862</v>
      </c>
      <c r="AC11" s="246">
        <f t="shared" ca="1" si="30"/>
        <v>158303.30310940003</v>
      </c>
      <c r="AD11" s="246">
        <f t="shared" ref="AD11:AE11" ca="1" si="31">AD6+AD7</f>
        <v>195576.34647509019</v>
      </c>
      <c r="AE11" s="246">
        <f t="shared" ca="1" si="31"/>
        <v>424874.33810122259</v>
      </c>
      <c r="AF11" s="246">
        <f t="shared" ref="AF11:AG11" ca="1" si="32">AF6+AF7</f>
        <v>201358.17276330548</v>
      </c>
      <c r="AG11" s="246">
        <f t="shared" ca="1" si="32"/>
        <v>169757.17296636925</v>
      </c>
      <c r="AH11" s="246">
        <f t="shared" ref="AH11:AI11" ca="1" si="33">AH6+AH7</f>
        <v>209295.29615924874</v>
      </c>
      <c r="AI11" s="246">
        <f t="shared" ca="1" si="33"/>
        <v>452380.28560686565</v>
      </c>
      <c r="AJ11" s="246">
        <f t="shared" ref="AJ11:AK11" ca="1" si="34">AJ6+AJ7</f>
        <v>215482.69595039607</v>
      </c>
      <c r="AK11" s="246">
        <f t="shared" ca="1" si="34"/>
        <v>178896.88448467478</v>
      </c>
      <c r="AL11" s="246">
        <f t="shared" ref="AL11:AM11" ca="1" si="35">AL6+AL7</f>
        <v>220791.95035144436</v>
      </c>
      <c r="AM11" s="246">
        <f t="shared" ca="1" si="35"/>
        <v>478446.46928220906</v>
      </c>
      <c r="AN11" s="246">
        <f t="shared" ref="AN11:AO11" ca="1" si="36">AN6+AN7</f>
        <v>227319.22589256364</v>
      </c>
      <c r="AO11" s="246">
        <f t="shared" ca="1" si="36"/>
        <v>189177.24757514818</v>
      </c>
      <c r="AP11" s="246">
        <f t="shared" ref="AP11:AQ11" ca="1" si="37">AP6+AP7</f>
        <v>233579.36353869271</v>
      </c>
      <c r="AQ11" s="246">
        <f t="shared" ca="1" si="37"/>
        <v>506686.40211242397</v>
      </c>
      <c r="AR11" s="246">
        <f t="shared" ref="AR11:AS11" ca="1" si="38">AR6+AR7</f>
        <v>240484.67355615261</v>
      </c>
      <c r="AS11" s="246">
        <f t="shared" ca="1" si="38"/>
        <v>173901.66862157971</v>
      </c>
      <c r="AT11" s="246">
        <f t="shared" ref="AT11:AU11" ca="1" si="39">AT6+AT7</f>
        <v>220577.20257746341</v>
      </c>
      <c r="AU11" s="246">
        <f t="shared" ca="1" si="39"/>
        <v>509674.22129688883</v>
      </c>
      <c r="AV11" s="246">
        <f t="shared" ref="AV11" ca="1" si="40">AV6+AV7</f>
        <v>227098.12952711264</v>
      </c>
      <c r="AW11" s="246"/>
      <c r="AX11" s="247">
        <f t="shared" ca="1" si="0"/>
        <v>9135565.8795566577</v>
      </c>
    </row>
    <row r="12" spans="1:50" x14ac:dyDescent="0.2">
      <c r="A12" s="65"/>
      <c r="D12" s="57"/>
      <c r="E12" s="243"/>
      <c r="F12" s="57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71"/>
    </row>
    <row r="13" spans="1:50" x14ac:dyDescent="0.2">
      <c r="A13" s="99" t="str">
        <f ca="1">Language!A1194</f>
        <v>Административный и коммерческий персонал</v>
      </c>
      <c r="C13" s="130" t="str">
        <f ca="1">Параметры!$C$64</f>
        <v>тыс. руб.</v>
      </c>
      <c r="D13" s="57"/>
      <c r="E13" s="243" t="s">
        <v>963</v>
      </c>
      <c r="F13" s="57" t="s">
        <v>753</v>
      </c>
      <c r="G13" s="138">
        <f>-(Проект!G491+Проект!G499) / Параметры!G$64</f>
        <v>0</v>
      </c>
      <c r="H13" s="138">
        <f>-(Проект!H491+Проект!H499) / Параметры!H$64</f>
        <v>0</v>
      </c>
      <c r="I13" s="138">
        <f>-(Проект!I491+Проект!I499) / Параметры!I$64</f>
        <v>0</v>
      </c>
      <c r="J13" s="138">
        <f>-(Проект!J491+Проект!J499) / Параметры!J$64</f>
        <v>0</v>
      </c>
      <c r="K13" s="138">
        <f>-(Проект!K491+Проект!K499) / Параметры!K$64</f>
        <v>0</v>
      </c>
      <c r="L13" s="138">
        <f>-(Проект!L491+Проект!L499) / Параметры!L$64</f>
        <v>0</v>
      </c>
      <c r="M13" s="138">
        <f>-(Проект!M491+Проект!M499) / Параметры!M$64</f>
        <v>0</v>
      </c>
      <c r="N13" s="138">
        <f>-(Проект!N491+Проект!N499) / Параметры!N$64</f>
        <v>0</v>
      </c>
      <c r="O13" s="138">
        <f>-(Проект!O491+Проект!O499) / Параметры!O$64</f>
        <v>0</v>
      </c>
      <c r="P13" s="138">
        <f>-(Проект!P491+Проект!P499) / Параметры!P$64</f>
        <v>0</v>
      </c>
      <c r="Q13" s="138">
        <f>-(Проект!Q491+Проект!Q499) / Параметры!Q$64</f>
        <v>0</v>
      </c>
      <c r="R13" s="138">
        <f>-(Проект!R491+Проект!R499) / Параметры!R$64</f>
        <v>0</v>
      </c>
      <c r="S13" s="138">
        <f>-(Проект!S491+Проект!S499) / Параметры!S$64</f>
        <v>0</v>
      </c>
      <c r="T13" s="138">
        <f>-(Проект!T491+Проект!T499) / Параметры!T$64</f>
        <v>0</v>
      </c>
      <c r="U13" s="138">
        <f>-(Проект!U491+Проект!U499) / Параметры!U$64</f>
        <v>0</v>
      </c>
      <c r="V13" s="138">
        <f>-(Проект!V491+Проект!V499) / Параметры!V$64</f>
        <v>0</v>
      </c>
      <c r="W13" s="138">
        <f>-(Проект!W491+Проект!W499) / Параметры!W$64</f>
        <v>0</v>
      </c>
      <c r="X13" s="138">
        <f>-(Проект!X491+Проект!X499) / Параметры!X$64</f>
        <v>0</v>
      </c>
      <c r="Y13" s="138">
        <f>-(Проект!Y491+Проект!Y499) / Параметры!Y$64</f>
        <v>0</v>
      </c>
      <c r="Z13" s="138">
        <f>-(Проект!Z491+Проект!Z499) / Параметры!Z$64</f>
        <v>0</v>
      </c>
      <c r="AA13" s="138">
        <f>-(Проект!AA491+Проект!AA499) / Параметры!AA$64</f>
        <v>0</v>
      </c>
      <c r="AB13" s="138">
        <f>-(Проект!AB491+Проект!AB499) / Параметры!AB$64</f>
        <v>0</v>
      </c>
      <c r="AC13" s="138">
        <f>-(Проект!AC491+Проект!AC499) / Параметры!AC$64</f>
        <v>0</v>
      </c>
      <c r="AD13" s="138">
        <f>-(Проект!AD491+Проект!AD499) / Параметры!AD$64</f>
        <v>0</v>
      </c>
      <c r="AE13" s="138">
        <f>-(Проект!AE491+Проект!AE499) / Параметры!AE$64</f>
        <v>0</v>
      </c>
      <c r="AF13" s="138">
        <f>-(Проект!AF491+Проект!AF499) / Параметры!AF$64</f>
        <v>0</v>
      </c>
      <c r="AG13" s="138">
        <f>-(Проект!AG491+Проект!AG499) / Параметры!AG$64</f>
        <v>0</v>
      </c>
      <c r="AH13" s="138">
        <f>-(Проект!AH491+Проект!AH499) / Параметры!AH$64</f>
        <v>0</v>
      </c>
      <c r="AI13" s="138">
        <f>-(Проект!AI491+Проект!AI499) / Параметры!AI$64</f>
        <v>0</v>
      </c>
      <c r="AJ13" s="138">
        <f>-(Проект!AJ491+Проект!AJ499) / Параметры!AJ$64</f>
        <v>0</v>
      </c>
      <c r="AK13" s="138">
        <f>-(Проект!AK491+Проект!AK499) / Параметры!AK$64</f>
        <v>0</v>
      </c>
      <c r="AL13" s="138">
        <f>-(Проект!AL491+Проект!AL499) / Параметры!AL$64</f>
        <v>0</v>
      </c>
      <c r="AM13" s="138">
        <f>-(Проект!AM491+Проект!AM499) / Параметры!AM$64</f>
        <v>0</v>
      </c>
      <c r="AN13" s="138">
        <f>-(Проект!AN491+Проект!AN499) / Параметры!AN$64</f>
        <v>0</v>
      </c>
      <c r="AO13" s="138">
        <f>-(Проект!AO491+Проект!AO499) / Параметры!AO$64</f>
        <v>0</v>
      </c>
      <c r="AP13" s="138">
        <f>-(Проект!AP491+Проект!AP499) / Параметры!AP$64</f>
        <v>0</v>
      </c>
      <c r="AQ13" s="138">
        <f>-(Проект!AQ491+Проект!AQ499) / Параметры!AQ$64</f>
        <v>0</v>
      </c>
      <c r="AR13" s="138">
        <f>-(Проект!AR491+Проект!AR499) / Параметры!AR$64</f>
        <v>0</v>
      </c>
      <c r="AS13" s="138">
        <f>-(Проект!AS491+Проект!AS499) / Параметры!AS$64</f>
        <v>0</v>
      </c>
      <c r="AT13" s="138">
        <f>-(Проект!AT491+Проект!AT499) / Параметры!AT$64</f>
        <v>0</v>
      </c>
      <c r="AU13" s="138">
        <f>-(Проект!AU491+Проект!AU499) / Параметры!AU$64</f>
        <v>0</v>
      </c>
      <c r="AV13" s="138">
        <f>-(Проект!AV491+Проект!AV499) / Параметры!AV$64</f>
        <v>0</v>
      </c>
      <c r="AW13" s="138"/>
      <c r="AX13" s="171">
        <f>SUM(G13:AW13)</f>
        <v>0</v>
      </c>
    </row>
    <row r="14" spans="1:50" x14ac:dyDescent="0.2">
      <c r="A14" s="99" t="str">
        <f ca="1">Language!A1195</f>
        <v>Административные расходы</v>
      </c>
      <c r="C14" s="130" t="str">
        <f ca="1">Параметры!$C$64</f>
        <v>тыс. руб.</v>
      </c>
      <c r="D14" s="57"/>
      <c r="E14" s="243" t="s">
        <v>964</v>
      </c>
      <c r="F14" s="57" t="s">
        <v>753</v>
      </c>
      <c r="G14" s="138">
        <f ca="1">-Проект!G592 / Параметры!G$64</f>
        <v>-7200</v>
      </c>
      <c r="H14" s="138">
        <f ca="1">-Проект!H592 / Параметры!H$64</f>
        <v>-7305.6516924143461</v>
      </c>
      <c r="I14" s="138">
        <f ca="1">-Проект!I592 / Параметры!I$64</f>
        <v>-7412.8537015106394</v>
      </c>
      <c r="J14" s="138">
        <f ca="1">-Проект!J592 / Параметры!J$64</f>
        <v>-7521.6287763973833</v>
      </c>
      <c r="K14" s="138">
        <f ca="1">-Проект!K592 / Параметры!K$64</f>
        <v>-7632</v>
      </c>
      <c r="L14" s="138">
        <f ca="1">-Проект!L592 / Параметры!L$64</f>
        <v>-7743.9907939592076</v>
      </c>
      <c r="M14" s="138">
        <f ca="1">-Проект!M592 / Параметры!M$64</f>
        <v>-7857.6249236012791</v>
      </c>
      <c r="N14" s="138">
        <f ca="1">-Проект!N592 / Параметры!N$64</f>
        <v>-7972.9265029812268</v>
      </c>
      <c r="O14" s="138">
        <f ca="1">-Проект!O592 / Параметры!O$64</f>
        <v>-8089.92</v>
      </c>
      <c r="P14" s="138">
        <f ca="1">-Проект!P592 / Параметры!P$64</f>
        <v>-8208.6302415967602</v>
      </c>
      <c r="Q14" s="138">
        <f ca="1">-Проект!Q592 / Параметры!Q$64</f>
        <v>-8329.0824190173553</v>
      </c>
      <c r="R14" s="138">
        <f ca="1">-Проект!R592 / Параметры!R$64</f>
        <v>-8451.3020931601004</v>
      </c>
      <c r="S14" s="138">
        <f ca="1">-Проект!S592 / Параметры!S$64</f>
        <v>-8575.3152000000009</v>
      </c>
      <c r="T14" s="138">
        <f ca="1">-Проект!T592 / Параметры!T$64</f>
        <v>-8701.1480560925665</v>
      </c>
      <c r="U14" s="138">
        <f ca="1">-Проект!U592 / Параметры!U$64</f>
        <v>-8828.8273641583964</v>
      </c>
      <c r="V14" s="138">
        <f ca="1">-Проект!V592 / Параметры!V$64</f>
        <v>-8958.3802187497076</v>
      </c>
      <c r="W14" s="138">
        <f ca="1">-Проект!W592 / Параметры!W$64</f>
        <v>-9089.8341120000023</v>
      </c>
      <c r="X14" s="138">
        <f ca="1">-Проект!X592 / Параметры!X$64</f>
        <v>-9223.2169394581215</v>
      </c>
      <c r="Y14" s="138">
        <f ca="1">-Проект!Y592 / Параметры!Y$64</f>
        <v>-9358.5570060079026</v>
      </c>
      <c r="Z14" s="138">
        <f ca="1">-Проект!Z592 / Параметры!Z$64</f>
        <v>-9495.8830318746896</v>
      </c>
      <c r="AA14" s="138">
        <f ca="1">-Проект!AA592 / Параметры!AA$64</f>
        <v>-9635.2241587200006</v>
      </c>
      <c r="AB14" s="138">
        <f ca="1">-Проект!AB592 / Параметры!AB$64</f>
        <v>-9776.6099558256083</v>
      </c>
      <c r="AC14" s="138">
        <f ca="1">-Проект!AC592 / Параметры!AC$64</f>
        <v>-9920.0704263683765</v>
      </c>
      <c r="AD14" s="138">
        <f ca="1">-Проект!AD592 / Параметры!AD$64</f>
        <v>-10065.636013787172</v>
      </c>
      <c r="AE14" s="138">
        <f ca="1">-Проект!AE592 / Параметры!AE$64</f>
        <v>-10213.337608243201</v>
      </c>
      <c r="AF14" s="138">
        <f ca="1">-Проект!AF592 / Параметры!AF$64</f>
        <v>-10363.206553175145</v>
      </c>
      <c r="AG14" s="138">
        <f ca="1">-Проект!AG592 / Параметры!AG$64</f>
        <v>-10515.27465195048</v>
      </c>
      <c r="AH14" s="138">
        <f ca="1">-Проект!AH592 / Параметры!AH$64</f>
        <v>-10669.574174614403</v>
      </c>
      <c r="AI14" s="138">
        <f ca="1">-Проект!AI592 / Параметры!AI$64</f>
        <v>-10826.137864737795</v>
      </c>
      <c r="AJ14" s="138">
        <f ca="1">-Проект!AJ592 / Параметры!AJ$64</f>
        <v>-10984.998946365657</v>
      </c>
      <c r="AK14" s="138">
        <f ca="1">-Проект!AK592 / Параметры!AK$64</f>
        <v>-11146.19113106751</v>
      </c>
      <c r="AL14" s="138">
        <f ca="1">-Проект!AL592 / Параметры!AL$64</f>
        <v>-11309.74862509127</v>
      </c>
      <c r="AM14" s="138">
        <f ca="1">-Проект!AM592 / Параметры!AM$64</f>
        <v>-11475.706136622064</v>
      </c>
      <c r="AN14" s="138">
        <f ca="1">-Проект!AN592 / Параметры!AN$64</f>
        <v>-11644.098883147595</v>
      </c>
      <c r="AO14" s="138">
        <f ca="1">-Проект!AO592 / Параметры!AO$64</f>
        <v>-11814.962598931561</v>
      </c>
      <c r="AP14" s="138">
        <f ca="1">-Проект!AP592 / Параметры!AP$64</f>
        <v>-11988.333542596745</v>
      </c>
      <c r="AQ14" s="138">
        <f ca="1">-Проект!AQ592 / Параметры!AQ$64</f>
        <v>-12164.248504819387</v>
      </c>
      <c r="AR14" s="138">
        <f ca="1">-Проект!AR592 / Параметры!AR$64</f>
        <v>-12342.74481613645</v>
      </c>
      <c r="AS14" s="138">
        <f ca="1">-Проект!AS592 / Параметры!AS$64</f>
        <v>-12523.860354867453</v>
      </c>
      <c r="AT14" s="138">
        <f ca="1">-Проект!AT592 / Параметры!AT$64</f>
        <v>-12707.633555152548</v>
      </c>
      <c r="AU14" s="138">
        <f ca="1">-Проект!AU592 / Параметры!AU$64</f>
        <v>-12894.10341510855</v>
      </c>
      <c r="AV14" s="138">
        <f ca="1">-Проект!AV592 / Параметры!AV$64</f>
        <v>-13083.309505104637</v>
      </c>
      <c r="AW14" s="138"/>
      <c r="AX14" s="171">
        <f ca="1">SUM(G14:AW14)</f>
        <v>-414021.78449541336</v>
      </c>
    </row>
    <row r="15" spans="1:50" x14ac:dyDescent="0.2">
      <c r="A15" s="99" t="str">
        <f ca="1">Language!A1196</f>
        <v>Коммерческие расходы</v>
      </c>
      <c r="C15" s="130" t="str">
        <f ca="1">Параметры!$C$64</f>
        <v>тыс. руб.</v>
      </c>
      <c r="D15" s="57"/>
      <c r="E15" s="243" t="s">
        <v>965</v>
      </c>
      <c r="F15" s="57" t="s">
        <v>753</v>
      </c>
      <c r="G15" s="138">
        <f ca="1">-Проект!G605 / Параметры!G$64</f>
        <v>-5000</v>
      </c>
      <c r="H15" s="138">
        <f ca="1">-Проект!H605 / Параметры!H$64</f>
        <v>-5073.3692308432965</v>
      </c>
      <c r="I15" s="138">
        <f ca="1">-Проект!I605 / Параметры!I$64</f>
        <v>-5147.8150704935006</v>
      </c>
      <c r="J15" s="138">
        <f ca="1">-Проект!J605 / Параметры!J$64</f>
        <v>-5223.3533169426282</v>
      </c>
      <c r="K15" s="138">
        <f ca="1">-Проект!K605 / Параметры!K$64</f>
        <v>-5300.0000000000009</v>
      </c>
      <c r="L15" s="138">
        <f ca="1">-Проект!L605 / Параметры!L$64</f>
        <v>-5377.771384693895</v>
      </c>
      <c r="M15" s="138">
        <f ca="1">-Проект!M605 / Параметры!M$64</f>
        <v>-5456.6839747231115</v>
      </c>
      <c r="N15" s="138">
        <f ca="1">-Проект!N605 / Параметры!N$64</f>
        <v>-5536.7545159591873</v>
      </c>
      <c r="O15" s="138">
        <f ca="1">-Проект!O605 / Параметры!O$64</f>
        <v>-5618.0000000000018</v>
      </c>
      <c r="P15" s="138">
        <f ca="1">-Проект!P605 / Параметры!P$64</f>
        <v>-5700.4376677755299</v>
      </c>
      <c r="Q15" s="138">
        <f ca="1">-Проект!Q605 / Параметры!Q$64</f>
        <v>-5784.0850132064988</v>
      </c>
      <c r="R15" s="138">
        <f ca="1">-Проект!R605 / Параметры!R$64</f>
        <v>-5868.9597869167383</v>
      </c>
      <c r="S15" s="138">
        <f ca="1">-Проект!S605 / Параметры!S$64</f>
        <v>-5955.0800000000017</v>
      </c>
      <c r="T15" s="138">
        <f ca="1">-Проект!T605 / Параметры!T$64</f>
        <v>-6042.4639278420618</v>
      </c>
      <c r="U15" s="138">
        <f ca="1">-Проект!U605 / Параметры!U$64</f>
        <v>-6131.1301139988891</v>
      </c>
      <c r="V15" s="138">
        <f ca="1">-Проект!V605 / Параметры!V$64</f>
        <v>-6221.097374131743</v>
      </c>
      <c r="W15" s="138">
        <f ca="1">-Проект!W605 / Параметры!W$64</f>
        <v>-6312.3848000000025</v>
      </c>
      <c r="X15" s="138">
        <f ca="1">-Проект!X605 / Параметры!X$64</f>
        <v>-6405.0117635125862</v>
      </c>
      <c r="Y15" s="138">
        <f ca="1">-Проект!Y605 / Параметры!Y$64</f>
        <v>-6498.9979208388231</v>
      </c>
      <c r="Z15" s="138">
        <f ca="1">-Проект!Z605 / Параметры!Z$64</f>
        <v>-6594.3632165796489</v>
      </c>
      <c r="AA15" s="138">
        <f ca="1">-Проект!AA605 / Параметры!AA$64</f>
        <v>-6691.1278880000036</v>
      </c>
      <c r="AB15" s="138">
        <f ca="1">-Проект!AB605 / Параметры!AB$64</f>
        <v>-6789.3124693233422</v>
      </c>
      <c r="AC15" s="138">
        <f ca="1">-Проект!AC605 / Параметры!AC$64</f>
        <v>-6888.9377960891534</v>
      </c>
      <c r="AD15" s="138">
        <f ca="1">-Проект!AD605 / Параметры!AD$64</f>
        <v>-6990.0250095744286</v>
      </c>
      <c r="AE15" s="138">
        <f ca="1">-Проект!AE605 / Параметры!AE$64</f>
        <v>-7092.5955612800053</v>
      </c>
      <c r="AF15" s="138">
        <f ca="1">-Проект!AF605 / Параметры!AF$64</f>
        <v>-7196.6712174827435</v>
      </c>
      <c r="AG15" s="138">
        <f ca="1">-Проект!AG605 / Параметры!AG$64</f>
        <v>-7302.2740638545029</v>
      </c>
      <c r="AH15" s="138">
        <f ca="1">-Проект!AH605 / Параметры!AH$64</f>
        <v>-7409.4265101488945</v>
      </c>
      <c r="AI15" s="138">
        <f ca="1">-Проект!AI605 / Параметры!AI$64</f>
        <v>-7518.1512949568059</v>
      </c>
      <c r="AJ15" s="138">
        <f ca="1">-Проект!AJ605 / Параметры!AJ$64</f>
        <v>-7628.4714905317087</v>
      </c>
      <c r="AK15" s="138">
        <f ca="1">-Проект!AK605 / Параметры!AK$64</f>
        <v>-7740.4105076857741</v>
      </c>
      <c r="AL15" s="138">
        <f ca="1">-Проект!AL605 / Параметры!AL$64</f>
        <v>-7853.9921007578296</v>
      </c>
      <c r="AM15" s="138">
        <f ca="1">-Проект!AM605 / Параметры!AM$64</f>
        <v>-7969.2403726542152</v>
      </c>
      <c r="AN15" s="138">
        <f ca="1">-Проект!AN605 / Параметры!AN$64</f>
        <v>-8086.1797799636124</v>
      </c>
      <c r="AO15" s="138">
        <f ca="1">-Проект!AO605 / Параметры!AO$64</f>
        <v>-8204.835138146922</v>
      </c>
      <c r="AP15" s="138">
        <f ca="1">-Проект!AP605 / Параметры!AP$64</f>
        <v>-8325.231626803301</v>
      </c>
      <c r="AQ15" s="138">
        <f ca="1">-Проект!AQ605 / Параметры!AQ$64</f>
        <v>-8447.3947950134698</v>
      </c>
      <c r="AR15" s="138">
        <f ca="1">-Проект!AR605 / Параметры!AR$64</f>
        <v>-8571.3505667614299</v>
      </c>
      <c r="AS15" s="138">
        <f ca="1">-Проект!AS605 / Параметры!AS$64</f>
        <v>-8697.1252464357385</v>
      </c>
      <c r="AT15" s="138">
        <f ca="1">-Проект!AT605 / Параметры!AT$64</f>
        <v>-8824.745524411499</v>
      </c>
      <c r="AU15" s="138">
        <f ca="1">-Проект!AU605 / Параметры!AU$64</f>
        <v>-8954.2384827142778</v>
      </c>
      <c r="AV15" s="138">
        <f ca="1">-Проект!AV605 / Параметры!AV$64</f>
        <v>-9085.6316007671157</v>
      </c>
      <c r="AW15" s="138"/>
      <c r="AX15" s="171">
        <f ca="1">SUM(G15:AW15)</f>
        <v>-287515.12812181492</v>
      </c>
    </row>
    <row r="16" spans="1:50" x14ac:dyDescent="0.2">
      <c r="A16" s="99" t="str">
        <f ca="1">Language!A1197</f>
        <v>Налоги и сборы</v>
      </c>
      <c r="C16" s="130" t="str">
        <f ca="1">Параметры!$C$64</f>
        <v>тыс. руб.</v>
      </c>
      <c r="D16" s="57"/>
      <c r="E16" s="243" t="s">
        <v>966</v>
      </c>
      <c r="F16" s="57" t="s">
        <v>753</v>
      </c>
      <c r="G16" s="138">
        <f ca="1">-Проект!G976 / Параметры!G$64</f>
        <v>0</v>
      </c>
      <c r="H16" s="138">
        <f ca="1">-Проект!H976 / Параметры!H$64</f>
        <v>0</v>
      </c>
      <c r="I16" s="138">
        <f ca="1">-Проект!I976 / Параметры!I$64</f>
        <v>0</v>
      </c>
      <c r="J16" s="138">
        <f ca="1">-Проект!J976 / Параметры!J$64</f>
        <v>0</v>
      </c>
      <c r="K16" s="138">
        <f ca="1">-Проект!K976 / Параметры!K$64</f>
        <v>0</v>
      </c>
      <c r="L16" s="138">
        <f ca="1">-Проект!L976 / Параметры!L$64</f>
        <v>0</v>
      </c>
      <c r="M16" s="138">
        <f ca="1">-Проект!M976 / Параметры!M$64</f>
        <v>0</v>
      </c>
      <c r="N16" s="138">
        <f ca="1">-Проект!N976 / Параметры!N$64</f>
        <v>0</v>
      </c>
      <c r="O16" s="138">
        <f ca="1">-Проект!O976 / Параметры!O$64</f>
        <v>0</v>
      </c>
      <c r="P16" s="138">
        <f ca="1">-Проект!P976 / Параметры!P$64</f>
        <v>0</v>
      </c>
      <c r="Q16" s="138">
        <f ca="1">-Проект!Q976 / Параметры!Q$64</f>
        <v>0</v>
      </c>
      <c r="R16" s="138">
        <f ca="1">-Проект!R976 / Параметры!R$64</f>
        <v>0</v>
      </c>
      <c r="S16" s="138">
        <f ca="1">-Проект!S976 / Параметры!S$64</f>
        <v>0</v>
      </c>
      <c r="T16" s="138">
        <f ca="1">-Проект!T976 / Параметры!T$64</f>
        <v>0</v>
      </c>
      <c r="U16" s="138">
        <f ca="1">-Проект!U976 / Параметры!U$64</f>
        <v>0</v>
      </c>
      <c r="V16" s="138">
        <f ca="1">-Проект!V976 / Параметры!V$64</f>
        <v>0</v>
      </c>
      <c r="W16" s="138">
        <f ca="1">-Проект!W976 / Параметры!W$64</f>
        <v>0</v>
      </c>
      <c r="X16" s="138">
        <f ca="1">-Проект!X976 / Параметры!X$64</f>
        <v>0</v>
      </c>
      <c r="Y16" s="138">
        <f ca="1">-Проект!Y976 / Параметры!Y$64</f>
        <v>0</v>
      </c>
      <c r="Z16" s="138">
        <f ca="1">-Проект!Z976 / Параметры!Z$64</f>
        <v>0</v>
      </c>
      <c r="AA16" s="138">
        <f ca="1">-Проект!AA976 / Параметры!AA$64</f>
        <v>0</v>
      </c>
      <c r="AB16" s="138">
        <f ca="1">-Проект!AB976 / Параметры!AB$64</f>
        <v>0</v>
      </c>
      <c r="AC16" s="138">
        <f ca="1">-Проект!AC976 / Параметры!AC$64</f>
        <v>0</v>
      </c>
      <c r="AD16" s="138">
        <f ca="1">-Проект!AD976 / Параметры!AD$64</f>
        <v>0</v>
      </c>
      <c r="AE16" s="138">
        <f ca="1">-Проект!AE976 / Параметры!AE$64</f>
        <v>0</v>
      </c>
      <c r="AF16" s="138">
        <f ca="1">-Проект!AF976 / Параметры!AF$64</f>
        <v>0</v>
      </c>
      <c r="AG16" s="138">
        <f ca="1">-Проект!AG976 / Параметры!AG$64</f>
        <v>0</v>
      </c>
      <c r="AH16" s="138">
        <f ca="1">-Проект!AH976 / Параметры!AH$64</f>
        <v>0</v>
      </c>
      <c r="AI16" s="138">
        <f ca="1">-Проект!AI976 / Параметры!AI$64</f>
        <v>0</v>
      </c>
      <c r="AJ16" s="138">
        <f ca="1">-Проект!AJ976 / Параметры!AJ$64</f>
        <v>0</v>
      </c>
      <c r="AK16" s="138">
        <f ca="1">-Проект!AK976 / Параметры!AK$64</f>
        <v>0</v>
      </c>
      <c r="AL16" s="138">
        <f ca="1">-Проект!AL976 / Параметры!AL$64</f>
        <v>0</v>
      </c>
      <c r="AM16" s="138">
        <f ca="1">-Проект!AM976 / Параметры!AM$64</f>
        <v>0</v>
      </c>
      <c r="AN16" s="138">
        <f ca="1">-Проект!AN976 / Параметры!AN$64</f>
        <v>0</v>
      </c>
      <c r="AO16" s="138">
        <f ca="1">-Проект!AO976 / Параметры!AO$64</f>
        <v>0</v>
      </c>
      <c r="AP16" s="138">
        <f ca="1">-Проект!AP976 / Параметры!AP$64</f>
        <v>0</v>
      </c>
      <c r="AQ16" s="138">
        <f ca="1">-Проект!AQ976 / Параметры!AQ$64</f>
        <v>0</v>
      </c>
      <c r="AR16" s="138">
        <f ca="1">-Проект!AR976 / Параметры!AR$64</f>
        <v>0</v>
      </c>
      <c r="AS16" s="138">
        <f ca="1">-Проект!AS976 / Параметры!AS$64</f>
        <v>0</v>
      </c>
      <c r="AT16" s="138">
        <f ca="1">-Проект!AT976 / Параметры!AT$64</f>
        <v>0</v>
      </c>
      <c r="AU16" s="138">
        <f ca="1">-Проект!AU976 / Параметры!AU$64</f>
        <v>0</v>
      </c>
      <c r="AV16" s="138">
        <f ca="1">-Проект!AV976 / Параметры!AV$64</f>
        <v>0</v>
      </c>
      <c r="AW16" s="138"/>
      <c r="AX16" s="171">
        <f ca="1">SUM(G16:AW16)</f>
        <v>0</v>
      </c>
    </row>
    <row r="17" spans="1:50" x14ac:dyDescent="0.2">
      <c r="A17" s="125" t="str">
        <f ca="1">Language!A1198</f>
        <v>EBITDA</v>
      </c>
      <c r="B17" s="244"/>
      <c r="C17" s="127" t="str">
        <f ca="1">Параметры!$C$64</f>
        <v>тыс. руб.</v>
      </c>
      <c r="D17" s="128"/>
      <c r="E17" s="245" t="s">
        <v>967</v>
      </c>
      <c r="F17" s="128" t="s">
        <v>753</v>
      </c>
      <c r="G17" s="246">
        <f ca="1">G11+SUM(G13:G16)</f>
        <v>122796.5539207625</v>
      </c>
      <c r="H17" s="246">
        <f t="shared" ref="H17:K17" ca="1" si="41">H11+SUM(H13:H16)</f>
        <v>16010.319368744287</v>
      </c>
      <c r="I17" s="246">
        <f t="shared" ca="1" si="41"/>
        <v>14134.908622594139</v>
      </c>
      <c r="J17" s="246">
        <f t="shared" ca="1" si="41"/>
        <v>54704.217848009233</v>
      </c>
      <c r="K17" s="246">
        <f t="shared" ca="1" si="41"/>
        <v>223645.62312548771</v>
      </c>
      <c r="L17" s="246">
        <f t="shared" ref="L17:M17" ca="1" si="42">L11+SUM(L13:L16)</f>
        <v>77273.236726275674</v>
      </c>
      <c r="M17" s="246">
        <f t="shared" ca="1" si="42"/>
        <v>55800.619992630425</v>
      </c>
      <c r="N17" s="246">
        <f t="shared" ref="N17:O17" ca="1" si="43">N11+SUM(N13:N16)</f>
        <v>95088.800083402486</v>
      </c>
      <c r="O17" s="246">
        <f t="shared" ca="1" si="43"/>
        <v>286780.27294818877</v>
      </c>
      <c r="P17" s="246">
        <f t="shared" ref="P17:Q17" ca="1" si="44">P11+SUM(P13:P16)</f>
        <v>120108.81677455008</v>
      </c>
      <c r="Q17" s="246">
        <f t="shared" ca="1" si="44"/>
        <v>101798.56100871318</v>
      </c>
      <c r="R17" s="246">
        <f t="shared" ref="R17:S17" ca="1" si="45">R11+SUM(R13:R16)</f>
        <v>132637.13636772946</v>
      </c>
      <c r="S17" s="246">
        <f t="shared" ca="1" si="45"/>
        <v>324696.86116944114</v>
      </c>
      <c r="T17" s="246">
        <f t="shared" ref="T17:U17" ca="1" si="46">T11+SUM(T13:T16)</f>
        <v>136558.28990017998</v>
      </c>
      <c r="U17" s="246">
        <f t="shared" ca="1" si="46"/>
        <v>121230.08602644411</v>
      </c>
      <c r="V17" s="246">
        <f t="shared" ref="V17:W17" ca="1" si="47">V11+SUM(V13:V16)</f>
        <v>154114.48453046821</v>
      </c>
      <c r="W17" s="246">
        <f t="shared" ca="1" si="47"/>
        <v>357896.17030721466</v>
      </c>
      <c r="X17" s="246">
        <f t="shared" ref="X17:Y17" ca="1" si="48">X11+SUM(X13:X16)</f>
        <v>158670.57320945628</v>
      </c>
      <c r="Y17" s="246">
        <f t="shared" ca="1" si="48"/>
        <v>127143.25834637185</v>
      </c>
      <c r="Z17" s="246">
        <f t="shared" ref="Z17:AA17" ca="1" si="49">Z11+SUM(Z13:Z16)</f>
        <v>161980.75504362685</v>
      </c>
      <c r="AA17" s="246">
        <f t="shared" ca="1" si="49"/>
        <v>377969.08327610744</v>
      </c>
      <c r="AB17" s="246">
        <f t="shared" ref="AB17:AC17" ca="1" si="50">AB11+SUM(AB13:AB16)</f>
        <v>166769.39438869967</v>
      </c>
      <c r="AC17" s="246">
        <f t="shared" ca="1" si="50"/>
        <v>141494.29488694249</v>
      </c>
      <c r="AD17" s="246">
        <f t="shared" ref="AD17:AE17" ca="1" si="51">AD11+SUM(AD13:AD16)</f>
        <v>178520.68545172858</v>
      </c>
      <c r="AE17" s="246">
        <f t="shared" ca="1" si="51"/>
        <v>407568.40493169939</v>
      </c>
      <c r="AF17" s="246">
        <f t="shared" ref="AF17:AG17" ca="1" si="52">AF11+SUM(AF13:AF16)</f>
        <v>183798.2949926476</v>
      </c>
      <c r="AG17" s="246">
        <f t="shared" ca="1" si="52"/>
        <v>151939.62425056426</v>
      </c>
      <c r="AH17" s="246">
        <f t="shared" ref="AH17:AI17" ca="1" si="53">AH11+SUM(AH13:AH16)</f>
        <v>191216.29547448544</v>
      </c>
      <c r="AI17" s="246">
        <f t="shared" ca="1" si="53"/>
        <v>434035.99644717108</v>
      </c>
      <c r="AJ17" s="246">
        <f t="shared" ref="AJ17:AK17" ca="1" si="54">AJ11+SUM(AJ13:AJ16)</f>
        <v>196869.22551349871</v>
      </c>
      <c r="AK17" s="246">
        <f t="shared" ca="1" si="54"/>
        <v>160010.28284592149</v>
      </c>
      <c r="AL17" s="246">
        <f t="shared" ref="AL17:AM17" ca="1" si="55">AL11+SUM(AL13:AL16)</f>
        <v>201628.20962559525</v>
      </c>
      <c r="AM17" s="246">
        <f t="shared" ca="1" si="55"/>
        <v>459001.52277293277</v>
      </c>
      <c r="AN17" s="246">
        <f t="shared" ref="AN17:AO17" ca="1" si="56">AN11+SUM(AN13:AN16)</f>
        <v>207588.94722945243</v>
      </c>
      <c r="AO17" s="246">
        <f t="shared" ca="1" si="56"/>
        <v>169157.4498380697</v>
      </c>
      <c r="AP17" s="246">
        <f t="shared" ref="AP17:AQ17" ca="1" si="57">AP11+SUM(AP13:AP16)</f>
        <v>213265.79836929266</v>
      </c>
      <c r="AQ17" s="246">
        <f t="shared" ca="1" si="57"/>
        <v>486074.75881259108</v>
      </c>
      <c r="AR17" s="246">
        <f t="shared" ref="AR17:AS17" ca="1" si="58">AR11+SUM(AR13:AR16)</f>
        <v>219570.57817325473</v>
      </c>
      <c r="AS17" s="246">
        <f t="shared" ca="1" si="58"/>
        <v>152680.68302027651</v>
      </c>
      <c r="AT17" s="246">
        <f t="shared" ref="AT17:AU17" ca="1" si="59">AT11+SUM(AT13:AT16)</f>
        <v>199044.82349789937</v>
      </c>
      <c r="AU17" s="246">
        <f t="shared" ca="1" si="59"/>
        <v>487825.87939906598</v>
      </c>
      <c r="AV17" s="246">
        <f t="shared" ref="AV17" ca="1" si="60">AV11+SUM(AV13:AV16)</f>
        <v>204929.18842124089</v>
      </c>
      <c r="AW17" s="246"/>
      <c r="AX17" s="247">
        <f ca="1">SUM(G17:AW17)</f>
        <v>8434028.9669394288</v>
      </c>
    </row>
    <row r="18" spans="1:50" x14ac:dyDescent="0.2">
      <c r="A18" s="65"/>
      <c r="D18" s="57"/>
      <c r="E18" s="243"/>
      <c r="F18" s="57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71"/>
    </row>
    <row r="19" spans="1:50" x14ac:dyDescent="0.2">
      <c r="A19" s="99" t="str">
        <f ca="1">Language!A1199</f>
        <v>Лизинговые платежи</v>
      </c>
      <c r="C19" s="130" t="str">
        <f ca="1">Параметры!$C$64</f>
        <v>тыс. руб.</v>
      </c>
      <c r="D19" s="57"/>
      <c r="E19" s="243" t="s">
        <v>968</v>
      </c>
      <c r="F19" s="57" t="s">
        <v>753</v>
      </c>
      <c r="G19" s="138">
        <f>-(Проект!G834+Проект!G835) / Параметры!G$64</f>
        <v>0</v>
      </c>
      <c r="H19" s="138">
        <f>-(Проект!H834+Проект!H835) / Параметры!H$64</f>
        <v>0</v>
      </c>
      <c r="I19" s="138">
        <f>-(Проект!I834+Проект!I835) / Параметры!I$64</f>
        <v>0</v>
      </c>
      <c r="J19" s="138">
        <f>-(Проект!J834+Проект!J835) / Параметры!J$64</f>
        <v>0</v>
      </c>
      <c r="K19" s="138">
        <f>-(Проект!K834+Проект!K835) / Параметры!K$64</f>
        <v>0</v>
      </c>
      <c r="L19" s="138">
        <f>-(Проект!L834+Проект!L835) / Параметры!L$64</f>
        <v>0</v>
      </c>
      <c r="M19" s="138">
        <f>-(Проект!M834+Проект!M835) / Параметры!M$64</f>
        <v>0</v>
      </c>
      <c r="N19" s="138">
        <f>-(Проект!N834+Проект!N835) / Параметры!N$64</f>
        <v>0</v>
      </c>
      <c r="O19" s="138">
        <f>-(Проект!O834+Проект!O835) / Параметры!O$64</f>
        <v>0</v>
      </c>
      <c r="P19" s="138">
        <f>-(Проект!P834+Проект!P835) / Параметры!P$64</f>
        <v>0</v>
      </c>
      <c r="Q19" s="138">
        <f>-(Проект!Q834+Проект!Q835) / Параметры!Q$64</f>
        <v>0</v>
      </c>
      <c r="R19" s="138">
        <f>-(Проект!R834+Проект!R835) / Параметры!R$64</f>
        <v>0</v>
      </c>
      <c r="S19" s="138">
        <f>-(Проект!S834+Проект!S835) / Параметры!S$64</f>
        <v>0</v>
      </c>
      <c r="T19" s="138">
        <f>-(Проект!T834+Проект!T835) / Параметры!T$64</f>
        <v>0</v>
      </c>
      <c r="U19" s="138">
        <f>-(Проект!U834+Проект!U835) / Параметры!U$64</f>
        <v>0</v>
      </c>
      <c r="V19" s="138">
        <f>-(Проект!V834+Проект!V835) / Параметры!V$64</f>
        <v>0</v>
      </c>
      <c r="W19" s="138">
        <f>-(Проект!W834+Проект!W835) / Параметры!W$64</f>
        <v>0</v>
      </c>
      <c r="X19" s="138">
        <f>-(Проект!X834+Проект!X835) / Параметры!X$64</f>
        <v>0</v>
      </c>
      <c r="Y19" s="138">
        <f>-(Проект!Y834+Проект!Y835) / Параметры!Y$64</f>
        <v>0</v>
      </c>
      <c r="Z19" s="138">
        <f>-(Проект!Z834+Проект!Z835) / Параметры!Z$64</f>
        <v>0</v>
      </c>
      <c r="AA19" s="138">
        <f>-(Проект!AA834+Проект!AA835) / Параметры!AA$64</f>
        <v>0</v>
      </c>
      <c r="AB19" s="138">
        <f>-(Проект!AB834+Проект!AB835) / Параметры!AB$64</f>
        <v>0</v>
      </c>
      <c r="AC19" s="138">
        <f>-(Проект!AC834+Проект!AC835) / Параметры!AC$64</f>
        <v>0</v>
      </c>
      <c r="AD19" s="138">
        <f>-(Проект!AD834+Проект!AD835) / Параметры!AD$64</f>
        <v>0</v>
      </c>
      <c r="AE19" s="138">
        <f>-(Проект!AE834+Проект!AE835) / Параметры!AE$64</f>
        <v>0</v>
      </c>
      <c r="AF19" s="138">
        <f>-(Проект!AF834+Проект!AF835) / Параметры!AF$64</f>
        <v>0</v>
      </c>
      <c r="AG19" s="138">
        <f>-(Проект!AG834+Проект!AG835) / Параметры!AG$64</f>
        <v>0</v>
      </c>
      <c r="AH19" s="138">
        <f>-(Проект!AH834+Проект!AH835) / Параметры!AH$64</f>
        <v>0</v>
      </c>
      <c r="AI19" s="138">
        <f>-(Проект!AI834+Проект!AI835) / Параметры!AI$64</f>
        <v>0</v>
      </c>
      <c r="AJ19" s="138">
        <f>-(Проект!AJ834+Проект!AJ835) / Параметры!AJ$64</f>
        <v>0</v>
      </c>
      <c r="AK19" s="138">
        <f>-(Проект!AK834+Проект!AK835) / Параметры!AK$64</f>
        <v>0</v>
      </c>
      <c r="AL19" s="138">
        <f>-(Проект!AL834+Проект!AL835) / Параметры!AL$64</f>
        <v>0</v>
      </c>
      <c r="AM19" s="138">
        <f>-(Проект!AM834+Проект!AM835) / Параметры!AM$64</f>
        <v>0</v>
      </c>
      <c r="AN19" s="138">
        <f>-(Проект!AN834+Проект!AN835) / Параметры!AN$64</f>
        <v>0</v>
      </c>
      <c r="AO19" s="138">
        <f>-(Проект!AO834+Проект!AO835) / Параметры!AO$64</f>
        <v>0</v>
      </c>
      <c r="AP19" s="138">
        <f>-(Проект!AP834+Проект!AP835) / Параметры!AP$64</f>
        <v>0</v>
      </c>
      <c r="AQ19" s="138">
        <f>-(Проект!AQ834+Проект!AQ835) / Параметры!AQ$64</f>
        <v>0</v>
      </c>
      <c r="AR19" s="138">
        <f>-(Проект!AR834+Проект!AR835) / Параметры!AR$64</f>
        <v>0</v>
      </c>
      <c r="AS19" s="138">
        <f>-(Проект!AS834+Проект!AS835) / Параметры!AS$64</f>
        <v>0</v>
      </c>
      <c r="AT19" s="138">
        <f>-(Проект!AT834+Проект!AT835) / Параметры!AT$64</f>
        <v>0</v>
      </c>
      <c r="AU19" s="138">
        <f>-(Проект!AU834+Проект!AU835) / Параметры!AU$64</f>
        <v>0</v>
      </c>
      <c r="AV19" s="138">
        <f>-(Проект!AV834+Проект!AV835) / Параметры!AV$64</f>
        <v>0</v>
      </c>
      <c r="AW19" s="138"/>
      <c r="AX19" s="171">
        <f>SUM(G19:AW19)</f>
        <v>0</v>
      </c>
    </row>
    <row r="20" spans="1:50" x14ac:dyDescent="0.2">
      <c r="A20" s="99" t="str">
        <f ca="1">Language!A1200</f>
        <v>Амортизация</v>
      </c>
      <c r="C20" s="130" t="str">
        <f ca="1">Параметры!$C$64</f>
        <v>тыс. руб.</v>
      </c>
      <c r="D20" s="57"/>
      <c r="E20" s="243" t="s">
        <v>969</v>
      </c>
      <c r="F20" s="57" t="s">
        <v>753</v>
      </c>
      <c r="G20" s="138">
        <f ca="1">-(Старт!G70+Старт!G77+Старт!G84 + Проект!G780+Проект!G795+Проект!G809+Проект!G944) / Параметры!G$64</f>
        <v>-76288.094067796599</v>
      </c>
      <c r="H20" s="138">
        <f ca="1">-(Старт!H70+Старт!H77+Старт!H84 + Проект!H780+Проект!H795+Проект!H809+Проект!H944) / Параметры!H$64</f>
        <v>-76288.094067796599</v>
      </c>
      <c r="I20" s="138">
        <f ca="1">-(Старт!I70+Старт!I77+Старт!I84 + Проект!I780+Проект!I795+Проект!I809+Проект!I944) / Параметры!I$64</f>
        <v>-76288.094067796599</v>
      </c>
      <c r="J20" s="138">
        <f ca="1">-(Старт!J70+Старт!J77+Старт!J84 + Проект!J780+Проект!J795+Проект!J809+Проект!J944) / Параметры!J$64</f>
        <v>-76288.094067796599</v>
      </c>
      <c r="K20" s="138">
        <f ca="1">-(Старт!K70+Старт!K77+Старт!K84 + Проект!K780+Проект!K795+Проект!K809+Проект!K944) / Параметры!K$64</f>
        <v>-76288.094067796599</v>
      </c>
      <c r="L20" s="138">
        <f ca="1">-(Старт!L70+Старт!L77+Старт!L84 + Проект!L780+Проект!L795+Проект!L809+Проект!L944) / Параметры!L$64</f>
        <v>-76288.094067796599</v>
      </c>
      <c r="M20" s="138">
        <f ca="1">-(Старт!M70+Старт!M77+Старт!M84 + Проект!M780+Проект!M795+Проект!M809+Проект!M944) / Параметры!M$64</f>
        <v>-76288.094067796599</v>
      </c>
      <c r="N20" s="138">
        <f ca="1">-(Старт!N70+Старт!N77+Старт!N84 + Проект!N780+Проект!N795+Проект!N809+Проект!N944) / Параметры!N$64</f>
        <v>-76288.094067796599</v>
      </c>
      <c r="O20" s="138">
        <f ca="1">-(Старт!O70+Старт!O77+Старт!O84 + Проект!O780+Проект!O795+Проект!O809+Проект!O944) / Параметры!O$64</f>
        <v>-76288.094067796599</v>
      </c>
      <c r="P20" s="138">
        <f ca="1">-(Старт!P70+Старт!P77+Старт!P84 + Проект!P780+Проект!P795+Проект!P809+Проект!P944) / Параметры!P$64</f>
        <v>-76288.094067796599</v>
      </c>
      <c r="Q20" s="138">
        <f ca="1">-(Старт!Q70+Старт!Q77+Старт!Q84 + Проект!Q780+Проект!Q795+Проект!Q809+Проект!Q944) / Параметры!Q$64</f>
        <v>-76288.094067796599</v>
      </c>
      <c r="R20" s="138">
        <f ca="1">-(Старт!R70+Старт!R77+Старт!R84 + Проект!R780+Проект!R795+Проект!R809+Проект!R944) / Параметры!R$64</f>
        <v>-76288.094067796599</v>
      </c>
      <c r="S20" s="138">
        <f ca="1">-(Старт!S70+Старт!S77+Старт!S84 + Проект!S780+Проект!S795+Проект!S809+Проект!S944) / Параметры!S$64</f>
        <v>-76288.094067796599</v>
      </c>
      <c r="T20" s="138">
        <f ca="1">-(Старт!T70+Старт!T77+Старт!T84 + Проект!T780+Проект!T795+Проект!T809+Проект!T944) / Параметры!T$64</f>
        <v>-76288.094067796599</v>
      </c>
      <c r="U20" s="138">
        <f ca="1">-(Старт!U70+Старт!U77+Старт!U84 + Проект!U780+Проект!U795+Проект!U809+Проект!U944) / Параметры!U$64</f>
        <v>-76288.094067796599</v>
      </c>
      <c r="V20" s="138">
        <f ca="1">-(Старт!V70+Старт!V77+Старт!V84 + Проект!V780+Проект!V795+Проект!V809+Проект!V944) / Параметры!V$64</f>
        <v>-76288.094067796599</v>
      </c>
      <c r="W20" s="138">
        <f ca="1">-(Старт!W70+Старт!W77+Старт!W84 + Проект!W780+Проект!W795+Проект!W809+Проект!W944) / Параметры!W$64</f>
        <v>-76288.094067796599</v>
      </c>
      <c r="X20" s="138">
        <f ca="1">-(Старт!X70+Старт!X77+Старт!X84 + Проект!X780+Проект!X795+Проект!X809+Проект!X944) / Параметры!X$64</f>
        <v>-76288.094067796599</v>
      </c>
      <c r="Y20" s="138">
        <f ca="1">-(Старт!Y70+Старт!Y77+Старт!Y84 + Проект!Y780+Проект!Y795+Проект!Y809+Проект!Y944) / Параметры!Y$64</f>
        <v>-76288.094067796599</v>
      </c>
      <c r="Z20" s="138">
        <f ca="1">-(Старт!Z70+Старт!Z77+Старт!Z84 + Проект!Z780+Проект!Z795+Проект!Z809+Проект!Z944) / Параметры!Z$64</f>
        <v>-76288.094067796599</v>
      </c>
      <c r="AA20" s="138">
        <f ca="1">-(Старт!AA70+Старт!AA77+Старт!AA84 + Проект!AA780+Проект!AA795+Проект!AA809+Проект!AA944) / Параметры!AA$64</f>
        <v>-76288.094067796599</v>
      </c>
      <c r="AB20" s="138">
        <f ca="1">-(Старт!AB70+Старт!AB77+Старт!AB84 + Проект!AB780+Проект!AB795+Проект!AB809+Проект!AB944) / Параметры!AB$64</f>
        <v>-76288.094067796599</v>
      </c>
      <c r="AC20" s="138">
        <f ca="1">-(Старт!AC70+Старт!AC77+Старт!AC84 + Проект!AC780+Проект!AC795+Проект!AC809+Проект!AC944) / Параметры!AC$64</f>
        <v>-76288.094067796599</v>
      </c>
      <c r="AD20" s="138">
        <f ca="1">-(Старт!AD70+Старт!AD77+Старт!AD84 + Проект!AD780+Проект!AD795+Проект!AD809+Проект!AD944) / Параметры!AD$64</f>
        <v>-76288.094067796599</v>
      </c>
      <c r="AE20" s="138">
        <f ca="1">-(Старт!AE70+Старт!AE77+Старт!AE84 + Проект!AE780+Проект!AE795+Проект!AE809+Проект!AE944) / Параметры!AE$64</f>
        <v>-76288.094067796599</v>
      </c>
      <c r="AF20" s="138">
        <f ca="1">-(Старт!AF70+Старт!AF77+Старт!AF84 + Проект!AF780+Проект!AF795+Проект!AF809+Проект!AF944) / Параметры!AF$64</f>
        <v>-76288.094067796599</v>
      </c>
      <c r="AG20" s="138">
        <f ca="1">-(Старт!AG70+Старт!AG77+Старт!AG84 + Проект!AG780+Проект!AG795+Проект!AG809+Проект!AG944) / Параметры!AG$64</f>
        <v>-76288.094067796599</v>
      </c>
      <c r="AH20" s="138">
        <f ca="1">-(Старт!AH70+Старт!AH77+Старт!AH84 + Проект!AH780+Проект!AH795+Проект!AH809+Проект!AH944) / Параметры!AH$64</f>
        <v>-76288.094067796599</v>
      </c>
      <c r="AI20" s="138">
        <f ca="1">-(Старт!AI70+Старт!AI77+Старт!AI84 + Проект!AI780+Проект!AI795+Проект!AI809+Проект!AI944) / Параметры!AI$64</f>
        <v>-76288.094067796599</v>
      </c>
      <c r="AJ20" s="138">
        <f ca="1">-(Старт!AJ70+Старт!AJ77+Старт!AJ84 + Проект!AJ780+Проект!AJ795+Проект!AJ809+Проект!AJ944) / Параметры!AJ$64</f>
        <v>-76288.094067796599</v>
      </c>
      <c r="AK20" s="138">
        <f ca="1">-(Старт!AK70+Старт!AK77+Старт!AK84 + Проект!AK780+Проект!AK795+Проект!AK809+Проект!AK944) / Параметры!AK$64</f>
        <v>-76288.094067796599</v>
      </c>
      <c r="AL20" s="138">
        <f ca="1">-(Старт!AL70+Старт!AL77+Старт!AL84 + Проект!AL780+Проект!AL795+Проект!AL809+Проект!AL944) / Параметры!AL$64</f>
        <v>-76288.094067796599</v>
      </c>
      <c r="AM20" s="138">
        <f ca="1">-(Старт!AM70+Старт!AM77+Старт!AM84 + Проект!AM780+Проект!AM795+Проект!AM809+Проект!AM944) / Параметры!AM$64</f>
        <v>-76288.094067796599</v>
      </c>
      <c r="AN20" s="138">
        <f ca="1">-(Старт!AN70+Старт!AN77+Старт!AN84 + Проект!AN780+Проект!AN795+Проект!AN809+Проект!AN944) / Параметры!AN$64</f>
        <v>-76288.094067796599</v>
      </c>
      <c r="AO20" s="138">
        <f ca="1">-(Старт!AO70+Старт!AO77+Старт!AO84 + Проект!AO780+Проект!AO795+Проект!AO809+Проект!AO944) / Параметры!AO$64</f>
        <v>-76288.094067796599</v>
      </c>
      <c r="AP20" s="138">
        <f ca="1">-(Старт!AP70+Старт!AP77+Старт!AP84 + Проект!AP780+Проект!AP795+Проект!AP809+Проект!AP944) / Параметры!AP$64</f>
        <v>-76288.094067796599</v>
      </c>
      <c r="AQ20" s="138">
        <f ca="1">-(Старт!AQ70+Старт!AQ77+Старт!AQ84 + Проект!AQ780+Проект!AQ795+Проект!AQ809+Проект!AQ944) / Параметры!AQ$64</f>
        <v>-6993.8440677966109</v>
      </c>
      <c r="AR20" s="138">
        <f ca="1">-(Старт!AR70+Старт!AR77+Старт!AR84 + Проект!AR780+Проект!AR795+Проект!AR809+Проект!AR944) / Параметры!AR$64</f>
        <v>-6993.8440677966109</v>
      </c>
      <c r="AS20" s="138">
        <f ca="1">-(Старт!AS70+Старт!AS77+Старт!AS84 + Проект!AS780+Проект!AS795+Проект!AS809+Проект!AS944) / Параметры!AS$64</f>
        <v>-6993.8440677966109</v>
      </c>
      <c r="AT20" s="138">
        <f ca="1">-(Старт!AT70+Старт!AT77+Старт!AT84 + Проект!AT780+Проект!AT795+Проект!AT809+Проект!AT944) / Параметры!AT$64</f>
        <v>-6993.8440677966109</v>
      </c>
      <c r="AU20" s="138">
        <f ca="1">-(Старт!AU70+Старт!AU77+Старт!AU84 + Проект!AU780+Проект!AU795+Проект!AU809+Проект!AU944) / Параметры!AU$64</f>
        <v>-761.6525423728815</v>
      </c>
      <c r="AV20" s="138">
        <f ca="1">-(Старт!AV70+Старт!AV77+Старт!AV84 + Проект!AV780+Проект!AV795+Проект!AV809+Проект!AV944) / Параметры!AV$64</f>
        <v>-761.6525423728815</v>
      </c>
      <c r="AW20" s="138"/>
      <c r="AX20" s="171">
        <f ca="1">SUM(G20:AW20)</f>
        <v>-2775870.0677966094</v>
      </c>
    </row>
    <row r="21" spans="1:50" x14ac:dyDescent="0.2">
      <c r="A21" s="99" t="str">
        <f ca="1">Language!A1201</f>
        <v>Проценты к уплате</v>
      </c>
      <c r="C21" s="130" t="str">
        <f ca="1">Параметры!$C$64</f>
        <v>тыс. руб.</v>
      </c>
      <c r="D21" s="57"/>
      <c r="E21" s="243" t="s">
        <v>970</v>
      </c>
      <c r="F21" s="57" t="s">
        <v>753</v>
      </c>
      <c r="G21" s="138">
        <f>-(Старт!G116+Проект!G937-Проект!G941) / Параметры!G$64</f>
        <v>-78358.751999999993</v>
      </c>
      <c r="H21" s="138">
        <f>-(Старт!H116+Проект!H937-Проект!H941) / Параметры!H$64</f>
        <v>-83498.7</v>
      </c>
      <c r="I21" s="138">
        <f>-(Старт!I116+Проект!I937-Проект!I941) / Параметры!I$64</f>
        <v>-89123.7</v>
      </c>
      <c r="J21" s="138">
        <f>-(Старт!J116+Проект!J937-Проект!J941) / Параметры!J$64</f>
        <v>-92873.7</v>
      </c>
      <c r="K21" s="138">
        <f>-(Старт!K116+Проект!K937-Проект!K941) / Параметры!K$64</f>
        <v>-92873.7</v>
      </c>
      <c r="L21" s="138">
        <f>-(Старт!L116+Проект!L937-Проект!L941) / Параметры!L$64</f>
        <v>-92873.7</v>
      </c>
      <c r="M21" s="138">
        <f>-(Старт!M116+Проект!M937-Проект!M941) / Параметры!M$64</f>
        <v>-92873.7</v>
      </c>
      <c r="N21" s="138">
        <f>-(Старт!N116+Проект!N937-Проект!N941) / Параметры!N$64</f>
        <v>-92873.7</v>
      </c>
      <c r="O21" s="138">
        <f>-(Старт!O116+Проект!O937-Проект!O941) / Параметры!O$64</f>
        <v>-92873.7</v>
      </c>
      <c r="P21" s="138">
        <f>-(Старт!P116+Проект!P937-Проект!P941) / Параметры!P$64</f>
        <v>-92873.7</v>
      </c>
      <c r="Q21" s="138">
        <f>-(Старт!Q116+Проект!Q937-Проект!Q941) / Параметры!Q$64</f>
        <v>-92873.7</v>
      </c>
      <c r="R21" s="138">
        <f>-(Старт!R116+Проект!R937-Проект!R941) / Параметры!R$64</f>
        <v>-92873.7</v>
      </c>
      <c r="S21" s="138">
        <f>-(Старт!S116+Проект!S937-Проект!S941) / Параметры!S$64</f>
        <v>-92873.7</v>
      </c>
      <c r="T21" s="138">
        <f>-(Старт!T116+Проект!T937-Проект!T941) / Параметры!T$64</f>
        <v>-92873.7</v>
      </c>
      <c r="U21" s="138">
        <f>-(Старт!U116+Проект!U937-Проект!U941) / Параметры!U$64</f>
        <v>-90925.972670843345</v>
      </c>
      <c r="V21" s="138">
        <f>-(Старт!V116+Проект!V937-Проект!V941) / Параметры!V$64</f>
        <v>-87904.031537642775</v>
      </c>
      <c r="W21" s="138">
        <f>-(Старт!W116+Проект!W937-Проект!W941) / Параметры!W$64</f>
        <v>-81507.329734259736</v>
      </c>
      <c r="X21" s="138">
        <f>-(Старт!X116+Проект!X937-Проект!X941) / Параметры!X$64</f>
        <v>-76153.876932454164</v>
      </c>
      <c r="Y21" s="138">
        <f>-(Старт!Y116+Проект!Y937-Проект!Y941) / Параметры!Y$64</f>
        <v>-73792.406964681519</v>
      </c>
      <c r="Z21" s="138">
        <f>-(Старт!Z116+Проект!Z937-Проект!Z941) / Параметры!Z$64</f>
        <v>-70340.814062279576</v>
      </c>
      <c r="AA21" s="138">
        <f>-(Старт!AA116+Проект!AA937-Проект!AA941) / Параметры!AA$64</f>
        <v>-63309.383172896283</v>
      </c>
      <c r="AB21" s="138">
        <f>-(Старт!AB116+Проект!AB937-Проект!AB941) / Параметры!AB$64</f>
        <v>-57381.179811790062</v>
      </c>
      <c r="AC21" s="138">
        <f>-(Старт!AC116+Проект!AC937-Проект!AC941) / Параметры!AC$64</f>
        <v>-54475.256799968745</v>
      </c>
      <c r="AD21" s="138">
        <f>-(Старт!AD116+Проект!AD937-Проект!AD941) / Параметры!AD$64</f>
        <v>-50332.244897342818</v>
      </c>
      <c r="AE21" s="138">
        <f>-(Старт!AE116+Проект!AE937-Проект!AE941) / Параметры!AE$64</f>
        <v>-42385.777619985973</v>
      </c>
      <c r="AF21" s="138">
        <f>-(Старт!AF116+Проект!AF937-Проект!AF941) / Параметры!AF$64</f>
        <v>-35599.753111931474</v>
      </c>
      <c r="AG21" s="138">
        <f>-(Старт!AG116+Проект!AG937-Проект!AG941) / Параметры!AG$64</f>
        <v>-32080.009716452128</v>
      </c>
      <c r="AH21" s="138">
        <f>-(Старт!AH116+Проект!AH937-Проект!AH941) / Параметры!AH$64</f>
        <v>-27310.067962892499</v>
      </c>
      <c r="AI21" s="138">
        <f>-(Старт!AI116+Проект!AI937-Проект!AI941) / Параметры!AI$64</f>
        <v>-18502.88935820261</v>
      </c>
      <c r="AJ21" s="138">
        <f>-(Старт!AJ116+Проект!AJ937-Проект!AJ941) / Параметры!AJ$64</f>
        <v>-10920.123858288463</v>
      </c>
      <c r="AK21" s="138">
        <f>-(Старт!AK116+Проект!AK937-Проект!AK941) / Параметры!AK$64</f>
        <v>-6846.0433318781834</v>
      </c>
      <c r="AL21" s="138">
        <f>-(Старт!AL116+Проект!AL937-Проект!AL941) / Параметры!AL$64</f>
        <v>-1474.7826981396122</v>
      </c>
      <c r="AM21" s="138">
        <f>-(Старт!AM116+Проект!AM937-Проект!AM941) / Параметры!AM$64</f>
        <v>0</v>
      </c>
      <c r="AN21" s="138">
        <f>-(Старт!AN116+Проект!AN937-Проект!AN941) / Параметры!AN$64</f>
        <v>0</v>
      </c>
      <c r="AO21" s="138">
        <f>-(Старт!AO116+Проект!AO937-Проект!AO941) / Параметры!AO$64</f>
        <v>0</v>
      </c>
      <c r="AP21" s="138">
        <f>-(Старт!AP116+Проект!AP937-Проект!AP941) / Параметры!AP$64</f>
        <v>0</v>
      </c>
      <c r="AQ21" s="138">
        <f>-(Старт!AQ116+Проект!AQ937-Проект!AQ941) / Параметры!AQ$64</f>
        <v>0</v>
      </c>
      <c r="AR21" s="138">
        <f>-(Старт!AR116+Проект!AR937-Проект!AR941) / Параметры!AR$64</f>
        <v>0</v>
      </c>
      <c r="AS21" s="138">
        <f>-(Старт!AS116+Проект!AS937-Проект!AS941) / Параметры!AS$64</f>
        <v>0</v>
      </c>
      <c r="AT21" s="138">
        <f>-(Старт!AT116+Проект!AT937-Проект!AT941) / Параметры!AT$64</f>
        <v>0</v>
      </c>
      <c r="AU21" s="138">
        <f>-(Старт!AU116+Проект!AU937-Проект!AU941) / Параметры!AU$64</f>
        <v>0</v>
      </c>
      <c r="AV21" s="138">
        <f>-(Старт!AV116+Проект!AV937-Проект!AV941) / Параметры!AV$64</f>
        <v>0</v>
      </c>
      <c r="AW21" s="138"/>
      <c r="AX21" s="171">
        <f>SUM(G21:AW21)</f>
        <v>-2153833.7962419293</v>
      </c>
    </row>
    <row r="22" spans="1:50" x14ac:dyDescent="0.2">
      <c r="A22" s="65" t="str">
        <f ca="1">Language!A1202</f>
        <v>Прибыль (убыток) от операционной деятельности</v>
      </c>
      <c r="C22" s="130" t="str">
        <f ca="1">Параметры!$C$64</f>
        <v>тыс. руб.</v>
      </c>
      <c r="D22" s="57"/>
      <c r="E22" s="243" t="s">
        <v>971</v>
      </c>
      <c r="F22" s="57" t="s">
        <v>753</v>
      </c>
      <c r="G22" s="138">
        <f ca="1">G17+SUM(G19:G21)</f>
        <v>-31850.292147034081</v>
      </c>
      <c r="H22" s="138">
        <f t="shared" ref="H22:K22" ca="1" si="61">H17+SUM(H19:H21)</f>
        <v>-143776.47469905231</v>
      </c>
      <c r="I22" s="138">
        <f t="shared" ca="1" si="61"/>
        <v>-151276.88544520247</v>
      </c>
      <c r="J22" s="138">
        <f t="shared" ca="1" si="61"/>
        <v>-114457.57621978738</v>
      </c>
      <c r="K22" s="138">
        <f t="shared" ca="1" si="61"/>
        <v>54483.829057691095</v>
      </c>
      <c r="L22" s="138">
        <f t="shared" ref="L22:M22" ca="1" si="62">L17+SUM(L19:L21)</f>
        <v>-91888.557341520936</v>
      </c>
      <c r="M22" s="138">
        <f t="shared" ca="1" si="62"/>
        <v>-113361.17407516619</v>
      </c>
      <c r="N22" s="138">
        <f t="shared" ref="N22:O22" ca="1" si="63">N17+SUM(N19:N21)</f>
        <v>-74072.993984394125</v>
      </c>
      <c r="O22" s="138">
        <f t="shared" ca="1" si="63"/>
        <v>117618.47888039215</v>
      </c>
      <c r="P22" s="138">
        <f t="shared" ref="P22:Q22" ca="1" si="64">P17+SUM(P19:P21)</f>
        <v>-49052.977293246528</v>
      </c>
      <c r="Q22" s="138">
        <f t="shared" ca="1" si="64"/>
        <v>-67363.233059083432</v>
      </c>
      <c r="R22" s="138">
        <f t="shared" ref="R22:S22" ca="1" si="65">R17+SUM(R19:R21)</f>
        <v>-36524.657700067153</v>
      </c>
      <c r="S22" s="138">
        <f t="shared" ca="1" si="65"/>
        <v>155535.06710164453</v>
      </c>
      <c r="T22" s="138">
        <f t="shared" ref="T22:U22" ca="1" si="66">T17+SUM(T19:T21)</f>
        <v>-32603.504167616629</v>
      </c>
      <c r="U22" s="138">
        <f t="shared" ca="1" si="66"/>
        <v>-45983.980712195844</v>
      </c>
      <c r="V22" s="138">
        <f t="shared" ref="V22:W22" ca="1" si="67">V17+SUM(V19:V21)</f>
        <v>-10077.64107497115</v>
      </c>
      <c r="W22" s="138">
        <f t="shared" ca="1" si="67"/>
        <v>200100.74650515831</v>
      </c>
      <c r="X22" s="138">
        <f t="shared" ref="X22:Y22" ca="1" si="68">X17+SUM(X19:X21)</f>
        <v>6228.6022092055064</v>
      </c>
      <c r="Y22" s="138">
        <f t="shared" ca="1" si="68"/>
        <v>-22937.24268610627</v>
      </c>
      <c r="Z22" s="138">
        <f t="shared" ref="Z22:AA22" ca="1" si="69">Z17+SUM(Z19:Z21)</f>
        <v>15351.84691355066</v>
      </c>
      <c r="AA22" s="138">
        <f t="shared" ca="1" si="69"/>
        <v>238371.60603541456</v>
      </c>
      <c r="AB22" s="138">
        <f t="shared" ref="AB22:AC22" ca="1" si="70">AB17+SUM(AB19:AB21)</f>
        <v>33100.12050911301</v>
      </c>
      <c r="AC22" s="138">
        <f t="shared" ca="1" si="70"/>
        <v>10730.944019177143</v>
      </c>
      <c r="AD22" s="138">
        <f t="shared" ref="AD22:AE22" ca="1" si="71">AD17+SUM(AD19:AD21)</f>
        <v>51900.346486589173</v>
      </c>
      <c r="AE22" s="138">
        <f t="shared" ca="1" si="71"/>
        <v>288894.53324391681</v>
      </c>
      <c r="AF22" s="138">
        <f t="shared" ref="AF22:AG22" ca="1" si="72">AF17+SUM(AF19:AF21)</f>
        <v>71910.447812919534</v>
      </c>
      <c r="AG22" s="138">
        <f t="shared" ca="1" si="72"/>
        <v>43571.520466315531</v>
      </c>
      <c r="AH22" s="138">
        <f t="shared" ref="AH22:AI22" ca="1" si="73">AH17+SUM(AH19:AH21)</f>
        <v>87618.133443796338</v>
      </c>
      <c r="AI22" s="138">
        <f t="shared" ca="1" si="73"/>
        <v>339245.01302117191</v>
      </c>
      <c r="AJ22" s="138">
        <f t="shared" ref="AJ22:AK22" ca="1" si="74">AJ17+SUM(AJ19:AJ21)</f>
        <v>109661.00758741364</v>
      </c>
      <c r="AK22" s="138">
        <f t="shared" ca="1" si="74"/>
        <v>76876.145446246708</v>
      </c>
      <c r="AL22" s="138">
        <f t="shared" ref="AL22:AM22" ca="1" si="75">AL17+SUM(AL19:AL21)</f>
        <v>123865.33285965904</v>
      </c>
      <c r="AM22" s="138">
        <f t="shared" ca="1" si="75"/>
        <v>382713.42870513618</v>
      </c>
      <c r="AN22" s="138">
        <f t="shared" ref="AN22:AO22" ca="1" si="76">AN17+SUM(AN19:AN21)</f>
        <v>131300.85316165583</v>
      </c>
      <c r="AO22" s="138">
        <f t="shared" ca="1" si="76"/>
        <v>92869.355770273105</v>
      </c>
      <c r="AP22" s="138">
        <f t="shared" ref="AP22:AQ22" ca="1" si="77">AP17+SUM(AP19:AP21)</f>
        <v>136977.70430149607</v>
      </c>
      <c r="AQ22" s="138">
        <f t="shared" ca="1" si="77"/>
        <v>479080.91474479449</v>
      </c>
      <c r="AR22" s="138">
        <f t="shared" ref="AR22:AS22" ca="1" si="78">AR17+SUM(AR19:AR21)</f>
        <v>212576.73410545813</v>
      </c>
      <c r="AS22" s="138">
        <f t="shared" ca="1" si="78"/>
        <v>145686.83895247991</v>
      </c>
      <c r="AT22" s="138">
        <f t="shared" ref="AT22:AU22" ca="1" si="79">AT17+SUM(AT19:AT21)</f>
        <v>192050.97943010277</v>
      </c>
      <c r="AU22" s="138">
        <f t="shared" ca="1" si="79"/>
        <v>487064.2268566931</v>
      </c>
      <c r="AV22" s="138">
        <f t="shared" ref="AV22" ca="1" si="80">AV17+SUM(AV19:AV21)</f>
        <v>204167.53587886802</v>
      </c>
      <c r="AW22" s="138"/>
      <c r="AX22" s="171">
        <f ca="1">SUM(G22:AW22)</f>
        <v>3504325.1029008883</v>
      </c>
    </row>
    <row r="23" spans="1:50" x14ac:dyDescent="0.2">
      <c r="A23" s="65"/>
      <c r="D23" s="57"/>
      <c r="E23" s="243"/>
      <c r="F23" s="57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71"/>
    </row>
    <row r="24" spans="1:50" x14ac:dyDescent="0.2">
      <c r="A24" s="99" t="str">
        <f ca="1">Language!A1203</f>
        <v>Доходы от реализации внеоборотных активов</v>
      </c>
      <c r="C24" s="130" t="str">
        <f ca="1">Параметры!$C$64</f>
        <v>тыс. руб.</v>
      </c>
      <c r="D24" s="57"/>
      <c r="E24" s="243" t="s">
        <v>972</v>
      </c>
      <c r="F24" s="57" t="s">
        <v>753</v>
      </c>
      <c r="G24" s="138">
        <f>(Проект!G775+Проект!G787+Проект!G802+Проект!G814) / Параметры!G$64</f>
        <v>0</v>
      </c>
      <c r="H24" s="138">
        <f>(Проект!H775+Проект!H787+Проект!H802+Проект!H814) / Параметры!H$64</f>
        <v>0</v>
      </c>
      <c r="I24" s="138">
        <f>(Проект!I775+Проект!I787+Проект!I802+Проект!I814) / Параметры!I$64</f>
        <v>0</v>
      </c>
      <c r="J24" s="138">
        <f>(Проект!J775+Проект!J787+Проект!J802+Проект!J814) / Параметры!J$64</f>
        <v>0</v>
      </c>
      <c r="K24" s="138">
        <f>(Проект!K775+Проект!K787+Проект!K802+Проект!K814) / Параметры!K$64</f>
        <v>0</v>
      </c>
      <c r="L24" s="138">
        <f>(Проект!L775+Проект!L787+Проект!L802+Проект!L814) / Параметры!L$64</f>
        <v>0</v>
      </c>
      <c r="M24" s="138">
        <f>(Проект!M775+Проект!M787+Проект!M802+Проект!M814) / Параметры!M$64</f>
        <v>0</v>
      </c>
      <c r="N24" s="138">
        <f>(Проект!N775+Проект!N787+Проект!N802+Проект!N814) / Параметры!N$64</f>
        <v>0</v>
      </c>
      <c r="O24" s="138">
        <f>(Проект!O775+Проект!O787+Проект!O802+Проект!O814) / Параметры!O$64</f>
        <v>0</v>
      </c>
      <c r="P24" s="138">
        <f>(Проект!P775+Проект!P787+Проект!P802+Проект!P814) / Параметры!P$64</f>
        <v>0</v>
      </c>
      <c r="Q24" s="138">
        <f>(Проект!Q775+Проект!Q787+Проект!Q802+Проект!Q814) / Параметры!Q$64</f>
        <v>0</v>
      </c>
      <c r="R24" s="138">
        <f>(Проект!R775+Проект!R787+Проект!R802+Проект!R814) / Параметры!R$64</f>
        <v>0</v>
      </c>
      <c r="S24" s="138">
        <f>(Проект!S775+Проект!S787+Проект!S802+Проект!S814) / Параметры!S$64</f>
        <v>0</v>
      </c>
      <c r="T24" s="138">
        <f>(Проект!T775+Проект!T787+Проект!T802+Проект!T814) / Параметры!T$64</f>
        <v>0</v>
      </c>
      <c r="U24" s="138">
        <f>(Проект!U775+Проект!U787+Проект!U802+Проект!U814) / Параметры!U$64</f>
        <v>0</v>
      </c>
      <c r="V24" s="138">
        <f>(Проект!V775+Проект!V787+Проект!V802+Проект!V814) / Параметры!V$64</f>
        <v>0</v>
      </c>
      <c r="W24" s="138">
        <f>(Проект!W775+Проект!W787+Проект!W802+Проект!W814) / Параметры!W$64</f>
        <v>0</v>
      </c>
      <c r="X24" s="138">
        <f>(Проект!X775+Проект!X787+Проект!X802+Проект!X814) / Параметры!X$64</f>
        <v>0</v>
      </c>
      <c r="Y24" s="138">
        <f>(Проект!Y775+Проект!Y787+Проект!Y802+Проект!Y814) / Параметры!Y$64</f>
        <v>0</v>
      </c>
      <c r="Z24" s="138">
        <f>(Проект!Z775+Проект!Z787+Проект!Z802+Проект!Z814) / Параметры!Z$64</f>
        <v>0</v>
      </c>
      <c r="AA24" s="138">
        <f>(Проект!AA775+Проект!AA787+Проект!AA802+Проект!AA814) / Параметры!AA$64</f>
        <v>0</v>
      </c>
      <c r="AB24" s="138">
        <f>(Проект!AB775+Проект!AB787+Проект!AB802+Проект!AB814) / Параметры!AB$64</f>
        <v>0</v>
      </c>
      <c r="AC24" s="138">
        <f>(Проект!AC775+Проект!AC787+Проект!AC802+Проект!AC814) / Параметры!AC$64</f>
        <v>0</v>
      </c>
      <c r="AD24" s="138">
        <f>(Проект!AD775+Проект!AD787+Проект!AD802+Проект!AD814) / Параметры!AD$64</f>
        <v>0</v>
      </c>
      <c r="AE24" s="138">
        <f>(Проект!AE775+Проект!AE787+Проект!AE802+Проект!AE814) / Параметры!AE$64</f>
        <v>0</v>
      </c>
      <c r="AF24" s="138">
        <f>(Проект!AF775+Проект!AF787+Проект!AF802+Проект!AF814) / Параметры!AF$64</f>
        <v>0</v>
      </c>
      <c r="AG24" s="138">
        <f>(Проект!AG775+Проект!AG787+Проект!AG802+Проект!AG814) / Параметры!AG$64</f>
        <v>0</v>
      </c>
      <c r="AH24" s="138">
        <f>(Проект!AH775+Проект!AH787+Проект!AH802+Проект!AH814) / Параметры!AH$64</f>
        <v>0</v>
      </c>
      <c r="AI24" s="138">
        <f>(Проект!AI775+Проект!AI787+Проект!AI802+Проект!AI814) / Параметры!AI$64</f>
        <v>0</v>
      </c>
      <c r="AJ24" s="138">
        <f>(Проект!AJ775+Проект!AJ787+Проект!AJ802+Проект!AJ814) / Параметры!AJ$64</f>
        <v>0</v>
      </c>
      <c r="AK24" s="138">
        <f>(Проект!AK775+Проект!AK787+Проект!AK802+Проект!AK814) / Параметры!AK$64</f>
        <v>0</v>
      </c>
      <c r="AL24" s="138">
        <f>(Проект!AL775+Проект!AL787+Проект!AL802+Проект!AL814) / Параметры!AL$64</f>
        <v>0</v>
      </c>
      <c r="AM24" s="138">
        <f>(Проект!AM775+Проект!AM787+Проект!AM802+Проект!AM814) / Параметры!AM$64</f>
        <v>0</v>
      </c>
      <c r="AN24" s="138">
        <f>(Проект!AN775+Проект!AN787+Проект!AN802+Проект!AN814) / Параметры!AN$64</f>
        <v>0</v>
      </c>
      <c r="AO24" s="138">
        <f>(Проект!AO775+Проект!AO787+Проект!AO802+Проект!AO814) / Параметры!AO$64</f>
        <v>0</v>
      </c>
      <c r="AP24" s="138">
        <f>(Проект!AP775+Проект!AP787+Проект!AP802+Проект!AP814) / Параметры!AP$64</f>
        <v>0</v>
      </c>
      <c r="AQ24" s="138">
        <f>(Проект!AQ775+Проект!AQ787+Проект!AQ802+Проект!AQ814) / Параметры!AQ$64</f>
        <v>0</v>
      </c>
      <c r="AR24" s="138">
        <f>(Проект!AR775+Проект!AR787+Проект!AR802+Проект!AR814) / Параметры!AR$64</f>
        <v>0</v>
      </c>
      <c r="AS24" s="138">
        <f>(Проект!AS775+Проект!AS787+Проект!AS802+Проект!AS814) / Параметры!AS$64</f>
        <v>0</v>
      </c>
      <c r="AT24" s="138">
        <f>(Проект!AT775+Проект!AT787+Проект!AT802+Проект!AT814) / Параметры!AT$64</f>
        <v>0</v>
      </c>
      <c r="AU24" s="138">
        <f>(Проект!AU775+Проект!AU787+Проект!AU802+Проект!AU814) / Параметры!AU$64</f>
        <v>0</v>
      </c>
      <c r="AV24" s="138">
        <f>(Проект!AV775+Проект!AV787+Проект!AV802+Проект!AV814) / Параметры!AV$64</f>
        <v>0</v>
      </c>
      <c r="AW24" s="138"/>
      <c r="AX24" s="171">
        <f t="shared" ref="AX24:AX30" si="81">SUM(G24:AW24)</f>
        <v>0</v>
      </c>
    </row>
    <row r="25" spans="1:50" x14ac:dyDescent="0.2">
      <c r="A25" s="99" t="str">
        <f ca="1">Language!A1204</f>
        <v>Курсовые разницы</v>
      </c>
      <c r="C25" s="130" t="str">
        <f ca="1">Параметры!$C$64</f>
        <v>тыс. руб.</v>
      </c>
      <c r="D25" s="57"/>
      <c r="E25" s="243" t="s">
        <v>973</v>
      </c>
      <c r="F25" s="57" t="s">
        <v>753</v>
      </c>
      <c r="G25" s="138">
        <f>(Старт!G122+Проект!G328+Проект!G460+Проект!G850+Проект!G858+Проект!G945+Проект!G822)  / Параметры!G$64</f>
        <v>0</v>
      </c>
      <c r="H25" s="138">
        <f ca="1">(Старт!H122+Проект!H328+Проект!H460+Проект!H850+Проект!H858+Проект!H945+Проект!H822)  / Параметры!H$64</f>
        <v>1.2369127944111824E-10</v>
      </c>
      <c r="I25" s="138">
        <f ca="1">(Старт!I122+Проект!I328+Проект!I460+Проект!I850+Проект!I858+Проект!I945+Проект!I822)  / Параметры!I$64</f>
        <v>-2.1827872842550278E-11</v>
      </c>
      <c r="J25" s="138">
        <f ca="1">(Старт!J122+Проект!J328+Проект!J460+Проект!J850+Проект!J858+Проект!J945+Проект!J822)  / Параметры!J$64</f>
        <v>8.7311491370201111E-11</v>
      </c>
      <c r="K25" s="138">
        <f ca="1">(Старт!K122+Проект!K328+Проект!K460+Проект!K850+Проект!K858+Проект!K945+Проект!K822)  / Параметры!K$64</f>
        <v>2.0372681319713593E-10</v>
      </c>
      <c r="L25" s="138">
        <f ca="1">(Старт!L122+Проект!L328+Проект!L460+Проект!L850+Проект!L858+Проект!L945+Проект!L822)  / Параметры!L$64</f>
        <v>0</v>
      </c>
      <c r="M25" s="138">
        <f ca="1">(Старт!M122+Проект!M328+Проект!M460+Проект!M850+Проект!M858+Проект!M945+Проект!M822)  / Параметры!M$64</f>
        <v>-3.7834979593753815E-10</v>
      </c>
      <c r="N25" s="138">
        <f ca="1">(Старт!N122+Проект!N328+Проект!N460+Проект!N850+Проект!N858+Проект!N945+Проект!N822)  / Параметры!N$64</f>
        <v>-4.3655745685100555E-11</v>
      </c>
      <c r="O25" s="138">
        <f ca="1">(Старт!O122+Проект!O328+Проект!O460+Проект!O850+Проект!O858+Проект!O945+Проект!O822)  / Параметры!O$64</f>
        <v>2.4738255888223648E-10</v>
      </c>
      <c r="P25" s="138">
        <f ca="1">(Старт!P122+Проект!P328+Проект!P460+Проект!P850+Проект!P858+Проект!P945+Проект!P822)  / Параметры!P$64</f>
        <v>5.8207660913467407E-11</v>
      </c>
      <c r="Q25" s="138">
        <f ca="1">(Старт!Q122+Проект!Q328+Проект!Q460+Проект!Q850+Проект!Q858+Проект!Q945+Проект!Q822)  / Параметры!Q$64</f>
        <v>-4.9476511776447296E-10</v>
      </c>
      <c r="R25" s="138">
        <f ca="1">(Старт!R122+Проект!R328+Проект!R460+Проект!R850+Проект!R858+Проект!R945+Проект!R822)  / Параметры!R$64</f>
        <v>2.0372681319713593E-10</v>
      </c>
      <c r="S25" s="138">
        <f ca="1">(Старт!S122+Проект!S328+Проект!S460+Проект!S850+Проект!S858+Проект!S945+Проект!S822)  / Параметры!S$64</f>
        <v>6.9849193096160889E-10</v>
      </c>
      <c r="T25" s="138">
        <f ca="1">(Старт!T122+Проект!T328+Проект!T460+Проект!T850+Проект!T858+Проект!T945+Проект!T822)  / Параметры!T$64</f>
        <v>1.1350493878126144E-9</v>
      </c>
      <c r="U25" s="138">
        <f ca="1">(Старт!U122+Проект!U328+Проект!U460+Проект!U850+Проект!U858+Проект!U945+Проект!U822)  / Параметры!U$64</f>
        <v>-3.2014213502407074E-10</v>
      </c>
      <c r="V25" s="138">
        <f ca="1">(Старт!V122+Проект!V328+Проект!V460+Проект!V850+Проект!V858+Проект!V945+Проект!V822)  / Параметры!V$64</f>
        <v>-1.4551915228366852E-10</v>
      </c>
      <c r="W25" s="138">
        <f ca="1">(Старт!W122+Проект!W328+Проект!W460+Проект!W850+Проект!W858+Проект!W945+Проект!W822)  / Параметры!W$64</f>
        <v>-6.4028427004814148E-10</v>
      </c>
      <c r="X25" s="138">
        <f ca="1">(Старт!X122+Проект!X328+Проект!X460+Проект!X850+Проект!X858+Проект!X945+Проект!X822)  / Параметры!X$64</f>
        <v>-8.149072527885437E-10</v>
      </c>
      <c r="Y25" s="138">
        <f ca="1">(Старт!Y122+Проект!Y328+Проект!Y460+Проект!Y850+Проект!Y858+Проект!Y945+Проект!Y822)  / Параметры!Y$64</f>
        <v>-4.9476511776447296E-10</v>
      </c>
      <c r="Z25" s="138">
        <f ca="1">(Старт!Z122+Проект!Z328+Проект!Z460+Проект!Z850+Проект!Z858+Проект!Z945+Проект!Z822)  / Параметры!Z$64</f>
        <v>1.4260876923799515E-9</v>
      </c>
      <c r="AA25" s="138">
        <f ca="1">(Старт!AA122+Проект!AA328+Проект!AA460+Проект!AA850+Проект!AA858+Проект!AA945+Проект!AA822)  / Параметры!AA$64</f>
        <v>9.3132257461547852E-10</v>
      </c>
      <c r="AB25" s="138">
        <f ca="1">(Старт!AB122+Проект!AB328+Проект!AB460+Проект!AB850+Проект!AB858+Проект!AB945+Проект!AB822)  / Параметры!AB$64</f>
        <v>-2.0372681319713593E-10</v>
      </c>
      <c r="AC25" s="138">
        <f ca="1">(Старт!AC122+Проект!AC328+Проект!AC460+Проект!AC850+Проект!AC858+Проект!AC945+Проект!AC822)  / Параметры!AC$64</f>
        <v>1.7462298274040222E-9</v>
      </c>
      <c r="AD25" s="138">
        <f ca="1">(Старт!AD122+Проект!AD328+Проект!AD460+Проект!AD850+Проект!AD858+Проект!AD945+Проект!AD822)  / Параметры!AD$64</f>
        <v>2.3283064365386963E-10</v>
      </c>
      <c r="AE25" s="138">
        <f ca="1">(Старт!AE122+Проект!AE328+Проект!AE460+Проект!AE850+Проект!AE858+Проект!AE945+Проект!AE822)  / Параметры!AE$64</f>
        <v>7.8580342233181E-10</v>
      </c>
      <c r="AF25" s="138">
        <f ca="1">(Старт!AF122+Проект!AF328+Проект!AF460+Проект!AF850+Проект!AF858+Проект!AF945+Проект!AF822)  / Параметры!AF$64</f>
        <v>-1.4551915228366852E-10</v>
      </c>
      <c r="AG25" s="138">
        <f ca="1">(Старт!AG122+Проект!AG328+Проект!AG460+Проект!AG850+Проект!AG858+Проект!AG945+Проект!AG822)  / Параметры!AG$64</f>
        <v>2.0372681319713593E-10</v>
      </c>
      <c r="AH25" s="138">
        <f ca="1">(Старт!AH122+Проект!AH328+Проект!AH460+Проект!AH850+Проект!AH858+Проект!AH945+Проект!AH822)  / Параметры!AH$64</f>
        <v>1.3969838619232178E-9</v>
      </c>
      <c r="AI25" s="138">
        <f ca="1">(Старт!AI122+Проект!AI328+Проект!AI460+Проект!AI850+Проект!AI858+Проект!AI945+Проект!AI822)  / Параметры!AI$64</f>
        <v>-8.149072527885437E-10</v>
      </c>
      <c r="AJ25" s="138">
        <f ca="1">(Старт!AJ122+Проект!AJ328+Проект!AJ460+Проект!AJ850+Проект!AJ858+Проект!AJ945+Проект!AJ822)  / Параметры!AJ$64</f>
        <v>-1.2223608791828156E-9</v>
      </c>
      <c r="AK25" s="138">
        <f ca="1">(Старт!AK122+Проект!AK328+Проект!AK460+Проект!AK850+Проект!AK858+Проект!AK945+Проект!AK822)  / Параметры!AK$64</f>
        <v>1.4551915228366852E-10</v>
      </c>
      <c r="AL25" s="138">
        <f ca="1">(Старт!AL122+Проект!AL328+Проект!AL460+Проект!AL850+Проект!AL858+Проект!AL945+Проект!AL822)  / Параметры!AL$64</f>
        <v>-1.3096723705530167E-9</v>
      </c>
      <c r="AM25" s="138">
        <f ca="1">(Старт!AM122+Проект!AM328+Проект!AM460+Проект!AM850+Проект!AM858+Проект!AM945+Проект!AM822)  / Параметры!AM$64</f>
        <v>-1.6880221664905548E-9</v>
      </c>
      <c r="AN25" s="138">
        <f ca="1">(Старт!AN122+Проект!AN328+Проект!AN460+Проект!AN850+Проект!AN858+Проект!AN945+Проект!AN822)  / Параметры!AN$64</f>
        <v>9.0221874415874481E-10</v>
      </c>
      <c r="AO25" s="138">
        <f ca="1">(Старт!AO122+Проект!AO328+Проект!AO460+Проект!AO850+Проект!AO858+Проект!AO945+Проект!AO822)  / Параметры!AO$64</f>
        <v>-8.7311491370201111E-10</v>
      </c>
      <c r="AP25" s="138">
        <f ca="1">(Старт!AP122+Проект!AP328+Проект!AP460+Проект!AP850+Проект!AP858+Проект!AP945+Проект!AP822)  / Параметры!AP$64</f>
        <v>4.9476511776447296E-10</v>
      </c>
      <c r="AQ25" s="138">
        <f ca="1">(Старт!AQ122+Проект!AQ328+Проект!AQ460+Проект!AQ850+Проект!AQ858+Проект!AQ945+Проект!AQ822)  / Параметры!AQ$64</f>
        <v>2.3283064365386963E-10</v>
      </c>
      <c r="AR25" s="138">
        <f ca="1">(Старт!AR122+Проект!AR328+Проект!AR460+Проект!AR850+Проект!AR858+Проект!AR945+Проект!AR822)  / Параметры!AR$64</f>
        <v>-3.4924596548080444E-9</v>
      </c>
      <c r="AS25" s="138">
        <f ca="1">(Старт!AS122+Проект!AS328+Проект!AS460+Проект!AS850+Проект!AS858+Проект!AS945+Проект!AS822)  / Параметры!AS$64</f>
        <v>-1.6589183360338211E-9</v>
      </c>
      <c r="AT25" s="138">
        <f ca="1">(Старт!AT122+Проект!AT328+Проект!AT460+Проект!AT850+Проект!AT858+Проект!AT945+Проект!AT822)  / Параметры!AT$64</f>
        <v>1.1350493878126144E-9</v>
      </c>
      <c r="AU25" s="138">
        <f ca="1">(Старт!AU122+Проект!AU328+Проект!AU460+Проект!AU850+Проект!AU858+Проект!AU945+Проект!AU822)  / Параметры!AU$64</f>
        <v>-6.4028427004814148E-10</v>
      </c>
      <c r="AV25" s="138">
        <f ca="1">(Старт!AV122+Проект!AV328+Проект!AV460+Проект!AV850+Проект!AV858+Проект!AV945+Проект!AV822)  / Параметры!AV$64</f>
        <v>1.1059455573558807E-9</v>
      </c>
      <c r="AW25" s="138"/>
      <c r="AX25" s="171">
        <f t="shared" ca="1" si="81"/>
        <v>-1.9063008949160576E-9</v>
      </c>
    </row>
    <row r="26" spans="1:50" x14ac:dyDescent="0.2">
      <c r="A26" s="99" t="str">
        <f ca="1">Language!A1205</f>
        <v>Прочие доходы</v>
      </c>
      <c r="C26" s="130" t="str">
        <f ca="1">Параметры!$C$64</f>
        <v>тыс. руб.</v>
      </c>
      <c r="D26" s="57"/>
      <c r="E26" s="243" t="s">
        <v>974</v>
      </c>
      <c r="F26" s="57" t="s">
        <v>753</v>
      </c>
      <c r="G26" s="138">
        <f>(Проект!G846+Проект!G854+Проект!G872) / Параметры!G$64</f>
        <v>76182.12000000001</v>
      </c>
      <c r="H26" s="138">
        <f>(Проект!H846+Проект!H854+Проект!H872) / Параметры!H$64</f>
        <v>77932.12000000001</v>
      </c>
      <c r="I26" s="138">
        <f>(Проект!I846+Проект!I854+Проект!I872) / Параметры!I$64</f>
        <v>83182.12000000001</v>
      </c>
      <c r="J26" s="138">
        <f>(Проект!J846+Проект!J854+Проект!J872) / Параметры!J$64</f>
        <v>86682.12000000001</v>
      </c>
      <c r="K26" s="138">
        <f>(Проект!K846+Проект!K854+Проект!K872) / Параметры!K$64</f>
        <v>86682.12000000001</v>
      </c>
      <c r="L26" s="138">
        <f>(Проект!L846+Проект!L854+Проект!L872) / Параметры!L$64</f>
        <v>86682.12000000001</v>
      </c>
      <c r="M26" s="138">
        <f>(Проект!M846+Проект!M854+Проект!M872) / Параметры!M$64</f>
        <v>86682.12000000001</v>
      </c>
      <c r="N26" s="138">
        <f>(Проект!N846+Проект!N854+Проект!N872) / Параметры!N$64</f>
        <v>86682.12000000001</v>
      </c>
      <c r="O26" s="138">
        <f>(Проект!O846+Проект!O854+Проект!O872) / Параметры!O$64</f>
        <v>86682.12000000001</v>
      </c>
      <c r="P26" s="138">
        <f>(Проект!P846+Проект!P854+Проект!P872) / Параметры!P$64</f>
        <v>86682.12000000001</v>
      </c>
      <c r="Q26" s="138">
        <f>(Проект!Q846+Проект!Q854+Проект!Q872) / Параметры!Q$64</f>
        <v>86682.12000000001</v>
      </c>
      <c r="R26" s="138">
        <f>(Проект!R846+Проект!R854+Проект!R872) / Параметры!R$64</f>
        <v>86682.12000000001</v>
      </c>
      <c r="S26" s="138">
        <f>(Проект!S846+Проект!S854+Проект!S872) / Параметры!S$64</f>
        <v>86682.12000000001</v>
      </c>
      <c r="T26" s="138">
        <f>(Проект!T846+Проект!T854+Проект!T872) / Параметры!T$64</f>
        <v>86682.12000000001</v>
      </c>
      <c r="U26" s="138">
        <f>(Проект!U846+Проект!U854+Проект!U872) / Параметры!U$64</f>
        <v>84864.241159453813</v>
      </c>
      <c r="V26" s="138">
        <f>(Проект!V846+Проект!V854+Проект!V872) / Параметры!V$64</f>
        <v>82043.762768466608</v>
      </c>
      <c r="W26" s="138">
        <f>(Проект!W846+Проект!W854+Проект!W872) / Параметры!W$64</f>
        <v>76073.507751975776</v>
      </c>
      <c r="X26" s="138">
        <f>(Проект!X846+Проект!X854+Проект!X872) / Параметры!X$64</f>
        <v>71076.951803623902</v>
      </c>
      <c r="Y26" s="138">
        <f>(Проект!Y846+Проект!Y854+Проект!Y872) / Параметры!Y$64</f>
        <v>68872.913167036109</v>
      </c>
      <c r="Z26" s="138">
        <f>(Проект!Z846+Проект!Z854+Проект!Z872) / Параметры!Z$64</f>
        <v>65651.426458127622</v>
      </c>
      <c r="AA26" s="138">
        <f>(Проект!AA846+Проект!AA854+Проект!AA872) / Параметры!AA$64</f>
        <v>59088.757628036532</v>
      </c>
      <c r="AB26" s="138">
        <f>(Проект!AB846+Проект!AB854+Проект!AB872) / Параметры!AB$64</f>
        <v>53555.767824337403</v>
      </c>
      <c r="AC26" s="138">
        <f>(Проект!AC846+Проект!AC854+Проект!AC872) / Параметры!AC$64</f>
        <v>50843.573013304165</v>
      </c>
      <c r="AD26" s="138">
        <f>(Проект!AD846+Проект!AD854+Проект!AD872) / Параметры!AD$64</f>
        <v>46976.761904186642</v>
      </c>
      <c r="AE26" s="138">
        <f>(Проект!AE846+Проект!AE854+Проект!AE872) / Параметры!AE$64</f>
        <v>39560.059111986913</v>
      </c>
      <c r="AF26" s="138">
        <f>(Проект!AF846+Проект!AF854+Проект!AF872) / Параметры!AF$64</f>
        <v>33226.436237802714</v>
      </c>
      <c r="AG26" s="138">
        <f>(Проект!AG846+Проект!AG854+Проект!AG872) / Параметры!AG$64</f>
        <v>29941.342402021986</v>
      </c>
      <c r="AH26" s="138">
        <f>(Проект!AH846+Проект!AH854+Проект!AH872) / Параметры!AH$64</f>
        <v>25489.396765366339</v>
      </c>
      <c r="AI26" s="138">
        <f>(Проект!AI846+Проект!AI854+Проект!AI872) / Параметры!AI$64</f>
        <v>17269.363400989107</v>
      </c>
      <c r="AJ26" s="138">
        <f>(Проект!AJ846+Проект!AJ854+Проект!AJ872) / Параметры!AJ$64</f>
        <v>10192.115601069234</v>
      </c>
      <c r="AK26" s="138">
        <f>(Проект!AK846+Проект!AK854+Проект!AK872) / Параметры!AK$64</f>
        <v>6389.6404430863058</v>
      </c>
      <c r="AL26" s="138">
        <f>(Проект!AL846+Проект!AL854+Проект!AL872) / Параметры!AL$64</f>
        <v>1376.4638515969716</v>
      </c>
      <c r="AM26" s="138">
        <f>(Проект!AM846+Проект!AM854+Проект!AM872) / Параметры!AM$64</f>
        <v>0</v>
      </c>
      <c r="AN26" s="138">
        <f>(Проект!AN846+Проект!AN854+Проект!AN872) / Параметры!AN$64</f>
        <v>0</v>
      </c>
      <c r="AO26" s="138">
        <f>(Проект!AO846+Проект!AO854+Проект!AO872) / Параметры!AO$64</f>
        <v>0</v>
      </c>
      <c r="AP26" s="138">
        <f>(Проект!AP846+Проект!AP854+Проект!AP872) / Параметры!AP$64</f>
        <v>0</v>
      </c>
      <c r="AQ26" s="138">
        <f>(Проект!AQ846+Проект!AQ854+Проект!AQ872) / Параметры!AQ$64</f>
        <v>0</v>
      </c>
      <c r="AR26" s="138">
        <f>(Проект!AR846+Проект!AR854+Проект!AR872) / Параметры!AR$64</f>
        <v>0</v>
      </c>
      <c r="AS26" s="138">
        <f>(Проект!AS846+Проект!AS854+Проект!AS872) / Параметры!AS$64</f>
        <v>0</v>
      </c>
      <c r="AT26" s="138">
        <f>(Проект!AT846+Проект!AT854+Проект!AT872) / Параметры!AT$64</f>
        <v>0</v>
      </c>
      <c r="AU26" s="138">
        <f>(Проект!AU846+Проект!AU854+Проект!AU872) / Параметры!AU$64</f>
        <v>0</v>
      </c>
      <c r="AV26" s="138">
        <f>(Проект!AV846+Проект!AV854+Проект!AV872) / Параметры!AV$64</f>
        <v>0</v>
      </c>
      <c r="AW26" s="138"/>
      <c r="AX26" s="171">
        <f t="shared" si="81"/>
        <v>2013292.1612924687</v>
      </c>
    </row>
    <row r="27" spans="1:50" x14ac:dyDescent="0.2">
      <c r="A27" s="99" t="str">
        <f ca="1">Language!A1206</f>
        <v>Прочие расходы</v>
      </c>
      <c r="C27" s="130" t="str">
        <f ca="1">Параметры!$C$64</f>
        <v>тыс. руб.</v>
      </c>
      <c r="D27" s="57"/>
      <c r="E27" s="243" t="s">
        <v>975</v>
      </c>
      <c r="F27" s="57" t="s">
        <v>753</v>
      </c>
      <c r="G27" s="138">
        <f>-Проект!G875 / Параметры!G$64</f>
        <v>0</v>
      </c>
      <c r="H27" s="138">
        <f>-Проект!H875 / Параметры!H$64</f>
        <v>0</v>
      </c>
      <c r="I27" s="138">
        <f>-Проект!I875 / Параметры!I$64</f>
        <v>0</v>
      </c>
      <c r="J27" s="138">
        <f>-Проект!J875 / Параметры!J$64</f>
        <v>0</v>
      </c>
      <c r="K27" s="138">
        <f>-Проект!K875 / Параметры!K$64</f>
        <v>0</v>
      </c>
      <c r="L27" s="138">
        <f>-Проект!L875 / Параметры!L$64</f>
        <v>0</v>
      </c>
      <c r="M27" s="138">
        <f>-Проект!M875 / Параметры!M$64</f>
        <v>0</v>
      </c>
      <c r="N27" s="138">
        <f>-Проект!N875 / Параметры!N$64</f>
        <v>0</v>
      </c>
      <c r="O27" s="138">
        <f>-Проект!O875 / Параметры!O$64</f>
        <v>0</v>
      </c>
      <c r="P27" s="138">
        <f>-Проект!P875 / Параметры!P$64</f>
        <v>0</v>
      </c>
      <c r="Q27" s="138">
        <f>-Проект!Q875 / Параметры!Q$64</f>
        <v>0</v>
      </c>
      <c r="R27" s="138">
        <f>-Проект!R875 / Параметры!R$64</f>
        <v>0</v>
      </c>
      <c r="S27" s="138">
        <f>-Проект!S875 / Параметры!S$64</f>
        <v>0</v>
      </c>
      <c r="T27" s="138">
        <f>-Проект!T875 / Параметры!T$64</f>
        <v>0</v>
      </c>
      <c r="U27" s="138">
        <f>-Проект!U875 / Параметры!U$64</f>
        <v>0</v>
      </c>
      <c r="V27" s="138">
        <f>-Проект!V875 / Параметры!V$64</f>
        <v>0</v>
      </c>
      <c r="W27" s="138">
        <f>-Проект!W875 / Параметры!W$64</f>
        <v>0</v>
      </c>
      <c r="X27" s="138">
        <f>-Проект!X875 / Параметры!X$64</f>
        <v>0</v>
      </c>
      <c r="Y27" s="138">
        <f>-Проект!Y875 / Параметры!Y$64</f>
        <v>0</v>
      </c>
      <c r="Z27" s="138">
        <f>-Проект!Z875 / Параметры!Z$64</f>
        <v>0</v>
      </c>
      <c r="AA27" s="138">
        <f>-Проект!AA875 / Параметры!AA$64</f>
        <v>0</v>
      </c>
      <c r="AB27" s="138">
        <f>-Проект!AB875 / Параметры!AB$64</f>
        <v>0</v>
      </c>
      <c r="AC27" s="138">
        <f>-Проект!AC875 / Параметры!AC$64</f>
        <v>0</v>
      </c>
      <c r="AD27" s="138">
        <f>-Проект!AD875 / Параметры!AD$64</f>
        <v>0</v>
      </c>
      <c r="AE27" s="138">
        <f>-Проект!AE875 / Параметры!AE$64</f>
        <v>0</v>
      </c>
      <c r="AF27" s="138">
        <f>-Проект!AF875 / Параметры!AF$64</f>
        <v>0</v>
      </c>
      <c r="AG27" s="138">
        <f>-Проект!AG875 / Параметры!AG$64</f>
        <v>0</v>
      </c>
      <c r="AH27" s="138">
        <f>-Проект!AH875 / Параметры!AH$64</f>
        <v>0</v>
      </c>
      <c r="AI27" s="138">
        <f>-Проект!AI875 / Параметры!AI$64</f>
        <v>0</v>
      </c>
      <c r="AJ27" s="138">
        <f>-Проект!AJ875 / Параметры!AJ$64</f>
        <v>0</v>
      </c>
      <c r="AK27" s="138">
        <f>-Проект!AK875 / Параметры!AK$64</f>
        <v>0</v>
      </c>
      <c r="AL27" s="138">
        <f>-Проект!AL875 / Параметры!AL$64</f>
        <v>0</v>
      </c>
      <c r="AM27" s="138">
        <f>-Проект!AM875 / Параметры!AM$64</f>
        <v>0</v>
      </c>
      <c r="AN27" s="138">
        <f>-Проект!AN875 / Параметры!AN$64</f>
        <v>0</v>
      </c>
      <c r="AO27" s="138">
        <f>-Проект!AO875 / Параметры!AO$64</f>
        <v>0</v>
      </c>
      <c r="AP27" s="138">
        <f>-Проект!AP875 / Параметры!AP$64</f>
        <v>0</v>
      </c>
      <c r="AQ27" s="138">
        <f>-Проект!AQ875 / Параметры!AQ$64</f>
        <v>0</v>
      </c>
      <c r="AR27" s="138">
        <f>-Проект!AR875 / Параметры!AR$64</f>
        <v>0</v>
      </c>
      <c r="AS27" s="138">
        <f>-Проект!AS875 / Параметры!AS$64</f>
        <v>0</v>
      </c>
      <c r="AT27" s="138">
        <f>-Проект!AT875 / Параметры!AT$64</f>
        <v>0</v>
      </c>
      <c r="AU27" s="138">
        <f>-Проект!AU875 / Параметры!AU$64</f>
        <v>0</v>
      </c>
      <c r="AV27" s="138">
        <f>-Проект!AV875 / Параметры!AV$64</f>
        <v>0</v>
      </c>
      <c r="AW27" s="138"/>
      <c r="AX27" s="171">
        <f t="shared" si="81"/>
        <v>0</v>
      </c>
    </row>
    <row r="28" spans="1:50" x14ac:dyDescent="0.2">
      <c r="A28" s="65" t="str">
        <f ca="1">Language!A1207</f>
        <v>Прибыль до налогообложения</v>
      </c>
      <c r="C28" s="130" t="str">
        <f ca="1">Параметры!$C$64</f>
        <v>тыс. руб.</v>
      </c>
      <c r="D28" s="57"/>
      <c r="E28" s="243" t="s">
        <v>976</v>
      </c>
      <c r="F28" s="57" t="s">
        <v>753</v>
      </c>
      <c r="G28" s="138">
        <f ca="1">G22+SUM(G24:G27)</f>
        <v>44331.827852965929</v>
      </c>
      <c r="H28" s="138">
        <f t="shared" ref="H28:I28" ca="1" si="82">H22+SUM(H24:H27)</f>
        <v>-65844.354699052172</v>
      </c>
      <c r="I28" s="138">
        <f t="shared" ca="1" si="82"/>
        <v>-68094.765445202473</v>
      </c>
      <c r="J28" s="138">
        <f t="shared" ref="J28:K28" ca="1" si="83">J22+SUM(J24:J27)</f>
        <v>-27775.456219787287</v>
      </c>
      <c r="K28" s="138">
        <f t="shared" ca="1" si="83"/>
        <v>141165.94905769132</v>
      </c>
      <c r="L28" s="138">
        <f t="shared" ref="L28:M28" ca="1" si="84">L22+SUM(L24:L27)</f>
        <v>-5206.4373415209266</v>
      </c>
      <c r="M28" s="138">
        <f t="shared" ca="1" si="84"/>
        <v>-26679.054075166554</v>
      </c>
      <c r="N28" s="138">
        <f t="shared" ref="N28:O28" ca="1" si="85">N22+SUM(N24:N27)</f>
        <v>12609.126015605842</v>
      </c>
      <c r="O28" s="138">
        <f t="shared" ca="1" si="85"/>
        <v>204300.59888039241</v>
      </c>
      <c r="P28" s="138">
        <f t="shared" ref="P28:Q28" ca="1" si="86">P22+SUM(P24:P27)</f>
        <v>37629.142706753541</v>
      </c>
      <c r="Q28" s="138">
        <f t="shared" ca="1" si="86"/>
        <v>19318.886940916083</v>
      </c>
      <c r="R28" s="138">
        <f t="shared" ref="R28:S28" ca="1" si="87">R22+SUM(R24:R27)</f>
        <v>50157.46229993306</v>
      </c>
      <c r="S28" s="138">
        <f t="shared" ca="1" si="87"/>
        <v>242217.18710164522</v>
      </c>
      <c r="T28" s="138">
        <f t="shared" ref="T28:U28" ca="1" si="88">T22+SUM(T24:T27)</f>
        <v>54078.615832384516</v>
      </c>
      <c r="U28" s="138">
        <f t="shared" ca="1" si="88"/>
        <v>38880.26044725765</v>
      </c>
      <c r="V28" s="138">
        <f t="shared" ref="V28:W28" ca="1" si="89">V22+SUM(V24:V27)</f>
        <v>71966.121693495312</v>
      </c>
      <c r="W28" s="138">
        <f t="shared" ca="1" si="89"/>
        <v>276174.25425713346</v>
      </c>
      <c r="X28" s="138">
        <f t="shared" ref="X28:Y28" ca="1" si="90">X22+SUM(X24:X27)</f>
        <v>77305.554012828594</v>
      </c>
      <c r="Y28" s="138">
        <f t="shared" ca="1" si="90"/>
        <v>45935.670480929344</v>
      </c>
      <c r="Z28" s="138">
        <f t="shared" ref="Z28:AA28" ca="1" si="91">Z22+SUM(Z24:Z27)</f>
        <v>81003.273371679708</v>
      </c>
      <c r="AA28" s="138">
        <f t="shared" ca="1" si="91"/>
        <v>297460.36366345204</v>
      </c>
      <c r="AB28" s="138">
        <f t="shared" ref="AB28:AC28" ca="1" si="92">AB22+SUM(AB24:AB27)</f>
        <v>86655.888333450217</v>
      </c>
      <c r="AC28" s="138">
        <f t="shared" ca="1" si="92"/>
        <v>61574.517032483054</v>
      </c>
      <c r="AD28" s="138">
        <f t="shared" ref="AD28:AE28" ca="1" si="93">AD22+SUM(AD24:AD27)</f>
        <v>98877.108390776048</v>
      </c>
      <c r="AE28" s="138">
        <f t="shared" ca="1" si="93"/>
        <v>328454.59235590452</v>
      </c>
      <c r="AF28" s="138">
        <f t="shared" ref="AF28:AG28" ca="1" si="94">AF22+SUM(AF24:AF27)</f>
        <v>105136.8840507221</v>
      </c>
      <c r="AG28" s="138">
        <f t="shared" ca="1" si="94"/>
        <v>73512.862868337717</v>
      </c>
      <c r="AH28" s="138">
        <f t="shared" ref="AH28:AI28" ca="1" si="95">AH22+SUM(AH24:AH27)</f>
        <v>113107.53020916408</v>
      </c>
      <c r="AI28" s="138">
        <f t="shared" ca="1" si="95"/>
        <v>356514.37642216019</v>
      </c>
      <c r="AJ28" s="138">
        <f t="shared" ref="AJ28:AK28" ca="1" si="96">AJ22+SUM(AJ24:AJ27)</f>
        <v>119853.12318848165</v>
      </c>
      <c r="AK28" s="138">
        <f t="shared" ca="1" si="96"/>
        <v>83265.785889333158</v>
      </c>
      <c r="AL28" s="138">
        <f t="shared" ref="AL28:AM28" ca="1" si="97">AL22+SUM(AL24:AL27)</f>
        <v>125241.7967112547</v>
      </c>
      <c r="AM28" s="138">
        <f t="shared" ca="1" si="97"/>
        <v>382713.42870513449</v>
      </c>
      <c r="AN28" s="138">
        <f t="shared" ref="AN28:AO28" ca="1" si="98">AN22+SUM(AN24:AN27)</f>
        <v>131300.85316165673</v>
      </c>
      <c r="AO28" s="138">
        <f t="shared" ca="1" si="98"/>
        <v>92869.355770272232</v>
      </c>
      <c r="AP28" s="138">
        <f t="shared" ref="AP28:AQ28" ca="1" si="99">AP22+SUM(AP24:AP27)</f>
        <v>136977.70430149656</v>
      </c>
      <c r="AQ28" s="138">
        <f t="shared" ca="1" si="99"/>
        <v>479080.91474479472</v>
      </c>
      <c r="AR28" s="138">
        <f t="shared" ref="AR28:AS28" ca="1" si="100">AR22+SUM(AR24:AR27)</f>
        <v>212576.73410545464</v>
      </c>
      <c r="AS28" s="138">
        <f t="shared" ca="1" si="100"/>
        <v>145686.83895247825</v>
      </c>
      <c r="AT28" s="138">
        <f t="shared" ref="AT28:AU28" ca="1" si="101">AT22+SUM(AT24:AT27)</f>
        <v>192050.97943010391</v>
      </c>
      <c r="AU28" s="138">
        <f t="shared" ca="1" si="101"/>
        <v>487064.22685669246</v>
      </c>
      <c r="AV28" s="138">
        <f t="shared" ref="AV28" ca="1" si="102">AV22+SUM(AV24:AV27)</f>
        <v>204167.53587886912</v>
      </c>
      <c r="AW28" s="138"/>
      <c r="AX28" s="171">
        <f t="shared" ca="1" si="81"/>
        <v>5517617.2641933551</v>
      </c>
    </row>
    <row r="29" spans="1:50" x14ac:dyDescent="0.2">
      <c r="A29" s="99" t="str">
        <f ca="1">Language!A1208</f>
        <v>Налог на прибыль</v>
      </c>
      <c r="C29" s="130" t="str">
        <f ca="1">Параметры!$C$64</f>
        <v>тыс. руб.</v>
      </c>
      <c r="D29" s="57"/>
      <c r="E29" s="243" t="s">
        <v>977</v>
      </c>
      <c r="F29" s="57" t="s">
        <v>753</v>
      </c>
      <c r="G29" s="138">
        <f ca="1">(-Проект!G988-Проект!G997-Проект!G1002)/ Параметры!G$64</f>
        <v>0</v>
      </c>
      <c r="H29" s="138">
        <f ca="1">(-Проект!H988-Проект!H997-Проект!H1002)/ Параметры!H$64</f>
        <v>0</v>
      </c>
      <c r="I29" s="138">
        <f ca="1">(-Проект!I988-Проект!I997-Проект!I1002)/ Параметры!I$64</f>
        <v>0</v>
      </c>
      <c r="J29" s="138">
        <f ca="1">(-Проект!J988-Проект!J997-Проект!J1002)/ Параметры!J$64</f>
        <v>0</v>
      </c>
      <c r="K29" s="138">
        <f ca="1">(-Проект!K988-Проект!K997-Проект!K1002)/ Параметры!K$64</f>
        <v>0</v>
      </c>
      <c r="L29" s="138">
        <f ca="1">(-Проект!L988-Проект!L997-Проект!L1002)/ Параметры!L$64</f>
        <v>0</v>
      </c>
      <c r="M29" s="138">
        <f ca="1">(-Проект!M988-Проект!M997-Проект!M1002)/ Параметры!M$64</f>
        <v>0</v>
      </c>
      <c r="N29" s="138">
        <f ca="1">(-Проект!N988-Проект!N997-Проект!N1002)/ Параметры!N$64</f>
        <v>0</v>
      </c>
      <c r="O29" s="138">
        <f ca="1">(-Проект!O988-Проект!O997-Проект!O1002)/ Параметры!O$64</f>
        <v>0</v>
      </c>
      <c r="P29" s="138">
        <f ca="1">(-Проект!P988-Проект!P997-Проект!P1002)/ Параметры!P$64</f>
        <v>0</v>
      </c>
      <c r="Q29" s="138">
        <f ca="1">(-Проект!Q988-Проект!Q997-Проект!Q1002)/ Параметры!Q$64</f>
        <v>0</v>
      </c>
      <c r="R29" s="138">
        <f ca="1">(-Проект!R988-Проект!R997-Проект!R1002)/ Параметры!R$64</f>
        <v>0</v>
      </c>
      <c r="S29" s="138">
        <f ca="1">(-Проект!S988-Проект!S997-Проект!S1002)/ Параметры!S$64</f>
        <v>0</v>
      </c>
      <c r="T29" s="138">
        <f ca="1">(-Проект!T988-Проект!T997-Проект!T1002)/ Параметры!T$64</f>
        <v>0</v>
      </c>
      <c r="U29" s="138">
        <f ca="1">(-Проект!U988-Проект!U997-Проект!U1002)/ Параметры!U$64</f>
        <v>0</v>
      </c>
      <c r="V29" s="138">
        <f ca="1">(-Проект!V988-Проект!V997-Проект!V1002)/ Параметры!V$64</f>
        <v>0</v>
      </c>
      <c r="W29" s="138">
        <f ca="1">(-Проект!W988-Проект!W997-Проект!W1002)/ Параметры!W$64</f>
        <v>0</v>
      </c>
      <c r="X29" s="138">
        <f ca="1">(-Проект!X988-Проект!X997-Проект!X1002)/ Параметры!X$64</f>
        <v>0</v>
      </c>
      <c r="Y29" s="138">
        <f ca="1">(-Проект!Y988-Проект!Y997-Проект!Y1002)/ Параметры!Y$64</f>
        <v>0</v>
      </c>
      <c r="Z29" s="138">
        <f ca="1">(-Проект!Z988-Проект!Z997-Проект!Z1002)/ Параметры!Z$64</f>
        <v>0</v>
      </c>
      <c r="AA29" s="138">
        <f ca="1">(-Проект!AA988-Проект!AA997-Проект!AA1002)/ Параметры!AA$64</f>
        <v>0</v>
      </c>
      <c r="AB29" s="138">
        <f ca="1">(-Проект!AB988-Проект!AB997-Проект!AB1002)/ Параметры!AB$64</f>
        <v>0</v>
      </c>
      <c r="AC29" s="138">
        <f ca="1">(-Проект!AC988-Проект!AC997-Проект!AC1002)/ Параметры!AC$64</f>
        <v>0</v>
      </c>
      <c r="AD29" s="138">
        <f ca="1">(-Проект!AD988-Проект!AD997-Проект!AD1002)/ Параметры!AD$64</f>
        <v>0</v>
      </c>
      <c r="AE29" s="138">
        <f ca="1">(-Проект!AE988-Проект!AE997-Проект!AE1002)/ Параметры!AE$64</f>
        <v>0</v>
      </c>
      <c r="AF29" s="138">
        <f ca="1">(-Проект!AF988-Проект!AF997-Проект!AF1002)/ Параметры!AF$64</f>
        <v>0</v>
      </c>
      <c r="AG29" s="138">
        <f ca="1">(-Проект!AG988-Проект!AG997-Проект!AG1002)/ Параметры!AG$64</f>
        <v>0</v>
      </c>
      <c r="AH29" s="138">
        <f ca="1">(-Проект!AH988-Проект!AH997-Проект!AH1002)/ Параметры!AH$64</f>
        <v>0</v>
      </c>
      <c r="AI29" s="138">
        <f ca="1">(-Проект!AI988-Проект!AI997-Проект!AI1002)/ Параметры!AI$64</f>
        <v>0</v>
      </c>
      <c r="AJ29" s="138">
        <f ca="1">(-Проект!AJ988-Проект!AJ997-Проект!AJ1002)/ Параметры!AJ$64</f>
        <v>0</v>
      </c>
      <c r="AK29" s="138">
        <f ca="1">(-Проект!AK988-Проект!AK997-Проект!AK1002)/ Параметры!AK$64</f>
        <v>0</v>
      </c>
      <c r="AL29" s="138">
        <f ca="1">(-Проект!AL988-Проект!AL997-Проект!AL1002)/ Параметры!AL$64</f>
        <v>0</v>
      </c>
      <c r="AM29" s="138">
        <f ca="1">(-Проект!AM988-Проект!AM997-Проект!AM1002)/ Параметры!AM$64</f>
        <v>0</v>
      </c>
      <c r="AN29" s="138">
        <f ca="1">(-Проект!AN988-Проект!AN997-Проект!AN1002)/ Параметры!AN$64</f>
        <v>0</v>
      </c>
      <c r="AO29" s="138">
        <f ca="1">(-Проект!AO988-Проект!AO997-Проект!AO1002)/ Параметры!AO$64</f>
        <v>0</v>
      </c>
      <c r="AP29" s="138">
        <f ca="1">(-Проект!AP988-Проект!AP997-Проект!AP1002)/ Параметры!AP$64</f>
        <v>0</v>
      </c>
      <c r="AQ29" s="138">
        <f ca="1">(-Проект!AQ988-Проект!AQ997-Проект!AQ1002)/ Параметры!AQ$64</f>
        <v>0</v>
      </c>
      <c r="AR29" s="138">
        <f ca="1">(-Проект!AR988-Проект!AR997-Проект!AR1002)/ Параметры!AR$64</f>
        <v>0</v>
      </c>
      <c r="AS29" s="138">
        <f ca="1">(-Проект!AS988-Проект!AS997-Проект!AS1002)/ Параметры!AS$64</f>
        <v>0</v>
      </c>
      <c r="AT29" s="138">
        <f ca="1">(-Проект!AT988-Проект!AT997-Проект!AT1002)/ Параметры!AT$64</f>
        <v>0</v>
      </c>
      <c r="AU29" s="138">
        <f ca="1">(-Проект!AU988-Проект!AU997-Проект!AU1002)/ Параметры!AU$64</f>
        <v>0</v>
      </c>
      <c r="AV29" s="138">
        <f ca="1">(-Проект!AV988-Проект!AV997-Проект!AV1002)/ Параметры!AV$64</f>
        <v>0</v>
      </c>
      <c r="AW29" s="138"/>
      <c r="AX29" s="171">
        <f t="shared" ca="1" si="81"/>
        <v>0</v>
      </c>
    </row>
    <row r="30" spans="1:50" x14ac:dyDescent="0.2">
      <c r="A30" s="125" t="str">
        <f ca="1">Language!A1209</f>
        <v>Чистая прибыль (убыток)</v>
      </c>
      <c r="B30" s="244"/>
      <c r="C30" s="127" t="str">
        <f ca="1">Параметры!$C$64</f>
        <v>тыс. руб.</v>
      </c>
      <c r="D30" s="128"/>
      <c r="E30" s="245" t="s">
        <v>978</v>
      </c>
      <c r="F30" s="128" t="s">
        <v>753</v>
      </c>
      <c r="G30" s="246">
        <f ca="1">G28+G29</f>
        <v>44331.827852965929</v>
      </c>
      <c r="H30" s="246">
        <f t="shared" ref="H30:I30" ca="1" si="103">H28+H29</f>
        <v>-65844.354699052172</v>
      </c>
      <c r="I30" s="246">
        <f t="shared" ca="1" si="103"/>
        <v>-68094.765445202473</v>
      </c>
      <c r="J30" s="246">
        <f t="shared" ref="J30:K30" ca="1" si="104">J28+J29</f>
        <v>-27775.456219787287</v>
      </c>
      <c r="K30" s="246">
        <f t="shared" ca="1" si="104"/>
        <v>141165.94905769132</v>
      </c>
      <c r="L30" s="246">
        <f t="shared" ref="L30:M30" ca="1" si="105">L28+L29</f>
        <v>-5206.4373415209266</v>
      </c>
      <c r="M30" s="246">
        <f t="shared" ca="1" si="105"/>
        <v>-26679.054075166554</v>
      </c>
      <c r="N30" s="246">
        <f t="shared" ref="N30:O30" ca="1" si="106">N28+N29</f>
        <v>12609.126015605842</v>
      </c>
      <c r="O30" s="246">
        <f t="shared" ca="1" si="106"/>
        <v>204300.59888039241</v>
      </c>
      <c r="P30" s="246">
        <f t="shared" ref="P30:Q30" ca="1" si="107">P28+P29</f>
        <v>37629.142706753541</v>
      </c>
      <c r="Q30" s="246">
        <f t="shared" ca="1" si="107"/>
        <v>19318.886940916083</v>
      </c>
      <c r="R30" s="246">
        <f t="shared" ref="R30:S30" ca="1" si="108">R28+R29</f>
        <v>50157.46229993306</v>
      </c>
      <c r="S30" s="246">
        <f t="shared" ca="1" si="108"/>
        <v>242217.18710164522</v>
      </c>
      <c r="T30" s="246">
        <f t="shared" ref="T30:U30" ca="1" si="109">T28+T29</f>
        <v>54078.615832384516</v>
      </c>
      <c r="U30" s="246">
        <f t="shared" ca="1" si="109"/>
        <v>38880.26044725765</v>
      </c>
      <c r="V30" s="246">
        <f t="shared" ref="V30:W30" ca="1" si="110">V28+V29</f>
        <v>71966.121693495312</v>
      </c>
      <c r="W30" s="246">
        <f t="shared" ca="1" si="110"/>
        <v>276174.25425713346</v>
      </c>
      <c r="X30" s="246">
        <f t="shared" ref="X30:Y30" ca="1" si="111">X28+X29</f>
        <v>77305.554012828594</v>
      </c>
      <c r="Y30" s="246">
        <f t="shared" ca="1" si="111"/>
        <v>45935.670480929344</v>
      </c>
      <c r="Z30" s="246">
        <f t="shared" ref="Z30:AA30" ca="1" si="112">Z28+Z29</f>
        <v>81003.273371679708</v>
      </c>
      <c r="AA30" s="246">
        <f t="shared" ca="1" si="112"/>
        <v>297460.36366345204</v>
      </c>
      <c r="AB30" s="246">
        <f t="shared" ref="AB30:AC30" ca="1" si="113">AB28+AB29</f>
        <v>86655.888333450217</v>
      </c>
      <c r="AC30" s="246">
        <f t="shared" ca="1" si="113"/>
        <v>61574.517032483054</v>
      </c>
      <c r="AD30" s="246">
        <f t="shared" ref="AD30:AE30" ca="1" si="114">AD28+AD29</f>
        <v>98877.108390776048</v>
      </c>
      <c r="AE30" s="246">
        <f t="shared" ca="1" si="114"/>
        <v>328454.59235590452</v>
      </c>
      <c r="AF30" s="246">
        <f t="shared" ref="AF30:AG30" ca="1" si="115">AF28+AF29</f>
        <v>105136.8840507221</v>
      </c>
      <c r="AG30" s="246">
        <f t="shared" ca="1" si="115"/>
        <v>73512.862868337717</v>
      </c>
      <c r="AH30" s="246">
        <f t="shared" ref="AH30:AI30" ca="1" si="116">AH28+AH29</f>
        <v>113107.53020916408</v>
      </c>
      <c r="AI30" s="246">
        <f t="shared" ca="1" si="116"/>
        <v>356514.37642216019</v>
      </c>
      <c r="AJ30" s="246">
        <f t="shared" ref="AJ30:AK30" ca="1" si="117">AJ28+AJ29</f>
        <v>119853.12318848165</v>
      </c>
      <c r="AK30" s="246">
        <f t="shared" ca="1" si="117"/>
        <v>83265.785889333158</v>
      </c>
      <c r="AL30" s="246">
        <f t="shared" ref="AL30:AM30" ca="1" si="118">AL28+AL29</f>
        <v>125241.7967112547</v>
      </c>
      <c r="AM30" s="246">
        <f t="shared" ca="1" si="118"/>
        <v>382713.42870513449</v>
      </c>
      <c r="AN30" s="246">
        <f t="shared" ref="AN30:AO30" ca="1" si="119">AN28+AN29</f>
        <v>131300.85316165673</v>
      </c>
      <c r="AO30" s="246">
        <f t="shared" ca="1" si="119"/>
        <v>92869.355770272232</v>
      </c>
      <c r="AP30" s="246">
        <f t="shared" ref="AP30:AQ30" ca="1" si="120">AP28+AP29</f>
        <v>136977.70430149656</v>
      </c>
      <c r="AQ30" s="246">
        <f t="shared" ca="1" si="120"/>
        <v>479080.91474479472</v>
      </c>
      <c r="AR30" s="246">
        <f t="shared" ref="AR30:AS30" ca="1" si="121">AR28+AR29</f>
        <v>212576.73410545464</v>
      </c>
      <c r="AS30" s="246">
        <f t="shared" ca="1" si="121"/>
        <v>145686.83895247825</v>
      </c>
      <c r="AT30" s="246">
        <f t="shared" ref="AT30:AU30" ca="1" si="122">AT28+AT29</f>
        <v>192050.97943010391</v>
      </c>
      <c r="AU30" s="246">
        <f t="shared" ca="1" si="122"/>
        <v>487064.22685669246</v>
      </c>
      <c r="AV30" s="246">
        <f t="shared" ref="AV30" ca="1" si="123">AV28+AV29</f>
        <v>204167.53587886912</v>
      </c>
      <c r="AW30" s="246"/>
      <c r="AX30" s="247">
        <f t="shared" ca="1" si="81"/>
        <v>5517617.2641933551</v>
      </c>
    </row>
    <row r="31" spans="1:50" x14ac:dyDescent="0.2">
      <c r="A31" s="79"/>
      <c r="D31" s="57"/>
      <c r="E31" s="243"/>
      <c r="F31" s="57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71"/>
    </row>
    <row r="32" spans="1:50" x14ac:dyDescent="0.2">
      <c r="A32" s="154" t="str">
        <f ca="1">Language!A1210</f>
        <v>Выплаченные дивиденды</v>
      </c>
      <c r="C32" s="130" t="str">
        <f ca="1">Параметры!$C$64</f>
        <v>тыс. руб.</v>
      </c>
      <c r="D32" s="57"/>
      <c r="E32" s="243" t="s">
        <v>979</v>
      </c>
      <c r="F32" s="57" t="s">
        <v>753</v>
      </c>
      <c r="G32" s="138">
        <f>-Проект!G885 / Параметры!G$64</f>
        <v>0</v>
      </c>
      <c r="H32" s="138">
        <f>-Проект!H885 / Параметры!H$64</f>
        <v>0</v>
      </c>
      <c r="I32" s="138">
        <f>-Проект!I885 / Параметры!I$64</f>
        <v>0</v>
      </c>
      <c r="J32" s="138">
        <f>-Проект!J885 / Параметры!J$64</f>
        <v>0</v>
      </c>
      <c r="K32" s="138">
        <f>-Проект!K885 / Параметры!K$64</f>
        <v>0</v>
      </c>
      <c r="L32" s="138">
        <f>-Проект!L885 / Параметры!L$64</f>
        <v>0</v>
      </c>
      <c r="M32" s="138">
        <f>-Проект!M885 / Параметры!M$64</f>
        <v>0</v>
      </c>
      <c r="N32" s="138">
        <f>-Проект!N885 / Параметры!N$64</f>
        <v>0</v>
      </c>
      <c r="O32" s="138">
        <f>-Проект!O885 / Параметры!O$64</f>
        <v>0</v>
      </c>
      <c r="P32" s="138">
        <f>-Проект!P885 / Параметры!P$64</f>
        <v>0</v>
      </c>
      <c r="Q32" s="138">
        <f>-Проект!Q885 / Параметры!Q$64</f>
        <v>0</v>
      </c>
      <c r="R32" s="138">
        <f>-Проект!R885 / Параметры!R$64</f>
        <v>0</v>
      </c>
      <c r="S32" s="138">
        <f>-Проект!S885 / Параметры!S$64</f>
        <v>0</v>
      </c>
      <c r="T32" s="138">
        <f>-Проект!T885 / Параметры!T$64</f>
        <v>0</v>
      </c>
      <c r="U32" s="138">
        <f>-Проект!U885 / Параметры!U$64</f>
        <v>0</v>
      </c>
      <c r="V32" s="138">
        <f>-Проект!V885 / Параметры!V$64</f>
        <v>0</v>
      </c>
      <c r="W32" s="138">
        <f>-Проект!W885 / Параметры!W$64</f>
        <v>0</v>
      </c>
      <c r="X32" s="138">
        <f>-Проект!X885 / Параметры!X$64</f>
        <v>0</v>
      </c>
      <c r="Y32" s="138">
        <f>-Проект!Y885 / Параметры!Y$64</f>
        <v>0</v>
      </c>
      <c r="Z32" s="138">
        <f>-Проект!Z885 / Параметры!Z$64</f>
        <v>0</v>
      </c>
      <c r="AA32" s="138">
        <f>-Проект!AA885 / Параметры!AA$64</f>
        <v>0</v>
      </c>
      <c r="AB32" s="138">
        <f>-Проект!AB885 / Параметры!AB$64</f>
        <v>0</v>
      </c>
      <c r="AC32" s="138">
        <f>-Проект!AC885 / Параметры!AC$64</f>
        <v>0</v>
      </c>
      <c r="AD32" s="138">
        <f>-Проект!AD885 / Параметры!AD$64</f>
        <v>0</v>
      </c>
      <c r="AE32" s="138">
        <f>-Проект!AE885 / Параметры!AE$64</f>
        <v>0</v>
      </c>
      <c r="AF32" s="138">
        <f>-Проект!AF885 / Параметры!AF$64</f>
        <v>0</v>
      </c>
      <c r="AG32" s="138">
        <f>-Проект!AG885 / Параметры!AG$64</f>
        <v>0</v>
      </c>
      <c r="AH32" s="138">
        <f>-Проект!AH885 / Параметры!AH$64</f>
        <v>0</v>
      </c>
      <c r="AI32" s="138">
        <f>-Проект!AI885 / Параметры!AI$64</f>
        <v>0</v>
      </c>
      <c r="AJ32" s="138">
        <f>-Проект!AJ885 / Параметры!AJ$64</f>
        <v>0</v>
      </c>
      <c r="AK32" s="138">
        <f>-Проект!AK885 / Параметры!AK$64</f>
        <v>0</v>
      </c>
      <c r="AL32" s="138">
        <f>-Проект!AL885 / Параметры!AL$64</f>
        <v>0</v>
      </c>
      <c r="AM32" s="138">
        <f>-Проект!AM885 / Параметры!AM$64</f>
        <v>0</v>
      </c>
      <c r="AN32" s="138">
        <f>-Проект!AN885 / Параметры!AN$64</f>
        <v>0</v>
      </c>
      <c r="AO32" s="138">
        <f>-Проект!AO885 / Параметры!AO$64</f>
        <v>0</v>
      </c>
      <c r="AP32" s="138">
        <f>-Проект!AP885 / Параметры!AP$64</f>
        <v>0</v>
      </c>
      <c r="AQ32" s="138">
        <f>-Проект!AQ885 / Параметры!AQ$64</f>
        <v>0</v>
      </c>
      <c r="AR32" s="138">
        <f>-Проект!AR885 / Параметры!AR$64</f>
        <v>0</v>
      </c>
      <c r="AS32" s="138">
        <f>-Проект!AS885 / Параметры!AS$64</f>
        <v>0</v>
      </c>
      <c r="AT32" s="138">
        <f>-Проект!AT885 / Параметры!AT$64</f>
        <v>0</v>
      </c>
      <c r="AU32" s="138">
        <f>-Проект!AU885 / Параметры!AU$64</f>
        <v>0</v>
      </c>
      <c r="AV32" s="138">
        <f>-Проект!AV885 / Параметры!AV$64</f>
        <v>0</v>
      </c>
      <c r="AW32" s="138"/>
      <c r="AX32" s="171">
        <f>SUM(G32:AW32)</f>
        <v>0</v>
      </c>
    </row>
    <row r="33" spans="1:50" x14ac:dyDescent="0.2">
      <c r="A33" s="154" t="str">
        <f ca="1">Language!A1211</f>
        <v>Нераспределенная чистая прибыль за период</v>
      </c>
      <c r="C33" s="130" t="str">
        <f ca="1">Параметры!$C$64</f>
        <v>тыс. руб.</v>
      </c>
      <c r="D33" s="57"/>
      <c r="E33" s="243" t="s">
        <v>980</v>
      </c>
      <c r="F33" s="57" t="s">
        <v>753</v>
      </c>
      <c r="G33" s="138">
        <f ca="1">G30+G32</f>
        <v>44331.827852965929</v>
      </c>
      <c r="H33" s="138">
        <f t="shared" ref="H33:K33" ca="1" si="124">H30+H32</f>
        <v>-65844.354699052172</v>
      </c>
      <c r="I33" s="138">
        <f t="shared" ca="1" si="124"/>
        <v>-68094.765445202473</v>
      </c>
      <c r="J33" s="138">
        <f t="shared" ca="1" si="124"/>
        <v>-27775.456219787287</v>
      </c>
      <c r="K33" s="138">
        <f t="shared" ca="1" si="124"/>
        <v>141165.94905769132</v>
      </c>
      <c r="L33" s="138">
        <f t="shared" ref="L33:M33" ca="1" si="125">L30+L32</f>
        <v>-5206.4373415209266</v>
      </c>
      <c r="M33" s="138">
        <f t="shared" ca="1" si="125"/>
        <v>-26679.054075166554</v>
      </c>
      <c r="N33" s="138">
        <f t="shared" ref="N33:O33" ca="1" si="126">N30+N32</f>
        <v>12609.126015605842</v>
      </c>
      <c r="O33" s="138">
        <f t="shared" ca="1" si="126"/>
        <v>204300.59888039241</v>
      </c>
      <c r="P33" s="138">
        <f t="shared" ref="P33:Q33" ca="1" si="127">P30+P32</f>
        <v>37629.142706753541</v>
      </c>
      <c r="Q33" s="138">
        <f t="shared" ca="1" si="127"/>
        <v>19318.886940916083</v>
      </c>
      <c r="R33" s="138">
        <f t="shared" ref="R33:S33" ca="1" si="128">R30+R32</f>
        <v>50157.46229993306</v>
      </c>
      <c r="S33" s="138">
        <f t="shared" ca="1" si="128"/>
        <v>242217.18710164522</v>
      </c>
      <c r="T33" s="138">
        <f t="shared" ref="T33:U33" ca="1" si="129">T30+T32</f>
        <v>54078.615832384516</v>
      </c>
      <c r="U33" s="138">
        <f t="shared" ca="1" si="129"/>
        <v>38880.26044725765</v>
      </c>
      <c r="V33" s="138">
        <f t="shared" ref="V33:W33" ca="1" si="130">V30+V32</f>
        <v>71966.121693495312</v>
      </c>
      <c r="W33" s="138">
        <f t="shared" ca="1" si="130"/>
        <v>276174.25425713346</v>
      </c>
      <c r="X33" s="138">
        <f t="shared" ref="X33:Y33" ca="1" si="131">X30+X32</f>
        <v>77305.554012828594</v>
      </c>
      <c r="Y33" s="138">
        <f t="shared" ca="1" si="131"/>
        <v>45935.670480929344</v>
      </c>
      <c r="Z33" s="138">
        <f t="shared" ref="Z33:AA33" ca="1" si="132">Z30+Z32</f>
        <v>81003.273371679708</v>
      </c>
      <c r="AA33" s="138">
        <f t="shared" ca="1" si="132"/>
        <v>297460.36366345204</v>
      </c>
      <c r="AB33" s="138">
        <f t="shared" ref="AB33:AC33" ca="1" si="133">AB30+AB32</f>
        <v>86655.888333450217</v>
      </c>
      <c r="AC33" s="138">
        <f t="shared" ca="1" si="133"/>
        <v>61574.517032483054</v>
      </c>
      <c r="AD33" s="138">
        <f t="shared" ref="AD33:AE33" ca="1" si="134">AD30+AD32</f>
        <v>98877.108390776048</v>
      </c>
      <c r="AE33" s="138">
        <f t="shared" ca="1" si="134"/>
        <v>328454.59235590452</v>
      </c>
      <c r="AF33" s="138">
        <f t="shared" ref="AF33:AG33" ca="1" si="135">AF30+AF32</f>
        <v>105136.8840507221</v>
      </c>
      <c r="AG33" s="138">
        <f t="shared" ca="1" si="135"/>
        <v>73512.862868337717</v>
      </c>
      <c r="AH33" s="138">
        <f t="shared" ref="AH33:AI33" ca="1" si="136">AH30+AH32</f>
        <v>113107.53020916408</v>
      </c>
      <c r="AI33" s="138">
        <f t="shared" ca="1" si="136"/>
        <v>356514.37642216019</v>
      </c>
      <c r="AJ33" s="138">
        <f t="shared" ref="AJ33:AK33" ca="1" si="137">AJ30+AJ32</f>
        <v>119853.12318848165</v>
      </c>
      <c r="AK33" s="138">
        <f t="shared" ca="1" si="137"/>
        <v>83265.785889333158</v>
      </c>
      <c r="AL33" s="138">
        <f t="shared" ref="AL33:AM33" ca="1" si="138">AL30+AL32</f>
        <v>125241.7967112547</v>
      </c>
      <c r="AM33" s="138">
        <f t="shared" ca="1" si="138"/>
        <v>382713.42870513449</v>
      </c>
      <c r="AN33" s="138">
        <f t="shared" ref="AN33:AO33" ca="1" si="139">AN30+AN32</f>
        <v>131300.85316165673</v>
      </c>
      <c r="AO33" s="138">
        <f t="shared" ca="1" si="139"/>
        <v>92869.355770272232</v>
      </c>
      <c r="AP33" s="138">
        <f t="shared" ref="AP33:AQ33" ca="1" si="140">AP30+AP32</f>
        <v>136977.70430149656</v>
      </c>
      <c r="AQ33" s="138">
        <f t="shared" ca="1" si="140"/>
        <v>479080.91474479472</v>
      </c>
      <c r="AR33" s="138">
        <f t="shared" ref="AR33:AS33" ca="1" si="141">AR30+AR32</f>
        <v>212576.73410545464</v>
      </c>
      <c r="AS33" s="138">
        <f t="shared" ca="1" si="141"/>
        <v>145686.83895247825</v>
      </c>
      <c r="AT33" s="138">
        <f t="shared" ref="AT33:AU33" ca="1" si="142">AT30+AT32</f>
        <v>192050.97943010391</v>
      </c>
      <c r="AU33" s="138">
        <f t="shared" ca="1" si="142"/>
        <v>487064.22685669246</v>
      </c>
      <c r="AV33" s="138">
        <f t="shared" ref="AV33" ca="1" si="143">AV30+AV32</f>
        <v>204167.53587886912</v>
      </c>
      <c r="AW33" s="138"/>
      <c r="AX33" s="171">
        <f ca="1">SUM(G33:AW33)</f>
        <v>5517617.2641933551</v>
      </c>
    </row>
    <row r="34" spans="1:50" x14ac:dyDescent="0.2">
      <c r="A34" s="110"/>
      <c r="B34" s="248"/>
      <c r="C34" s="133"/>
      <c r="D34" s="68"/>
      <c r="E34" s="68" t="s">
        <v>721</v>
      </c>
      <c r="F34" s="68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</row>
    <row r="35" spans="1:50" x14ac:dyDescent="0.2">
      <c r="D35" s="57"/>
      <c r="E35" s="57"/>
      <c r="F35" s="57"/>
    </row>
    <row r="36" spans="1:50" x14ac:dyDescent="0.2">
      <c r="D36" s="57"/>
      <c r="E36" s="57"/>
      <c r="F36" s="57"/>
    </row>
    <row r="37" spans="1:50" s="64" customFormat="1" ht="25.5" customHeight="1" thickBot="1" x14ac:dyDescent="0.25">
      <c r="A37" s="118" t="str">
        <f ca="1">Language!A1212</f>
        <v>ОТЧЕТ О ДВИЖЕНИИ ДЕНЕЖНЫХ СРЕДСТВ</v>
      </c>
      <c r="B37" s="241"/>
      <c r="C37" s="242"/>
      <c r="D37" s="121"/>
      <c r="E37" s="121" t="s">
        <v>899</v>
      </c>
      <c r="F37" s="121"/>
      <c r="G37" s="69" t="str">
        <f ca="1">Параметры!G$34</f>
        <v>4 кв. 2022</v>
      </c>
      <c r="H37" s="140" t="str">
        <f ca="1">Параметры!H$34</f>
        <v>1 кв. 2023</v>
      </c>
      <c r="I37" s="140" t="str">
        <f ca="1">Параметры!I$34</f>
        <v>2 кв. 2023</v>
      </c>
      <c r="J37" s="140" t="str">
        <f ca="1">Параметры!J$34</f>
        <v>3 кв. 2023</v>
      </c>
      <c r="K37" s="140" t="str">
        <f ca="1">Параметры!K$34</f>
        <v>4 кв. 2023</v>
      </c>
      <c r="L37" s="140" t="str">
        <f ca="1">Параметры!L$34</f>
        <v>1 кв. 2024</v>
      </c>
      <c r="M37" s="140" t="str">
        <f ca="1">Параметры!M$34</f>
        <v>2 кв. 2024</v>
      </c>
      <c r="N37" s="140" t="str">
        <f ca="1">Параметры!N$34</f>
        <v>3 кв. 2024</v>
      </c>
      <c r="O37" s="140" t="str">
        <f ca="1">Параметры!O$34</f>
        <v>4 кв. 2024</v>
      </c>
      <c r="P37" s="140" t="str">
        <f ca="1">Параметры!P$34</f>
        <v>1 кв. 2025</v>
      </c>
      <c r="Q37" s="140" t="str">
        <f ca="1">Параметры!Q$34</f>
        <v>2 кв. 2025</v>
      </c>
      <c r="R37" s="140" t="str">
        <f ca="1">Параметры!R$34</f>
        <v>3 кв. 2025</v>
      </c>
      <c r="S37" s="140" t="str">
        <f ca="1">Параметры!S$34</f>
        <v>4 кв. 2025</v>
      </c>
      <c r="T37" s="140" t="str">
        <f ca="1">Параметры!T$34</f>
        <v>1 кв. 2026</v>
      </c>
      <c r="U37" s="140" t="str">
        <f ca="1">Параметры!U$34</f>
        <v>2 кв. 2026</v>
      </c>
      <c r="V37" s="140" t="str">
        <f ca="1">Параметры!V$34</f>
        <v>3 кв. 2026</v>
      </c>
      <c r="W37" s="140" t="str">
        <f ca="1">Параметры!W$34</f>
        <v>4 кв. 2026</v>
      </c>
      <c r="X37" s="140" t="str">
        <f ca="1">Параметры!X$34</f>
        <v>1 кв. 2027</v>
      </c>
      <c r="Y37" s="140" t="str">
        <f ca="1">Параметры!Y$34</f>
        <v>2 кв. 2027</v>
      </c>
      <c r="Z37" s="140" t="str">
        <f ca="1">Параметры!Z$34</f>
        <v>3 кв. 2027</v>
      </c>
      <c r="AA37" s="140" t="str">
        <f ca="1">Параметры!AA$34</f>
        <v>4 кв. 2027</v>
      </c>
      <c r="AB37" s="140" t="str">
        <f ca="1">Параметры!AB$34</f>
        <v>1 кв. 2028</v>
      </c>
      <c r="AC37" s="140" t="str">
        <f ca="1">Параметры!AC$34</f>
        <v>2 кв. 2028</v>
      </c>
      <c r="AD37" s="140" t="str">
        <f ca="1">Параметры!AD$34</f>
        <v>3 кв. 2028</v>
      </c>
      <c r="AE37" s="140" t="str">
        <f ca="1">Параметры!AE$34</f>
        <v>4 кв. 2028</v>
      </c>
      <c r="AF37" s="140" t="str">
        <f ca="1">Параметры!AF$34</f>
        <v>1 кв. 2029</v>
      </c>
      <c r="AG37" s="140" t="str">
        <f ca="1">Параметры!AG$34</f>
        <v>2 кв. 2029</v>
      </c>
      <c r="AH37" s="140" t="str">
        <f ca="1">Параметры!AH$34</f>
        <v>3 кв. 2029</v>
      </c>
      <c r="AI37" s="140" t="str">
        <f ca="1">Параметры!AI$34</f>
        <v>4 кв. 2029</v>
      </c>
      <c r="AJ37" s="140" t="str">
        <f ca="1">Параметры!AJ$34</f>
        <v>1 кв. 2030</v>
      </c>
      <c r="AK37" s="140" t="str">
        <f ca="1">Параметры!AK$34</f>
        <v>2 кв. 2030</v>
      </c>
      <c r="AL37" s="140" t="str">
        <f ca="1">Параметры!AL$34</f>
        <v>3 кв. 2030</v>
      </c>
      <c r="AM37" s="140" t="str">
        <f ca="1">Параметры!AM$34</f>
        <v>4 кв. 2030</v>
      </c>
      <c r="AN37" s="140" t="str">
        <f ca="1">Параметры!AN$34</f>
        <v>1 кв. 2031</v>
      </c>
      <c r="AO37" s="140" t="str">
        <f ca="1">Параметры!AO$34</f>
        <v>2 кв. 2031</v>
      </c>
      <c r="AP37" s="140" t="str">
        <f ca="1">Параметры!AP$34</f>
        <v>3 кв. 2031</v>
      </c>
      <c r="AQ37" s="140" t="str">
        <f ca="1">Параметры!AQ$34</f>
        <v>4 кв. 2031</v>
      </c>
      <c r="AR37" s="140" t="str">
        <f ca="1">Параметры!AR$34</f>
        <v>1 кв. 2032</v>
      </c>
      <c r="AS37" s="140" t="str">
        <f ca="1">Параметры!AS$34</f>
        <v>2 кв. 2032</v>
      </c>
      <c r="AT37" s="140" t="str">
        <f ca="1">Параметры!AT$34</f>
        <v>3 кв. 2032</v>
      </c>
      <c r="AU37" s="140" t="str">
        <f ca="1">Параметры!AU$34</f>
        <v>4 кв. 2032</v>
      </c>
      <c r="AV37" s="140" t="str">
        <f ca="1">Параметры!AV$34</f>
        <v>1 кв. 2033</v>
      </c>
      <c r="AW37" s="140"/>
      <c r="AX37" s="141" t="str">
        <f ca="1">Language!$A$1445</f>
        <v>ИТОГО</v>
      </c>
    </row>
    <row r="38" spans="1:50" ht="13.5" thickTop="1" x14ac:dyDescent="0.2">
      <c r="A38" s="65"/>
      <c r="D38" s="57"/>
      <c r="E38" s="243"/>
      <c r="F38" s="57"/>
    </row>
    <row r="39" spans="1:50" x14ac:dyDescent="0.2">
      <c r="A39" s="99" t="str">
        <f ca="1">Language!A1213</f>
        <v>Поступления от продаж</v>
      </c>
      <c r="C39" s="130" t="str">
        <f ca="1">Параметры!$C$64</f>
        <v>тыс. руб.</v>
      </c>
      <c r="D39" s="57"/>
      <c r="E39" s="243" t="s">
        <v>953</v>
      </c>
      <c r="F39" s="57" t="s">
        <v>753</v>
      </c>
      <c r="G39" s="138">
        <f ca="1">Проект!G323 / Параметры!G$64</f>
        <v>174604.64648896453</v>
      </c>
      <c r="H39" s="138">
        <f ca="1">Проект!H323 / Параметры!H$64</f>
        <v>201154.81328109035</v>
      </c>
      <c r="I39" s="138">
        <f ca="1">Проект!I323 / Параметры!I$64</f>
        <v>189968.54835249114</v>
      </c>
      <c r="J39" s="138">
        <f ca="1">Проект!J323 / Параметры!J$64</f>
        <v>224667.41078889073</v>
      </c>
      <c r="K39" s="138">
        <f ca="1">Проект!K323 / Параметры!K$64</f>
        <v>362399.54991121276</v>
      </c>
      <c r="L39" s="138">
        <f ca="1">Проект!L323 / Параметры!L$64</f>
        <v>333701.63640745485</v>
      </c>
      <c r="M39" s="138">
        <f ca="1">Проект!M323 / Параметры!M$64</f>
        <v>289474.24737549305</v>
      </c>
      <c r="N39" s="138">
        <f ca="1">Проект!N323 / Параметры!N$64</f>
        <v>311961.71084612352</v>
      </c>
      <c r="O39" s="138">
        <f ca="1">Проект!O323 / Параметры!O$64</f>
        <v>464949.74137950502</v>
      </c>
      <c r="P39" s="138">
        <f ca="1">Проект!P323 / Параметры!P$64</f>
        <v>432052.02700783615</v>
      </c>
      <c r="Q39" s="138">
        <f ca="1">Проект!Q323 / Параметры!Q$64</f>
        <v>378193.57483573968</v>
      </c>
      <c r="R39" s="138">
        <f ca="1">Проект!R323 / Параметры!R$64</f>
        <v>389791.69008947996</v>
      </c>
      <c r="S39" s="138">
        <f ca="1">Проект!S323 / Параметры!S$64</f>
        <v>534595.05064126686</v>
      </c>
      <c r="T39" s="138">
        <f ca="1">Проект!T323 / Параметры!T$64</f>
        <v>481837.20151859947</v>
      </c>
      <c r="U39" s="138">
        <f ca="1">Проект!U323 / Параметры!U$64</f>
        <v>419257.0145066604</v>
      </c>
      <c r="V39" s="138">
        <f ca="1">Проект!V323 / Параметры!V$64</f>
        <v>432387.22120124323</v>
      </c>
      <c r="W39" s="138">
        <f ca="1">Проект!W323 / Параметры!W$64</f>
        <v>586160.63905925199</v>
      </c>
      <c r="X39" s="138">
        <f ca="1">Проект!X323 / Параметры!X$64</f>
        <v>530523.31056912825</v>
      </c>
      <c r="Y39" s="138">
        <f ca="1">Проект!Y323 / Параметры!Y$64</f>
        <v>452294.72750205768</v>
      </c>
      <c r="Z39" s="138">
        <f ca="1">Проект!Z323 / Параметры!Z$64</f>
        <v>459274.6468183907</v>
      </c>
      <c r="AA39" s="138">
        <f ca="1">Проект!AA323 / Параметры!AA$64</f>
        <v>622288.32468110509</v>
      </c>
      <c r="AB39" s="138">
        <f ca="1">Проект!AB323 / Параметры!AB$64</f>
        <v>563326.81471995811</v>
      </c>
      <c r="AC39" s="138">
        <f ca="1">Проект!AC323 / Параметры!AC$64</f>
        <v>485657.51003065635</v>
      </c>
      <c r="AD39" s="138">
        <f ca="1">Проект!AD323 / Параметры!AD$64</f>
        <v>496180.51892218104</v>
      </c>
      <c r="AE39" s="138">
        <f ca="1">Проект!AE323 / Параметры!AE$64</f>
        <v>669112.20901563484</v>
      </c>
      <c r="AF39" s="138">
        <f ca="1">Проект!AF323 / Параметры!AF$64</f>
        <v>606752.21314362751</v>
      </c>
      <c r="AG39" s="138">
        <f ca="1">Проект!AG323 / Параметры!AG$64</f>
        <v>519908.01601593144</v>
      </c>
      <c r="AH39" s="138">
        <f ca="1">Проект!AH323 / Параметры!AH$64</f>
        <v>528441.83603761112</v>
      </c>
      <c r="AI39" s="138">
        <f ca="1">Проект!AI323 / Параметры!AI$64</f>
        <v>711785.97254482959</v>
      </c>
      <c r="AJ39" s="138">
        <f ca="1">Проект!AJ323 / Параметры!AJ$64</f>
        <v>645721.45818448684</v>
      </c>
      <c r="AK39" s="138">
        <f ca="1">Проект!AK323 / Параметры!AK$64</f>
        <v>551459.67272007256</v>
      </c>
      <c r="AL39" s="138">
        <f ca="1">Проект!AL323 / Параметры!AL$64</f>
        <v>559211.27988097141</v>
      </c>
      <c r="AM39" s="138">
        <f ca="1">Проект!AM323 / Параметры!AM$64</f>
        <v>753542.31421160954</v>
      </c>
      <c r="AN39" s="138">
        <f ca="1">Проект!AN323 / Параметры!AN$64</f>
        <v>683499.97685186286</v>
      </c>
      <c r="AO39" s="138">
        <f ca="1">Проект!AO323 / Параметры!AO$64</f>
        <v>584111.92279259639</v>
      </c>
      <c r="AP39" s="138">
        <f ca="1">Проект!AP323 / Параметры!AP$64</f>
        <v>592636.95154108992</v>
      </c>
      <c r="AQ39" s="138">
        <f ca="1">Проект!AQ323 / Параметры!AQ$64</f>
        <v>798625.9842777861</v>
      </c>
      <c r="AR39" s="138">
        <f ca="1">Проект!AR323 / Параметры!AR$64</f>
        <v>724379.215675705</v>
      </c>
      <c r="AS39" s="138">
        <f ca="1">Проект!AS323 / Параметры!AS$64</f>
        <v>603413.03685563116</v>
      </c>
      <c r="AT39" s="138">
        <f ca="1">Проект!AT323 / Параметры!AT$64</f>
        <v>603179.45824762038</v>
      </c>
      <c r="AU39" s="138">
        <f ca="1">Проект!AU323 / Параметры!AU$64</f>
        <v>821160.75626251544</v>
      </c>
      <c r="AV39" s="138">
        <f ca="1">Проект!AV323 / Параметры!AV$64</f>
        <v>742086.71843148407</v>
      </c>
      <c r="AW39" s="138"/>
      <c r="AX39" s="171">
        <f t="shared" ref="AX39:AX47" ca="1" si="144">SUM(G39:AW39)</f>
        <v>21515731.569625847</v>
      </c>
    </row>
    <row r="40" spans="1:50" x14ac:dyDescent="0.2">
      <c r="A40" s="99" t="str">
        <f ca="1">Language!A1214</f>
        <v>Оплата материалов и комплектующих</v>
      </c>
      <c r="C40" s="130" t="str">
        <f ca="1">Параметры!$C$64</f>
        <v>тыс. руб.</v>
      </c>
      <c r="D40" s="57"/>
      <c r="E40" s="243" t="s">
        <v>1027</v>
      </c>
      <c r="F40" s="57" t="s">
        <v>753</v>
      </c>
      <c r="G40" s="138">
        <f ca="1">-Проект!G450 / Параметры!G$64</f>
        <v>-82340.737774999987</v>
      </c>
      <c r="H40" s="138">
        <f ca="1">-Проект!H450 / Параметры!H$64</f>
        <v>-81094.497060642272</v>
      </c>
      <c r="I40" s="138">
        <f ca="1">-Проект!I450 / Параметры!I$64</f>
        <v>-129142.88765675647</v>
      </c>
      <c r="J40" s="138">
        <f ca="1">-Проект!J450 / Параметры!J$64</f>
        <v>-107554.75868169749</v>
      </c>
      <c r="K40" s="138">
        <f ca="1">-Проект!K450 / Параметры!K$64</f>
        <v>-124455.30066529999</v>
      </c>
      <c r="L40" s="138">
        <f ca="1">-Проект!L450 / Параметры!L$64</f>
        <v>-121522.21092668276</v>
      </c>
      <c r="M40" s="138">
        <f ca="1">-Проект!M450 / Параметры!M$64</f>
        <v>-166907.23600995855</v>
      </c>
      <c r="N40" s="138">
        <f ca="1">-Проект!N450 / Параметры!N$64</f>
        <v>-142242.92025095265</v>
      </c>
      <c r="O40" s="138">
        <f ca="1">-Проект!O450 / Параметры!O$64</f>
        <v>-160571.80898129602</v>
      </c>
      <c r="P40" s="138">
        <f ca="1">-Проект!P450 / Параметры!P$64</f>
        <v>-157883.12766932955</v>
      </c>
      <c r="Q40" s="138">
        <f ca="1">-Проект!Q450 / Параметры!Q$64</f>
        <v>-201089.57509771921</v>
      </c>
      <c r="R40" s="138">
        <f ca="1">-Проект!R450 / Параметры!R$64</f>
        <v>-169413.46984601545</v>
      </c>
      <c r="S40" s="138">
        <f ca="1">-Проект!S450 / Параметры!S$64</f>
        <v>-183142.60808143468</v>
      </c>
      <c r="T40" s="138">
        <f ca="1">-Проект!T450 / Параметры!T$64</f>
        <v>-174421.84264358293</v>
      </c>
      <c r="U40" s="138">
        <f ca="1">-Проект!U450 / Параметры!U$64</f>
        <v>-217530.1419067829</v>
      </c>
      <c r="V40" s="138">
        <f ca="1">-Проект!V450 / Параметры!V$64</f>
        <v>-184017.67123879239</v>
      </c>
      <c r="W40" s="138">
        <f ca="1">-Проект!W450 / Параметры!W$64</f>
        <v>-198635.70074126535</v>
      </c>
      <c r="X40" s="138">
        <f ca="1">-Проект!X450 / Параметры!X$64</f>
        <v>-189457.78824803475</v>
      </c>
      <c r="Y40" s="138">
        <f ca="1">-Проект!Y450 / Параметры!Y$64</f>
        <v>-233014.14489812055</v>
      </c>
      <c r="Z40" s="138">
        <f ca="1">-Проект!Z450 / Параметры!Z$64</f>
        <v>-197526.61563765735</v>
      </c>
      <c r="AA40" s="138">
        <f ca="1">-Проект!AA450 / Параметры!AA$64</f>
        <v>-213057.94026228425</v>
      </c>
      <c r="AB40" s="138">
        <f ca="1">-Проект!AB450 / Параметры!AB$64</f>
        <v>-203366.09776062195</v>
      </c>
      <c r="AC40" s="138">
        <f ca="1">-Проект!AC450 / Параметры!AC$64</f>
        <v>-248863.61380827858</v>
      </c>
      <c r="AD40" s="138">
        <f ca="1">-Проект!AD450 / Параметры!AD$64</f>
        <v>-211274.25263778877</v>
      </c>
      <c r="AE40" s="138">
        <f ca="1">-Проект!AE450 / Параметры!AE$64</f>
        <v>-227765.27894009082</v>
      </c>
      <c r="AF40" s="138">
        <f ca="1">-Проект!AF450 / Параметры!AF$64</f>
        <v>-217520.15634721206</v>
      </c>
      <c r="AG40" s="138">
        <f ca="1">-Проект!AG450 / Параметры!AG$64</f>
        <v>-264111.74572517246</v>
      </c>
      <c r="AH40" s="138">
        <f ca="1">-Проект!AH450 / Параметры!AH$64</f>
        <v>-224271.66444340121</v>
      </c>
      <c r="AI40" s="138">
        <f ca="1">-Проект!AI450 / Параметры!AI$64</f>
        <v>-241756.86199231131</v>
      </c>
      <c r="AJ40" s="138">
        <f ca="1">-Проект!AJ450 / Параметры!AJ$64</f>
        <v>-230901.81082128044</v>
      </c>
      <c r="AK40" s="138">
        <f ca="1">-Проект!AK450 / Параметры!AK$64</f>
        <v>-280180.30327392346</v>
      </c>
      <c r="AL40" s="138">
        <f ca="1">-Проект!AL450 / Параметры!AL$64</f>
        <v>-237953.07254918216</v>
      </c>
      <c r="AM40" s="138">
        <f ca="1">-Проект!AM450 / Параметры!AM$64</f>
        <v>-256490.68515469984</v>
      </c>
      <c r="AN40" s="138">
        <f ca="1">-Проект!AN450 / Параметры!AN$64</f>
        <v>-244987.68258778262</v>
      </c>
      <c r="AO40" s="138">
        <f ca="1">-Проект!AO450 / Параметры!AO$64</f>
        <v>-297364.0807599774</v>
      </c>
      <c r="AP40" s="138">
        <f ca="1">-Проект!AP450 / Параметры!AP$64</f>
        <v>-252608.68893899463</v>
      </c>
      <c r="AQ40" s="138">
        <f ca="1">-Проект!AQ450 / Параметры!AQ$64</f>
        <v>-272264.11135433754</v>
      </c>
      <c r="AR40" s="138">
        <f ca="1">-Проект!AR450 / Параметры!AR$64</f>
        <v>-260076.56317155226</v>
      </c>
      <c r="AS40" s="138">
        <f ca="1">-Проект!AS450 / Параметры!AS$64</f>
        <v>-319709.3916481146</v>
      </c>
      <c r="AT40" s="138">
        <f ca="1">-Проект!AT450 / Параметры!AT$64</f>
        <v>-272334.75948580692</v>
      </c>
      <c r="AU40" s="138">
        <f ca="1">-Проект!AU450 / Параметры!AU$64</f>
        <v>-293236.56010824506</v>
      </c>
      <c r="AV40" s="138">
        <f ca="1">-Проект!AV450 / Параметры!AV$64</f>
        <v>-280385.79582005192</v>
      </c>
      <c r="AW40" s="138"/>
      <c r="AX40" s="171">
        <f t="shared" ca="1" si="144"/>
        <v>-8772446.1616081335</v>
      </c>
    </row>
    <row r="41" spans="1:50" x14ac:dyDescent="0.2">
      <c r="A41" s="99" t="str">
        <f ca="1">Language!A1215</f>
        <v>Заработная плата</v>
      </c>
      <c r="C41" s="130" t="str">
        <f ca="1">Параметры!$C$64</f>
        <v>тыс. руб.</v>
      </c>
      <c r="D41" s="57"/>
      <c r="E41" s="243" t="s">
        <v>1028</v>
      </c>
      <c r="F41" s="57" t="s">
        <v>753</v>
      </c>
      <c r="G41" s="138">
        <f ca="1">-Проект!G508 / Параметры!G$64</f>
        <v>-17850</v>
      </c>
      <c r="H41" s="138">
        <f ca="1">-Проект!H508 / Параметры!H$64</f>
        <v>-21681.928154110567</v>
      </c>
      <c r="I41" s="138">
        <f ca="1">-Проект!I508 / Параметры!I$64</f>
        <v>-25675.625392816273</v>
      </c>
      <c r="J41" s="138">
        <f ca="1">-Проект!J508 / Параметры!J$64</f>
        <v>-26787.493562181051</v>
      </c>
      <c r="K41" s="138">
        <f ca="1">-Проект!K508 / Параметры!K$64</f>
        <v>-27180.56912195644</v>
      </c>
      <c r="L41" s="138">
        <f ca="1">-Проект!L508 / Параметры!L$64</f>
        <v>-27579.412612028642</v>
      </c>
      <c r="M41" s="138">
        <f ca="1">-Проект!M508 / Параметры!M$64</f>
        <v>-30390.506302972426</v>
      </c>
      <c r="N41" s="138">
        <f ca="1">-Проект!N508 / Параметры!N$64</f>
        <v>-31317.73144402049</v>
      </c>
      <c r="O41" s="138">
        <f ca="1">-Проект!O508 / Параметры!O$64</f>
        <v>-31777.283017581431</v>
      </c>
      <c r="P41" s="138">
        <f ca="1">-Проект!P508 / Параметры!P$64</f>
        <v>-32243.577980239374</v>
      </c>
      <c r="Q41" s="138">
        <f ca="1">-Проект!Q508 / Параметры!Q$64</f>
        <v>-32716.715283448575</v>
      </c>
      <c r="R41" s="138">
        <f ca="1">-Проект!R508 / Параметры!R$64</f>
        <v>-33196.795330661727</v>
      </c>
      <c r="S41" s="138">
        <f ca="1">-Проект!S508 / Параметры!S$64</f>
        <v>-33683.919998636316</v>
      </c>
      <c r="T41" s="138">
        <f ca="1">-Проект!T508 / Параметры!T$64</f>
        <v>-34178.192659053733</v>
      </c>
      <c r="U41" s="138">
        <f ca="1">-Проект!U508 / Параметры!U$64</f>
        <v>-34679.718200455492</v>
      </c>
      <c r="V41" s="138">
        <f ca="1">-Проект!V508 / Параметры!V$64</f>
        <v>-35188.603050501428</v>
      </c>
      <c r="W41" s="138">
        <f ca="1">-Проект!W508 / Параметры!W$64</f>
        <v>-35704.955198554497</v>
      </c>
      <c r="X41" s="138">
        <f ca="1">-Проект!X508 / Параметры!X$64</f>
        <v>-36228.884218596962</v>
      </c>
      <c r="Y41" s="138">
        <f ca="1">-Проект!Y508 / Параметры!Y$64</f>
        <v>-36760.501292482826</v>
      </c>
      <c r="Z41" s="138">
        <f ca="1">-Проект!Z508 / Параметры!Z$64</f>
        <v>-37299.919233531517</v>
      </c>
      <c r="AA41" s="138">
        <f ca="1">-Проект!AA508 / Параметры!AA$64</f>
        <v>-37847.252510467777</v>
      </c>
      <c r="AB41" s="138">
        <f ca="1">-Проект!AB508 / Параметры!AB$64</f>
        <v>-38402.617271712785</v>
      </c>
      <c r="AC41" s="138">
        <f ca="1">-Проект!AC508 / Параметры!AC$64</f>
        <v>-38966.131370031799</v>
      </c>
      <c r="AD41" s="138">
        <f ca="1">-Проект!AD508 / Параметры!AD$64</f>
        <v>-39537.914387543409</v>
      </c>
      <c r="AE41" s="138">
        <f ca="1">-Проект!AE508 / Параметры!AE$64</f>
        <v>-40118.087661095837</v>
      </c>
      <c r="AF41" s="138">
        <f ca="1">-Проект!AF508 / Параметры!AF$64</f>
        <v>-40706.774308015556</v>
      </c>
      <c r="AG41" s="138">
        <f ca="1">-Проект!AG508 / Параметры!AG$64</f>
        <v>-41304.099252233704</v>
      </c>
      <c r="AH41" s="138">
        <f ca="1">-Проект!AH508 / Параметры!AH$64</f>
        <v>-41910.189250796022</v>
      </c>
      <c r="AI41" s="138">
        <f ca="1">-Проект!AI508 / Параметры!AI$64</f>
        <v>-42525.172920761601</v>
      </c>
      <c r="AJ41" s="138">
        <f ca="1">-Проект!AJ508 / Параметры!AJ$64</f>
        <v>-43149.180766496487</v>
      </c>
      <c r="AK41" s="138">
        <f ca="1">-Проект!AK508 / Параметры!AK$64</f>
        <v>-43782.345207367733</v>
      </c>
      <c r="AL41" s="138">
        <f ca="1">-Проект!AL508 / Параметры!AL$64</f>
        <v>-44424.800605843782</v>
      </c>
      <c r="AM41" s="138">
        <f ca="1">-Проект!AM508 / Параметры!AM$64</f>
        <v>-45076.683296007293</v>
      </c>
      <c r="AN41" s="138">
        <f ca="1">-Проект!AN508 / Параметры!AN$64</f>
        <v>-45738.131612486286</v>
      </c>
      <c r="AO41" s="138">
        <f ca="1">-Проект!AO508 / Параметры!AO$64</f>
        <v>-46409.285919809801</v>
      </c>
      <c r="AP41" s="138">
        <f ca="1">-Проект!AP508 / Параметры!AP$64</f>
        <v>-47090.288642194413</v>
      </c>
      <c r="AQ41" s="138">
        <f ca="1">-Проект!AQ508 / Параметры!AQ$64</f>
        <v>-47781.284293767734</v>
      </c>
      <c r="AR41" s="138">
        <f ca="1">-Проект!AR508 / Параметры!AR$64</f>
        <v>-48482.419509235464</v>
      </c>
      <c r="AS41" s="138">
        <f ca="1">-Проект!AS508 / Параметры!AS$64</f>
        <v>-49193.843074998396</v>
      </c>
      <c r="AT41" s="138">
        <f ca="1">-Проект!AT508 / Параметры!AT$64</f>
        <v>-49915.705960726089</v>
      </c>
      <c r="AU41" s="138">
        <f ca="1">-Проект!AU508 / Параметры!AU$64</f>
        <v>-50648.161351393814</v>
      </c>
      <c r="AV41" s="138">
        <f ca="1">-Проект!AV508 / Параметры!AV$64</f>
        <v>-51391.364679789593</v>
      </c>
      <c r="AW41" s="138"/>
      <c r="AX41" s="171">
        <f t="shared" ca="1" si="144"/>
        <v>-1596524.0659066052</v>
      </c>
    </row>
    <row r="42" spans="1:50" x14ac:dyDescent="0.2">
      <c r="A42" s="99" t="str">
        <f ca="1">Language!A1216</f>
        <v>Постоянные издержки</v>
      </c>
      <c r="C42" s="130" t="str">
        <f ca="1">Параметры!$C$64</f>
        <v>тыс. руб.</v>
      </c>
      <c r="D42" s="57"/>
      <c r="E42" s="243" t="s">
        <v>1029</v>
      </c>
      <c r="F42" s="57" t="s">
        <v>753</v>
      </c>
      <c r="G42" s="138">
        <f ca="1">-(Проект!G584+Проект!G610+Проект!G597) / Параметры!G$64</f>
        <v>-31388</v>
      </c>
      <c r="H42" s="138">
        <f ca="1">-(Проект!H584+Проект!H610+Проект!H597) / Параметры!H$64</f>
        <v>-31848.582683541877</v>
      </c>
      <c r="I42" s="138">
        <f ca="1">-(Проект!I584+Проект!I610+Проект!I597) / Параметры!I$64</f>
        <v>-32315.923886529999</v>
      </c>
      <c r="J42" s="138">
        <f ca="1">-(Проект!J584+Проект!J610+Проект!J597) / Параметры!J$64</f>
        <v>-32790.122782439037</v>
      </c>
      <c r="K42" s="138">
        <f ca="1">-(Проект!K584+Проект!K610+Проект!K597) / Параметры!K$64</f>
        <v>-33271.279999999999</v>
      </c>
      <c r="L42" s="138">
        <f ca="1">-(Проект!L584+Проект!L610+Проект!L597) / Параметры!L$64</f>
        <v>-33759.497644554394</v>
      </c>
      <c r="M42" s="138">
        <f ca="1">-(Проект!M584+Проект!M610+Проект!M597) / Параметры!M$64</f>
        <v>-34254.879319721796</v>
      </c>
      <c r="N42" s="138">
        <f ca="1">-(Проект!N584+Проект!N610+Проект!N597) / Параметры!N$64</f>
        <v>-34757.530149385384</v>
      </c>
      <c r="O42" s="138">
        <f ca="1">-(Проект!O584+Проект!O610+Проект!O597) / Параметры!O$64</f>
        <v>-35267.556799999998</v>
      </c>
      <c r="P42" s="138">
        <f ca="1">-(Проект!P584+Проект!P610+Проект!P597) / Параметры!P$64</f>
        <v>-35785.067503227663</v>
      </c>
      <c r="Q42" s="138">
        <f ca="1">-(Проект!Q584+Проект!Q610+Проект!Q597) / Параметры!Q$64</f>
        <v>-36310.172078905103</v>
      </c>
      <c r="R42" s="138">
        <f ca="1">-(Проект!R584+Проект!R610+Проект!R597) / Параметры!R$64</f>
        <v>-36842.981958348508</v>
      </c>
      <c r="S42" s="138">
        <f ca="1">-(Проект!S584+Проект!S610+Проект!S597) / Параметры!S$64</f>
        <v>-37383.610208000006</v>
      </c>
      <c r="T42" s="138">
        <f ca="1">-(Проект!T584+Проект!T610+Проект!T597) / Параметры!T$64</f>
        <v>-37932.171553421314</v>
      </c>
      <c r="U42" s="138">
        <f ca="1">-(Проект!U584+Проект!U610+Проект!U597) / Параметры!U$64</f>
        <v>-38488.782403639416</v>
      </c>
      <c r="V42" s="138">
        <f ca="1">-(Проект!V584+Проект!V610+Проект!V597) / Параметры!V$64</f>
        <v>-39053.56087584942</v>
      </c>
      <c r="W42" s="138">
        <f ca="1">-(Проект!W584+Проект!W610+Проект!W597) / Параметры!W$64</f>
        <v>-39626.626820480014</v>
      </c>
      <c r="X42" s="138">
        <f ca="1">-(Проект!X584+Проект!X610+Проект!X597) / Параметры!X$64</f>
        <v>-40208.101846626603</v>
      </c>
      <c r="Y42" s="138">
        <f ca="1">-(Проект!Y584+Проект!Y610+Проект!Y597) / Параметры!Y$64</f>
        <v>-40798.109347857782</v>
      </c>
      <c r="Z42" s="138">
        <f ca="1">-(Проект!Z584+Проект!Z610+Проект!Z597) / Параметры!Z$64</f>
        <v>-41396.77452840039</v>
      </c>
      <c r="AA42" s="138">
        <f ca="1">-(Проект!AA584+Проект!AA610+Проект!AA597) / Параметры!AA$64</f>
        <v>-42004.224429708811</v>
      </c>
      <c r="AB42" s="138">
        <f ca="1">-(Проект!AB584+Проект!AB610+Проект!AB597) / Параметры!AB$64</f>
        <v>-42620.587957424199</v>
      </c>
      <c r="AC42" s="138">
        <f ca="1">-(Проект!AC584+Проект!AC610+Проект!AC597) / Параметры!AC$64</f>
        <v>-43245.995908729259</v>
      </c>
      <c r="AD42" s="138">
        <f ca="1">-(Проект!AD584+Проект!AD610+Проект!AD597) / Параметры!AD$64</f>
        <v>-43880.581000104416</v>
      </c>
      <c r="AE42" s="138">
        <f ca="1">-(Проект!AE584+Проект!AE610+Проект!AE597) / Параметры!AE$64</f>
        <v>-44524.477895491342</v>
      </c>
      <c r="AF42" s="138">
        <f ca="1">-(Проект!AF584+Проект!AF610+Проект!AF597) / Параметры!AF$64</f>
        <v>-45177.823234869655</v>
      </c>
      <c r="AG42" s="138">
        <f ca="1">-(Проект!AG584+Проект!AG610+Проект!AG597) / Параметры!AG$64</f>
        <v>-45840.75566325301</v>
      </c>
      <c r="AH42" s="138">
        <f ca="1">-(Проект!AH584+Проект!AH610+Проект!AH597) / Параметры!AH$64</f>
        <v>-46513.415860110676</v>
      </c>
      <c r="AI42" s="138">
        <f ca="1">-(Проект!AI584+Проект!AI610+Проект!AI597) / Параметры!AI$64</f>
        <v>-47195.946569220825</v>
      </c>
      <c r="AJ42" s="138">
        <f ca="1">-(Проект!AJ584+Проект!AJ610+Проект!AJ597) / Параметры!AJ$64</f>
        <v>-47888.492628961838</v>
      </c>
      <c r="AK42" s="138">
        <f ca="1">-(Проект!AK584+Проект!AK610+Проект!AK597) / Параметры!AK$64</f>
        <v>-48591.201003048205</v>
      </c>
      <c r="AL42" s="138">
        <f ca="1">-(Проект!AL584+Проект!AL610+Проект!AL597) / Параметры!AL$64</f>
        <v>-49304.220811717329</v>
      </c>
      <c r="AM42" s="138">
        <f ca="1">-(Проект!AM584+Проект!AM610+Проект!AM597) / Параметры!AM$64</f>
        <v>-50027.703363374079</v>
      </c>
      <c r="AN42" s="138">
        <f ca="1">-(Проект!AN584+Проект!AN610+Проект!AN597) / Параметры!AN$64</f>
        <v>-50761.802186699555</v>
      </c>
      <c r="AO42" s="138">
        <f ca="1">-(Проект!AO584+Проект!AO610+Проект!AO597) / Параметры!AO$64</f>
        <v>-51506.673063231094</v>
      </c>
      <c r="AP42" s="138">
        <f ca="1">-(Проект!AP584+Проект!AP610+Проект!AP597) / Параметры!AP$64</f>
        <v>-52262.474060420376</v>
      </c>
      <c r="AQ42" s="138">
        <f ca="1">-(Проект!AQ584+Проект!AQ610+Проект!AQ597) / Параметры!AQ$64</f>
        <v>-53029.365565176522</v>
      </c>
      <c r="AR42" s="138">
        <f ca="1">-(Проект!AR584+Проект!AR610+Проект!AR597) / Параметры!AR$64</f>
        <v>-53807.51031790152</v>
      </c>
      <c r="AS42" s="138">
        <f ca="1">-(Проект!AS584+Проект!AS610+Проект!AS597) / Параметры!AS$64</f>
        <v>-54597.073447024959</v>
      </c>
      <c r="AT42" s="138">
        <f ca="1">-(Проект!AT584+Проект!AT610+Проект!AT597) / Параметры!AT$64</f>
        <v>-55398.222504045596</v>
      </c>
      <c r="AU42" s="138">
        <f ca="1">-(Проект!AU584+Проект!AU610+Проект!AU597) / Параметры!AU$64</f>
        <v>-56211.127499087117</v>
      </c>
      <c r="AV42" s="138">
        <f ca="1">-(Проект!AV584+Проект!AV610+Проект!AV597) / Параметры!AV$64</f>
        <v>-57035.960936975614</v>
      </c>
      <c r="AW42" s="138"/>
      <c r="AX42" s="171">
        <f t="shared" ca="1" si="144"/>
        <v>-1804904.9682975046</v>
      </c>
    </row>
    <row r="43" spans="1:50" x14ac:dyDescent="0.2">
      <c r="A43" s="99" t="str">
        <f ca="1">Language!A1217</f>
        <v>Налоги</v>
      </c>
      <c r="C43" s="130" t="str">
        <f ca="1">Параметры!$C$64</f>
        <v>тыс. руб.</v>
      </c>
      <c r="D43" s="57"/>
      <c r="E43" s="243" t="s">
        <v>1030</v>
      </c>
      <c r="F43" s="57" t="s">
        <v>753</v>
      </c>
      <c r="G43" s="138">
        <f ca="1">-(Проект!G1012-Проект!G955-Проект!G956) / Параметры!G$64</f>
        <v>29014.519004152564</v>
      </c>
      <c r="H43" s="138">
        <f ca="1">-(Проект!H1012-Проект!H955-Проект!H956) / Параметры!H$64</f>
        <v>9631.0898386684948</v>
      </c>
      <c r="I43" s="138">
        <f ca="1">-(Проект!I1012-Проект!I955-Проект!I956) / Параметры!I$64</f>
        <v>-6716.6904291367246</v>
      </c>
      <c r="J43" s="138">
        <f ca="1">-(Проект!J1012-Проект!J955-Проект!J956) / Параметры!J$64</f>
        <v>-10232.870440550356</v>
      </c>
      <c r="K43" s="138">
        <f ca="1">-(Проект!K1012-Проект!K955-Проект!K956) / Параметры!K$64</f>
        <v>-22775.827495949485</v>
      </c>
      <c r="L43" s="138">
        <f ca="1">-(Проект!L1012-Проект!L955-Проект!L956) / Параметры!L$64</f>
        <v>-18606.561615760096</v>
      </c>
      <c r="M43" s="138">
        <f ca="1">-(Проект!M1012-Проект!M955-Проект!M956) / Параметры!M$64</f>
        <v>-11616.890501456057</v>
      </c>
      <c r="N43" s="138">
        <f ca="1">-(Проект!N1012-Проект!N955-Проект!N956) / Параметры!N$64</f>
        <v>-14386.555272340363</v>
      </c>
      <c r="O43" s="138">
        <f ca="1">-(Проект!O1012-Проект!O955-Проект!O956) / Параметры!O$64</f>
        <v>-28445.032846299229</v>
      </c>
      <c r="P43" s="138">
        <f ca="1">-(Проект!P1012-Проект!P955-Проект!P956) / Параметры!P$64</f>
        <v>-23674.635818386872</v>
      </c>
      <c r="Q43" s="138">
        <f ca="1">-(Проект!Q1012-Проект!Q955-Проект!Q956) / Параметры!Q$64</f>
        <v>-15559.451401770053</v>
      </c>
      <c r="R43" s="138">
        <f ca="1">-(Проект!R1012-Проект!R955-Проект!R956) / Параметры!R$64</f>
        <v>-17868.842466274658</v>
      </c>
      <c r="S43" s="138">
        <f ca="1">-(Проект!S1012-Проект!S955-Проект!S956) / Параметры!S$64</f>
        <v>-32057.796745671792</v>
      </c>
      <c r="T43" s="138">
        <f ca="1">-(Проект!T1012-Проект!T955-Проект!T956) / Параметры!T$64</f>
        <v>-26266.654156912577</v>
      </c>
      <c r="U43" s="138">
        <f ca="1">-(Проект!U1012-Проект!U955-Проект!U956) / Параметры!U$64</f>
        <v>-17689.357380328693</v>
      </c>
      <c r="V43" s="138">
        <f ca="1">-(Проект!V1012-Проект!V955-Проект!V956) / Параметры!V$64</f>
        <v>-20286.368058203057</v>
      </c>
      <c r="W43" s="138">
        <f ca="1">-(Проект!W1012-Проект!W955-Проект!W956) / Параметры!W$64</f>
        <v>-35346.40171427506</v>
      </c>
      <c r="X43" s="138">
        <f ca="1">-(Проект!X1012-Проект!X955-Проект!X956) / Параметры!X$64</f>
        <v>-29227.82238293194</v>
      </c>
      <c r="Y43" s="138">
        <f ca="1">-(Проект!Y1012-Проект!Y955-Проект!Y956) / Параметры!Y$64</f>
        <v>-19123.969497546681</v>
      </c>
      <c r="Z43" s="138">
        <f ca="1">-(Проект!Z1012-Проект!Z955-Проект!Z956) / Параметры!Z$64</f>
        <v>-21366.155809728654</v>
      </c>
      <c r="AA43" s="138">
        <f ca="1">-(Проект!AA1012-Проект!AA955-Проект!AA956) / Параметры!AA$64</f>
        <v>-37327.775381873253</v>
      </c>
      <c r="AB43" s="138">
        <f ca="1">-(Проект!AB1012-Проект!AB955-Проект!AB956) / Параметры!AB$64</f>
        <v>-30840.035603368255</v>
      </c>
      <c r="AC43" s="138">
        <f ca="1">-(Проект!AC1012-Проект!AC955-Проект!AC956) / Параметры!AC$64</f>
        <v>-20672.189962941244</v>
      </c>
      <c r="AD43" s="138">
        <f ca="1">-(Проект!AD1012-Проект!AD955-Проект!AD956) / Параметры!AD$64</f>
        <v>-23326.945533337606</v>
      </c>
      <c r="AE43" s="138">
        <f ca="1">-(Проект!AE1012-Проект!AE955-Проект!AE956) / Параметры!AE$64</f>
        <v>-40256.223185570139</v>
      </c>
      <c r="AF43" s="138">
        <f ca="1">-(Проект!AF1012-Проект!AF955-Проект!AF956) / Параметры!AF$64</f>
        <v>-33389.326090912931</v>
      </c>
      <c r="AG43" s="138">
        <f ca="1">-(Проект!AG1012-Проект!AG955-Проект!AG956) / Параметры!AG$64</f>
        <v>-22276.99070343225</v>
      </c>
      <c r="AH43" s="138">
        <f ca="1">-(Проект!AH1012-Проект!AH955-Проект!AH956) / Параметры!AH$64</f>
        <v>-24924.04258072823</v>
      </c>
      <c r="AI43" s="138">
        <f ca="1">-(Проект!AI1012-Проект!AI955-Проект!AI956) / Параметры!AI$64</f>
        <v>-42871.974687864116</v>
      </c>
      <c r="AJ43" s="138">
        <f ca="1">-(Проект!AJ1012-Проект!AJ955-Проект!AJ956) / Параметры!AJ$64</f>
        <v>-35596.004085106186</v>
      </c>
      <c r="AK43" s="138">
        <f ca="1">-(Проект!AK1012-Проект!AK955-Проект!AK956) / Параметры!AK$64</f>
        <v>-23611.996649036155</v>
      </c>
      <c r="AL43" s="138">
        <f ca="1">-(Проект!AL1012-Проект!AL955-Проект!AL956) / Параметры!AL$64</f>
        <v>-26313.890268425414</v>
      </c>
      <c r="AM43" s="138">
        <f ca="1">-(Проект!AM1012-Проект!AM955-Проект!AM956) / Параметры!AM$64</f>
        <v>-45337.148819152746</v>
      </c>
      <c r="AN43" s="138">
        <f ca="1">-(Проект!AN1012-Проект!AN955-Проект!AN956) / Параметры!AN$64</f>
        <v>-37623.047760519854</v>
      </c>
      <c r="AO43" s="138">
        <f ca="1">-(Проект!AO1012-Проект!AO955-Проект!AO956) / Параметры!AO$64</f>
        <v>-24962.072055575976</v>
      </c>
      <c r="AP43" s="138">
        <f ca="1">-(Проект!AP1012-Проект!AP955-Проект!AP956) / Параметры!AP$64</f>
        <v>-27846.935096321486</v>
      </c>
      <c r="AQ43" s="138">
        <f ca="1">-(Проект!AQ1012-Проект!AQ955-Проект!AQ956) / Параметры!AQ$64</f>
        <v>-48010.917265392796</v>
      </c>
      <c r="AR43" s="138">
        <f ca="1">-(Проект!AR1012-Проект!AR955-Проект!AR956) / Параметры!AR$64</f>
        <v>-39833.288389262787</v>
      </c>
      <c r="AS43" s="138">
        <f ca="1">-(Проект!AS1012-Проект!AS955-Проект!AS956) / Параметры!AS$64</f>
        <v>-24668.92526203988</v>
      </c>
      <c r="AT43" s="138">
        <f ca="1">-(Проект!AT1012-Проект!AT955-Проект!AT956) / Параметры!AT$64</f>
        <v>-26829.082556928141</v>
      </c>
      <c r="AU43" s="138">
        <f ca="1">-(Проект!AU1012-Проект!AU955-Проект!AU956) / Параметры!AU$64</f>
        <v>-48163.450546045977</v>
      </c>
      <c r="AV43" s="138">
        <f ca="1">-(Проект!AV1012-Проект!AV955-Проект!AV956) / Параметры!AV$64</f>
        <v>-39455.131898381951</v>
      </c>
      <c r="AW43" s="138"/>
      <c r="AX43" s="171">
        <f t="shared" ca="1" si="144"/>
        <v>-1056739.6695729187</v>
      </c>
    </row>
    <row r="44" spans="1:50" x14ac:dyDescent="0.2">
      <c r="A44" s="99" t="str">
        <f ca="1">Language!A1218</f>
        <v>Выплата процентов по кредитам</v>
      </c>
      <c r="C44" s="130" t="str">
        <f ca="1">Параметры!$C$64</f>
        <v>тыс. руб.</v>
      </c>
      <c r="D44" s="57"/>
      <c r="E44" s="243" t="s">
        <v>1031</v>
      </c>
      <c r="F44" s="57" t="s">
        <v>753</v>
      </c>
      <c r="G44" s="138">
        <f>-(Старт!G117+Проект!G938) / Параметры!G$64</f>
        <v>-78358.751999999993</v>
      </c>
      <c r="H44" s="138">
        <f>-(Старт!H117+Проект!H938) / Параметры!H$64</f>
        <v>-83498.7</v>
      </c>
      <c r="I44" s="138">
        <f>-(Старт!I117+Проект!I938) / Параметры!I$64</f>
        <v>-89123.7</v>
      </c>
      <c r="J44" s="138">
        <f>-(Старт!J117+Проект!J938) / Параметры!J$64</f>
        <v>-92873.7</v>
      </c>
      <c r="K44" s="138">
        <f>-(Старт!K117+Проект!K938) / Параметры!K$64</f>
        <v>-92873.7</v>
      </c>
      <c r="L44" s="138">
        <f>-(Старт!L117+Проект!L938) / Параметры!L$64</f>
        <v>-92873.7</v>
      </c>
      <c r="M44" s="138">
        <f>-(Старт!M117+Проект!M938) / Параметры!M$64</f>
        <v>-92873.7</v>
      </c>
      <c r="N44" s="138">
        <f>-(Старт!N117+Проект!N938) / Параметры!N$64</f>
        <v>-92873.7</v>
      </c>
      <c r="O44" s="138">
        <f>-(Старт!O117+Проект!O938) / Параметры!O$64</f>
        <v>-92873.7</v>
      </c>
      <c r="P44" s="138">
        <f>-(Старт!P117+Проект!P938) / Параметры!P$64</f>
        <v>-92873.7</v>
      </c>
      <c r="Q44" s="138">
        <f>-(Старт!Q117+Проект!Q938) / Параметры!Q$64</f>
        <v>-92873.7</v>
      </c>
      <c r="R44" s="138">
        <f>-(Старт!R117+Проект!R938) / Параметры!R$64</f>
        <v>-92873.7</v>
      </c>
      <c r="S44" s="138">
        <f>-(Старт!S117+Проект!S938) / Параметры!S$64</f>
        <v>-92873.7</v>
      </c>
      <c r="T44" s="138">
        <f>-(Старт!T117+Проект!T938) / Параметры!T$64</f>
        <v>-92873.7</v>
      </c>
      <c r="U44" s="138">
        <f>-(Старт!U117+Проект!U938) / Параметры!U$64</f>
        <v>-90925.972670843345</v>
      </c>
      <c r="V44" s="138">
        <f>-(Старт!V117+Проект!V938) / Параметры!V$64</f>
        <v>-87904.031537642775</v>
      </c>
      <c r="W44" s="138">
        <f>-(Старт!W117+Проект!W938) / Параметры!W$64</f>
        <v>-81507.329734259736</v>
      </c>
      <c r="X44" s="138">
        <f>-(Старт!X117+Проект!X938) / Параметры!X$64</f>
        <v>-76153.876932454164</v>
      </c>
      <c r="Y44" s="138">
        <f>-(Старт!Y117+Проект!Y938) / Параметры!Y$64</f>
        <v>-73792.406964681519</v>
      </c>
      <c r="Z44" s="138">
        <f>-(Старт!Z117+Проект!Z938) / Параметры!Z$64</f>
        <v>-70340.814062279576</v>
      </c>
      <c r="AA44" s="138">
        <f>-(Старт!AA117+Проект!AA938) / Параметры!AA$64</f>
        <v>-63309.383172896283</v>
      </c>
      <c r="AB44" s="138">
        <f>-(Старт!AB117+Проект!AB938) / Параметры!AB$64</f>
        <v>-57381.179811790062</v>
      </c>
      <c r="AC44" s="138">
        <f>-(Старт!AC117+Проект!AC938) / Параметры!AC$64</f>
        <v>-54475.256799968745</v>
      </c>
      <c r="AD44" s="138">
        <f>-(Старт!AD117+Проект!AD938) / Параметры!AD$64</f>
        <v>-50332.244897342818</v>
      </c>
      <c r="AE44" s="138">
        <f>-(Старт!AE117+Проект!AE938) / Параметры!AE$64</f>
        <v>-42385.777619985973</v>
      </c>
      <c r="AF44" s="138">
        <f>-(Старт!AF117+Проект!AF938) / Параметры!AF$64</f>
        <v>-35599.753111931474</v>
      </c>
      <c r="AG44" s="138">
        <f>-(Старт!AG117+Проект!AG938) / Параметры!AG$64</f>
        <v>-32080.009716452128</v>
      </c>
      <c r="AH44" s="138">
        <f>-(Старт!AH117+Проект!AH938) / Параметры!AH$64</f>
        <v>-27310.067962892499</v>
      </c>
      <c r="AI44" s="138">
        <f>-(Старт!AI117+Проект!AI938) / Параметры!AI$64</f>
        <v>-18502.88935820261</v>
      </c>
      <c r="AJ44" s="138">
        <f>-(Старт!AJ117+Проект!AJ938) / Параметры!AJ$64</f>
        <v>-10920.123858288463</v>
      </c>
      <c r="AK44" s="138">
        <f>-(Старт!AK117+Проект!AK938) / Параметры!AK$64</f>
        <v>-6846.0433318781834</v>
      </c>
      <c r="AL44" s="138">
        <f>-(Старт!AL117+Проект!AL938) / Параметры!AL$64</f>
        <v>-1474.7826981396122</v>
      </c>
      <c r="AM44" s="138">
        <f>-(Старт!AM117+Проект!AM938) / Параметры!AM$64</f>
        <v>0</v>
      </c>
      <c r="AN44" s="138">
        <f>-(Старт!AN117+Проект!AN938) / Параметры!AN$64</f>
        <v>0</v>
      </c>
      <c r="AO44" s="138">
        <f>-(Старт!AO117+Проект!AO938) / Параметры!AO$64</f>
        <v>0</v>
      </c>
      <c r="AP44" s="138">
        <f>-(Старт!AP117+Проект!AP938) / Параметры!AP$64</f>
        <v>0</v>
      </c>
      <c r="AQ44" s="138">
        <f>-(Старт!AQ117+Проект!AQ938) / Параметры!AQ$64</f>
        <v>0</v>
      </c>
      <c r="AR44" s="138">
        <f>-(Старт!AR117+Проект!AR938) / Параметры!AR$64</f>
        <v>0</v>
      </c>
      <c r="AS44" s="138">
        <f>-(Старт!AS117+Проект!AS938) / Параметры!AS$64</f>
        <v>0</v>
      </c>
      <c r="AT44" s="138">
        <f>-(Старт!AT117+Проект!AT938) / Параметры!AT$64</f>
        <v>0</v>
      </c>
      <c r="AU44" s="138">
        <f>-(Старт!AU117+Проект!AU938) / Параметры!AU$64</f>
        <v>0</v>
      </c>
      <c r="AV44" s="138">
        <f>-(Старт!AV117+Проект!AV938) / Параметры!AV$64</f>
        <v>0</v>
      </c>
      <c r="AW44" s="138"/>
      <c r="AX44" s="171">
        <f t="shared" si="144"/>
        <v>-2153833.7962419293</v>
      </c>
    </row>
    <row r="45" spans="1:50" x14ac:dyDescent="0.2">
      <c r="A45" s="99" t="str">
        <f ca="1">Language!A1219</f>
        <v>Лизинговые платежи</v>
      </c>
      <c r="C45" s="130" t="str">
        <f ca="1">Параметры!$C$64</f>
        <v>тыс. руб.</v>
      </c>
      <c r="D45" s="57"/>
      <c r="E45" s="243" t="s">
        <v>1032</v>
      </c>
      <c r="F45" s="57" t="s">
        <v>753</v>
      </c>
      <c r="G45" s="138">
        <f>-Проект!G828/ Параметры!G$64</f>
        <v>0</v>
      </c>
      <c r="H45" s="138">
        <f>-Проект!H828/ Параметры!H$64</f>
        <v>0</v>
      </c>
      <c r="I45" s="138">
        <f>-Проект!I828/ Параметры!I$64</f>
        <v>0</v>
      </c>
      <c r="J45" s="138">
        <f>-Проект!J828/ Параметры!J$64</f>
        <v>0</v>
      </c>
      <c r="K45" s="138">
        <f>-Проект!K828/ Параметры!K$64</f>
        <v>0</v>
      </c>
      <c r="L45" s="138">
        <f>-Проект!L828/ Параметры!L$64</f>
        <v>0</v>
      </c>
      <c r="M45" s="138">
        <f>-Проект!M828/ Параметры!M$64</f>
        <v>0</v>
      </c>
      <c r="N45" s="138">
        <f>-Проект!N828/ Параметры!N$64</f>
        <v>0</v>
      </c>
      <c r="O45" s="138">
        <f>-Проект!O828/ Параметры!O$64</f>
        <v>0</v>
      </c>
      <c r="P45" s="138">
        <f>-Проект!P828/ Параметры!P$64</f>
        <v>0</v>
      </c>
      <c r="Q45" s="138">
        <f>-Проект!Q828/ Параметры!Q$64</f>
        <v>0</v>
      </c>
      <c r="R45" s="138">
        <f>-Проект!R828/ Параметры!R$64</f>
        <v>0</v>
      </c>
      <c r="S45" s="138">
        <f>-Проект!S828/ Параметры!S$64</f>
        <v>0</v>
      </c>
      <c r="T45" s="138">
        <f>-Проект!T828/ Параметры!T$64</f>
        <v>0</v>
      </c>
      <c r="U45" s="138">
        <f>-Проект!U828/ Параметры!U$64</f>
        <v>0</v>
      </c>
      <c r="V45" s="138">
        <f>-Проект!V828/ Параметры!V$64</f>
        <v>0</v>
      </c>
      <c r="W45" s="138">
        <f>-Проект!W828/ Параметры!W$64</f>
        <v>0</v>
      </c>
      <c r="X45" s="138">
        <f>-Проект!X828/ Параметры!X$64</f>
        <v>0</v>
      </c>
      <c r="Y45" s="138">
        <f>-Проект!Y828/ Параметры!Y$64</f>
        <v>0</v>
      </c>
      <c r="Z45" s="138">
        <f>-Проект!Z828/ Параметры!Z$64</f>
        <v>0</v>
      </c>
      <c r="AA45" s="138">
        <f>-Проект!AA828/ Параметры!AA$64</f>
        <v>0</v>
      </c>
      <c r="AB45" s="138">
        <f>-Проект!AB828/ Параметры!AB$64</f>
        <v>0</v>
      </c>
      <c r="AC45" s="138">
        <f>-Проект!AC828/ Параметры!AC$64</f>
        <v>0</v>
      </c>
      <c r="AD45" s="138">
        <f>-Проект!AD828/ Параметры!AD$64</f>
        <v>0</v>
      </c>
      <c r="AE45" s="138">
        <f>-Проект!AE828/ Параметры!AE$64</f>
        <v>0</v>
      </c>
      <c r="AF45" s="138">
        <f>-Проект!AF828/ Параметры!AF$64</f>
        <v>0</v>
      </c>
      <c r="AG45" s="138">
        <f>-Проект!AG828/ Параметры!AG$64</f>
        <v>0</v>
      </c>
      <c r="AH45" s="138">
        <f>-Проект!AH828/ Параметры!AH$64</f>
        <v>0</v>
      </c>
      <c r="AI45" s="138">
        <f>-Проект!AI828/ Параметры!AI$64</f>
        <v>0</v>
      </c>
      <c r="AJ45" s="138">
        <f>-Проект!AJ828/ Параметры!AJ$64</f>
        <v>0</v>
      </c>
      <c r="AK45" s="138">
        <f>-Проект!AK828/ Параметры!AK$64</f>
        <v>0</v>
      </c>
      <c r="AL45" s="138">
        <f>-Проект!AL828/ Параметры!AL$64</f>
        <v>0</v>
      </c>
      <c r="AM45" s="138">
        <f>-Проект!AM828/ Параметры!AM$64</f>
        <v>0</v>
      </c>
      <c r="AN45" s="138">
        <f>-Проект!AN828/ Параметры!AN$64</f>
        <v>0</v>
      </c>
      <c r="AO45" s="138">
        <f>-Проект!AO828/ Параметры!AO$64</f>
        <v>0</v>
      </c>
      <c r="AP45" s="138">
        <f>-Проект!AP828/ Параметры!AP$64</f>
        <v>0</v>
      </c>
      <c r="AQ45" s="138">
        <f>-Проект!AQ828/ Параметры!AQ$64</f>
        <v>0</v>
      </c>
      <c r="AR45" s="138">
        <f>-Проект!AR828/ Параметры!AR$64</f>
        <v>0</v>
      </c>
      <c r="AS45" s="138">
        <f>-Проект!AS828/ Параметры!AS$64</f>
        <v>0</v>
      </c>
      <c r="AT45" s="138">
        <f>-Проект!AT828/ Параметры!AT$64</f>
        <v>0</v>
      </c>
      <c r="AU45" s="138">
        <f>-Проект!AU828/ Параметры!AU$64</f>
        <v>0</v>
      </c>
      <c r="AV45" s="138">
        <f>-Проект!AV828/ Параметры!AV$64</f>
        <v>0</v>
      </c>
      <c r="AW45" s="138"/>
      <c r="AX45" s="171">
        <f t="shared" si="144"/>
        <v>0</v>
      </c>
    </row>
    <row r="46" spans="1:50" x14ac:dyDescent="0.2">
      <c r="A46" s="99" t="str">
        <f ca="1">Language!A1220</f>
        <v>Прочие поступления</v>
      </c>
      <c r="C46" s="130" t="str">
        <f ca="1">Параметры!$C$64</f>
        <v>тыс. руб.</v>
      </c>
      <c r="D46" s="57"/>
      <c r="E46" s="243" t="s">
        <v>1033</v>
      </c>
      <c r="F46" s="57" t="s">
        <v>753</v>
      </c>
      <c r="G46" s="138">
        <f>(Проект!G846+Проект!G854+Проект!G871+MAX(0,Проект!G621)+MAX(0,Проект!G627)+MAX(0,Проект!G633)+MAX(0,Проект!G639)+MAX(0,Проект!G645)+MAX(0,Проект!G651)+MAX(0,Проект!G657)+MAX(0,Проект!G663)+MAX(0,Проект!G668)) / Параметры!G$64</f>
        <v>186528.12</v>
      </c>
      <c r="H46" s="138">
        <f>(Проект!H846+Проект!H854+Проект!H871+MAX(0,Проект!H621)+MAX(0,Проект!H627)+MAX(0,Проект!H633)+MAX(0,Проект!H639)+MAX(0,Проект!H645)+MAX(0,Проект!H651)+MAX(0,Проект!H657)+MAX(0,Проект!H663)+MAX(0,Проект!H668)) / Параметры!H$64</f>
        <v>77932.12000000001</v>
      </c>
      <c r="I46" s="138">
        <f>(Проект!I846+Проект!I854+Проект!I871+MAX(0,Проект!I621)+MAX(0,Проект!I627)+MAX(0,Проект!I633)+MAX(0,Проект!I639)+MAX(0,Проект!I645)+MAX(0,Проект!I651)+MAX(0,Проект!I657)+MAX(0,Проект!I663)+MAX(0,Проект!I668)) / Параметры!I$64</f>
        <v>83182.12000000001</v>
      </c>
      <c r="J46" s="138">
        <f>(Проект!J846+Проект!J854+Проект!J871+MAX(0,Проект!J621)+MAX(0,Проект!J627)+MAX(0,Проект!J633)+MAX(0,Проект!J639)+MAX(0,Проект!J645)+MAX(0,Проект!J651)+MAX(0,Проект!J657)+MAX(0,Проект!J663)+MAX(0,Проект!J668)) / Параметры!J$64</f>
        <v>86682.12000000001</v>
      </c>
      <c r="K46" s="138">
        <f>(Проект!K846+Проект!K854+Проект!K871+MAX(0,Проект!K621)+MAX(0,Проект!K627)+MAX(0,Проект!K633)+MAX(0,Проект!K639)+MAX(0,Проект!K645)+MAX(0,Проект!K651)+MAX(0,Проект!K657)+MAX(0,Проект!K663)+MAX(0,Проект!K668)) / Параметры!K$64</f>
        <v>86682.12000000001</v>
      </c>
      <c r="L46" s="138">
        <f>(Проект!L846+Проект!L854+Проект!L871+MAX(0,Проект!L621)+MAX(0,Проект!L627)+MAX(0,Проект!L633)+MAX(0,Проект!L639)+MAX(0,Проект!L645)+MAX(0,Проект!L651)+MAX(0,Проект!L657)+MAX(0,Проект!L663)+MAX(0,Проект!L668)) / Параметры!L$64</f>
        <v>86682.12000000001</v>
      </c>
      <c r="M46" s="138">
        <f>(Проект!M846+Проект!M854+Проект!M871+MAX(0,Проект!M621)+MAX(0,Проект!M627)+MAX(0,Проект!M633)+MAX(0,Проект!M639)+MAX(0,Проект!M645)+MAX(0,Проект!M651)+MAX(0,Проект!M657)+MAX(0,Проект!M663)+MAX(0,Проект!M668)) / Параметры!M$64</f>
        <v>86682.12000000001</v>
      </c>
      <c r="N46" s="138">
        <f>(Проект!N846+Проект!N854+Проект!N871+MAX(0,Проект!N621)+MAX(0,Проект!N627)+MAX(0,Проект!N633)+MAX(0,Проект!N639)+MAX(0,Проект!N645)+MAX(0,Проект!N651)+MAX(0,Проект!N657)+MAX(0,Проект!N663)+MAX(0,Проект!N668)) / Параметры!N$64</f>
        <v>86682.12000000001</v>
      </c>
      <c r="O46" s="138">
        <f>(Проект!O846+Проект!O854+Проект!O871+MAX(0,Проект!O621)+MAX(0,Проект!O627)+MAX(0,Проект!O633)+MAX(0,Проект!O639)+MAX(0,Проект!O645)+MAX(0,Проект!O651)+MAX(0,Проект!O657)+MAX(0,Проект!O663)+MAX(0,Проект!O668)) / Параметры!O$64</f>
        <v>86682.12000000001</v>
      </c>
      <c r="P46" s="138">
        <f>(Проект!P846+Проект!P854+Проект!P871+MAX(0,Проект!P621)+MAX(0,Проект!P627)+MAX(0,Проект!P633)+MAX(0,Проект!P639)+MAX(0,Проект!P645)+MAX(0,Проект!P651)+MAX(0,Проект!P657)+MAX(0,Проект!P663)+MAX(0,Проект!P668)) / Параметры!P$64</f>
        <v>86682.12000000001</v>
      </c>
      <c r="Q46" s="138">
        <f>(Проект!Q846+Проект!Q854+Проект!Q871+MAX(0,Проект!Q621)+MAX(0,Проект!Q627)+MAX(0,Проект!Q633)+MAX(0,Проект!Q639)+MAX(0,Проект!Q645)+MAX(0,Проект!Q651)+MAX(0,Проект!Q657)+MAX(0,Проект!Q663)+MAX(0,Проект!Q668)) / Параметры!Q$64</f>
        <v>86682.12000000001</v>
      </c>
      <c r="R46" s="138">
        <f>(Проект!R846+Проект!R854+Проект!R871+MAX(0,Проект!R621)+MAX(0,Проект!R627)+MAX(0,Проект!R633)+MAX(0,Проект!R639)+MAX(0,Проект!R645)+MAX(0,Проект!R651)+MAX(0,Проект!R657)+MAX(0,Проект!R663)+MAX(0,Проект!R668)) / Параметры!R$64</f>
        <v>86682.12000000001</v>
      </c>
      <c r="S46" s="138">
        <f>(Проект!S846+Проект!S854+Проект!S871+MAX(0,Проект!S621)+MAX(0,Проект!S627)+MAX(0,Проект!S633)+MAX(0,Проект!S639)+MAX(0,Проект!S645)+MAX(0,Проект!S651)+MAX(0,Проект!S657)+MAX(0,Проект!S663)+MAX(0,Проект!S668)) / Параметры!S$64</f>
        <v>86682.12000000001</v>
      </c>
      <c r="T46" s="138">
        <f>(Проект!T846+Проект!T854+Проект!T871+MAX(0,Проект!T621)+MAX(0,Проект!T627)+MAX(0,Проект!T633)+MAX(0,Проект!T639)+MAX(0,Проект!T645)+MAX(0,Проект!T651)+MAX(0,Проект!T657)+MAX(0,Проект!T663)+MAX(0,Проект!T668)) / Параметры!T$64</f>
        <v>86682.12000000001</v>
      </c>
      <c r="U46" s="138">
        <f>(Проект!U846+Проект!U854+Проект!U871+MAX(0,Проект!U621)+MAX(0,Проект!U627)+MAX(0,Проект!U633)+MAX(0,Проект!U639)+MAX(0,Проект!U645)+MAX(0,Проект!U651)+MAX(0,Проект!U657)+MAX(0,Проект!U663)+MAX(0,Проект!U668)) / Параметры!U$64</f>
        <v>84864.241159453813</v>
      </c>
      <c r="V46" s="138">
        <f>(Проект!V846+Проект!V854+Проект!V871+MAX(0,Проект!V621)+MAX(0,Проект!V627)+MAX(0,Проект!V633)+MAX(0,Проект!V639)+MAX(0,Проект!V645)+MAX(0,Проект!V651)+MAX(0,Проект!V657)+MAX(0,Проект!V663)+MAX(0,Проект!V668)) / Параметры!V$64</f>
        <v>82043.762768466608</v>
      </c>
      <c r="W46" s="138">
        <f>(Проект!W846+Проект!W854+Проект!W871+MAX(0,Проект!W621)+MAX(0,Проект!W627)+MAX(0,Проект!W633)+MAX(0,Проект!W639)+MAX(0,Проект!W645)+MAX(0,Проект!W651)+MAX(0,Проект!W657)+MAX(0,Проект!W663)+MAX(0,Проект!W668)) / Параметры!W$64</f>
        <v>76073.507751975776</v>
      </c>
      <c r="X46" s="138">
        <f>(Проект!X846+Проект!X854+Проект!X871+MAX(0,Проект!X621)+MAX(0,Проект!X627)+MAX(0,Проект!X633)+MAX(0,Проект!X639)+MAX(0,Проект!X645)+MAX(0,Проект!X651)+MAX(0,Проект!X657)+MAX(0,Проект!X663)+MAX(0,Проект!X668)) / Параметры!X$64</f>
        <v>71076.951803623902</v>
      </c>
      <c r="Y46" s="138">
        <f>(Проект!Y846+Проект!Y854+Проект!Y871+MAX(0,Проект!Y621)+MAX(0,Проект!Y627)+MAX(0,Проект!Y633)+MAX(0,Проект!Y639)+MAX(0,Проект!Y645)+MAX(0,Проект!Y651)+MAX(0,Проект!Y657)+MAX(0,Проект!Y663)+MAX(0,Проект!Y668)) / Параметры!Y$64</f>
        <v>68872.913167036109</v>
      </c>
      <c r="Z46" s="138">
        <f>(Проект!Z846+Проект!Z854+Проект!Z871+MAX(0,Проект!Z621)+MAX(0,Проект!Z627)+MAX(0,Проект!Z633)+MAX(0,Проект!Z639)+MAX(0,Проект!Z645)+MAX(0,Проект!Z651)+MAX(0,Проект!Z657)+MAX(0,Проект!Z663)+MAX(0,Проект!Z668)) / Параметры!Z$64</f>
        <v>65651.426458127622</v>
      </c>
      <c r="AA46" s="138">
        <f>(Проект!AA846+Проект!AA854+Проект!AA871+MAX(0,Проект!AA621)+MAX(0,Проект!AA627)+MAX(0,Проект!AA633)+MAX(0,Проект!AA639)+MAX(0,Проект!AA645)+MAX(0,Проект!AA651)+MAX(0,Проект!AA657)+MAX(0,Проект!AA663)+MAX(0,Проект!AA668)) / Параметры!AA$64</f>
        <v>59088.757628036532</v>
      </c>
      <c r="AB46" s="138">
        <f>(Проект!AB846+Проект!AB854+Проект!AB871+MAX(0,Проект!AB621)+MAX(0,Проект!AB627)+MAX(0,Проект!AB633)+MAX(0,Проект!AB639)+MAX(0,Проект!AB645)+MAX(0,Проект!AB651)+MAX(0,Проект!AB657)+MAX(0,Проект!AB663)+MAX(0,Проект!AB668)) / Параметры!AB$64</f>
        <v>53555.767824337403</v>
      </c>
      <c r="AC46" s="138">
        <f>(Проект!AC846+Проект!AC854+Проект!AC871+MAX(0,Проект!AC621)+MAX(0,Проект!AC627)+MAX(0,Проект!AC633)+MAX(0,Проект!AC639)+MAX(0,Проект!AC645)+MAX(0,Проект!AC651)+MAX(0,Проект!AC657)+MAX(0,Проект!AC663)+MAX(0,Проект!AC668)) / Параметры!AC$64</f>
        <v>50843.573013304165</v>
      </c>
      <c r="AD46" s="138">
        <f>(Проект!AD846+Проект!AD854+Проект!AD871+MAX(0,Проект!AD621)+MAX(0,Проект!AD627)+MAX(0,Проект!AD633)+MAX(0,Проект!AD639)+MAX(0,Проект!AD645)+MAX(0,Проект!AD651)+MAX(0,Проект!AD657)+MAX(0,Проект!AD663)+MAX(0,Проект!AD668)) / Параметры!AD$64</f>
        <v>46976.761904186642</v>
      </c>
      <c r="AE46" s="138">
        <f>(Проект!AE846+Проект!AE854+Проект!AE871+MAX(0,Проект!AE621)+MAX(0,Проект!AE627)+MAX(0,Проект!AE633)+MAX(0,Проект!AE639)+MAX(0,Проект!AE645)+MAX(0,Проект!AE651)+MAX(0,Проект!AE657)+MAX(0,Проект!AE663)+MAX(0,Проект!AE668)) / Параметры!AE$64</f>
        <v>39560.059111986913</v>
      </c>
      <c r="AF46" s="138">
        <f>(Проект!AF846+Проект!AF854+Проект!AF871+MAX(0,Проект!AF621)+MAX(0,Проект!AF627)+MAX(0,Проект!AF633)+MAX(0,Проект!AF639)+MAX(0,Проект!AF645)+MAX(0,Проект!AF651)+MAX(0,Проект!AF657)+MAX(0,Проект!AF663)+MAX(0,Проект!AF668)) / Параметры!AF$64</f>
        <v>33226.436237802714</v>
      </c>
      <c r="AG46" s="138">
        <f>(Проект!AG846+Проект!AG854+Проект!AG871+MAX(0,Проект!AG621)+MAX(0,Проект!AG627)+MAX(0,Проект!AG633)+MAX(0,Проект!AG639)+MAX(0,Проект!AG645)+MAX(0,Проект!AG651)+MAX(0,Проект!AG657)+MAX(0,Проект!AG663)+MAX(0,Проект!AG668)) / Параметры!AG$64</f>
        <v>29941.342402021986</v>
      </c>
      <c r="AH46" s="138">
        <f>(Проект!AH846+Проект!AH854+Проект!AH871+MAX(0,Проект!AH621)+MAX(0,Проект!AH627)+MAX(0,Проект!AH633)+MAX(0,Проект!AH639)+MAX(0,Проект!AH645)+MAX(0,Проект!AH651)+MAX(0,Проект!AH657)+MAX(0,Проект!AH663)+MAX(0,Проект!AH668)) / Параметры!AH$64</f>
        <v>25489.396765366339</v>
      </c>
      <c r="AI46" s="138">
        <f>(Проект!AI846+Проект!AI854+Проект!AI871+MAX(0,Проект!AI621)+MAX(0,Проект!AI627)+MAX(0,Проект!AI633)+MAX(0,Проект!AI639)+MAX(0,Проект!AI645)+MAX(0,Проект!AI651)+MAX(0,Проект!AI657)+MAX(0,Проект!AI663)+MAX(0,Проект!AI668)) / Параметры!AI$64</f>
        <v>17269.363400989107</v>
      </c>
      <c r="AJ46" s="138">
        <f>(Проект!AJ846+Проект!AJ854+Проект!AJ871+MAX(0,Проект!AJ621)+MAX(0,Проект!AJ627)+MAX(0,Проект!AJ633)+MAX(0,Проект!AJ639)+MAX(0,Проект!AJ645)+MAX(0,Проект!AJ651)+MAX(0,Проект!AJ657)+MAX(0,Проект!AJ663)+MAX(0,Проект!AJ668)) / Параметры!AJ$64</f>
        <v>10192.115601069234</v>
      </c>
      <c r="AK46" s="138">
        <f>(Проект!AK846+Проект!AK854+Проект!AK871+MAX(0,Проект!AK621)+MAX(0,Проект!AK627)+MAX(0,Проект!AK633)+MAX(0,Проект!AK639)+MAX(0,Проект!AK645)+MAX(0,Проект!AK651)+MAX(0,Проект!AK657)+MAX(0,Проект!AK663)+MAX(0,Проект!AK668)) / Параметры!AK$64</f>
        <v>6389.6404430863058</v>
      </c>
      <c r="AL46" s="138">
        <f>(Проект!AL846+Проект!AL854+Проект!AL871+MAX(0,Проект!AL621)+MAX(0,Проект!AL627)+MAX(0,Проект!AL633)+MAX(0,Проект!AL639)+MAX(0,Проект!AL645)+MAX(0,Проект!AL651)+MAX(0,Проект!AL657)+MAX(0,Проект!AL663)+MAX(0,Проект!AL668)) / Параметры!AL$64</f>
        <v>1376.4638515969716</v>
      </c>
      <c r="AM46" s="138">
        <f>(Проект!AM846+Проект!AM854+Проект!AM871+MAX(0,Проект!AM621)+MAX(0,Проект!AM627)+MAX(0,Проект!AM633)+MAX(0,Проект!AM639)+MAX(0,Проект!AM645)+MAX(0,Проект!AM651)+MAX(0,Проект!AM657)+MAX(0,Проект!AM663)+MAX(0,Проект!AM668)) / Параметры!AM$64</f>
        <v>0</v>
      </c>
      <c r="AN46" s="138">
        <f>(Проект!AN846+Проект!AN854+Проект!AN871+MAX(0,Проект!AN621)+MAX(0,Проект!AN627)+MAX(0,Проект!AN633)+MAX(0,Проект!AN639)+MAX(0,Проект!AN645)+MAX(0,Проект!AN651)+MAX(0,Проект!AN657)+MAX(0,Проект!AN663)+MAX(0,Проект!AN668)) / Параметры!AN$64</f>
        <v>0</v>
      </c>
      <c r="AO46" s="138">
        <f>(Проект!AO846+Проект!AO854+Проект!AO871+MAX(0,Проект!AO621)+MAX(0,Проект!AO627)+MAX(0,Проект!AO633)+MAX(0,Проект!AO639)+MAX(0,Проект!AO645)+MAX(0,Проект!AO651)+MAX(0,Проект!AO657)+MAX(0,Проект!AO663)+MAX(0,Проект!AO668)) / Параметры!AO$64</f>
        <v>0</v>
      </c>
      <c r="AP46" s="138">
        <f>(Проект!AP846+Проект!AP854+Проект!AP871+MAX(0,Проект!AP621)+MAX(0,Проект!AP627)+MAX(0,Проект!AP633)+MAX(0,Проект!AP639)+MAX(0,Проект!AP645)+MAX(0,Проект!AP651)+MAX(0,Проект!AP657)+MAX(0,Проект!AP663)+MAX(0,Проект!AP668)) / Параметры!AP$64</f>
        <v>0</v>
      </c>
      <c r="AQ46" s="138">
        <f>(Проект!AQ846+Проект!AQ854+Проект!AQ871+MAX(0,Проект!AQ621)+MAX(0,Проект!AQ627)+MAX(0,Проект!AQ633)+MAX(0,Проект!AQ639)+MAX(0,Проект!AQ645)+MAX(0,Проект!AQ651)+MAX(0,Проект!AQ657)+MAX(0,Проект!AQ663)+MAX(0,Проект!AQ668)) / Параметры!AQ$64</f>
        <v>0</v>
      </c>
      <c r="AR46" s="138">
        <f>(Проект!AR846+Проект!AR854+Проект!AR871+MAX(0,Проект!AR621)+MAX(0,Проект!AR627)+MAX(0,Проект!AR633)+MAX(0,Проект!AR639)+MAX(0,Проект!AR645)+MAX(0,Проект!AR651)+MAX(0,Проект!AR657)+MAX(0,Проект!AR663)+MAX(0,Проект!AR668)) / Параметры!AR$64</f>
        <v>0</v>
      </c>
      <c r="AS46" s="138">
        <f>(Проект!AS846+Проект!AS854+Проект!AS871+MAX(0,Проект!AS621)+MAX(0,Проект!AS627)+MAX(0,Проект!AS633)+MAX(0,Проект!AS639)+MAX(0,Проект!AS645)+MAX(0,Проект!AS651)+MAX(0,Проект!AS657)+MAX(0,Проект!AS663)+MAX(0,Проект!AS668)) / Параметры!AS$64</f>
        <v>0</v>
      </c>
      <c r="AT46" s="138">
        <f>(Проект!AT846+Проект!AT854+Проект!AT871+MAX(0,Проект!AT621)+MAX(0,Проект!AT627)+MAX(0,Проект!AT633)+MAX(0,Проект!AT639)+MAX(0,Проект!AT645)+MAX(0,Проект!AT651)+MAX(0,Проект!AT657)+MAX(0,Проект!AT663)+MAX(0,Проект!AT668)) / Параметры!AT$64</f>
        <v>0</v>
      </c>
      <c r="AU46" s="138">
        <f>(Проект!AU846+Проект!AU854+Проект!AU871+MAX(0,Проект!AU621)+MAX(0,Проект!AU627)+MAX(0,Проект!AU633)+MAX(0,Проект!AU639)+MAX(0,Проект!AU645)+MAX(0,Проект!AU651)+MAX(0,Проект!AU657)+MAX(0,Проект!AU663)+MAX(0,Проект!AU668)) / Параметры!AU$64</f>
        <v>0</v>
      </c>
      <c r="AV46" s="138">
        <f>(Проект!AV846+Проект!AV854+Проект!AV871+MAX(0,Проект!AV621)+MAX(0,Проект!AV627)+MAX(0,Проект!AV633)+MAX(0,Проект!AV639)+MAX(0,Проект!AV645)+MAX(0,Проект!AV651)+MAX(0,Проект!AV657)+MAX(0,Проект!AV663)+MAX(0,Проект!AV668)) / Параметры!AV$64</f>
        <v>0</v>
      </c>
      <c r="AW46" s="138"/>
      <c r="AX46" s="171">
        <f t="shared" si="144"/>
        <v>2123638.1612924687</v>
      </c>
    </row>
    <row r="47" spans="1:50" x14ac:dyDescent="0.2">
      <c r="A47" s="99" t="str">
        <f ca="1">Language!A1221</f>
        <v>Прочие затраты</v>
      </c>
      <c r="C47" s="130" t="str">
        <f ca="1">Параметры!$C$64</f>
        <v>тыс. руб.</v>
      </c>
      <c r="D47" s="57"/>
      <c r="E47" s="243" t="s">
        <v>1034</v>
      </c>
      <c r="F47" s="57" t="s">
        <v>753</v>
      </c>
      <c r="G47" s="138">
        <f>(-Проект!G874+MIN(0,Проект!G621)+MIN(0,Проект!G627)+MIN(0,Проект!G633)+MIN(0,Проект!G639)+MIN(0,Проект!G645)+MIN(0,Проект!G651)+MIN(0,Проект!G657)+MIN(0,Проект!G663)+MIN(0,Проект!G668)) / Параметры!G$64</f>
        <v>0</v>
      </c>
      <c r="H47" s="138">
        <f>(-Проект!H874+MIN(0,Проект!H621)+MIN(0,Проект!H627)+MIN(0,Проект!H633)+MIN(0,Проект!H639)+MIN(0,Проект!H645)+MIN(0,Проект!H651)+MIN(0,Проект!H657)+MIN(0,Проект!H663)+MIN(0,Проект!H668)) / Параметры!H$64</f>
        <v>0</v>
      </c>
      <c r="I47" s="138">
        <f>(-Проект!I874+MIN(0,Проект!I621)+MIN(0,Проект!I627)+MIN(0,Проект!I633)+MIN(0,Проект!I639)+MIN(0,Проект!I645)+MIN(0,Проект!I651)+MIN(0,Проект!I657)+MIN(0,Проект!I663)+MIN(0,Проект!I668)) / Параметры!I$64</f>
        <v>0</v>
      </c>
      <c r="J47" s="138">
        <f>(-Проект!J874+MIN(0,Проект!J621)+MIN(0,Проект!J627)+MIN(0,Проект!J633)+MIN(0,Проект!J639)+MIN(0,Проект!J645)+MIN(0,Проект!J651)+MIN(0,Проект!J657)+MIN(0,Проект!J663)+MIN(0,Проект!J668)) / Параметры!J$64</f>
        <v>0</v>
      </c>
      <c r="K47" s="138">
        <f>(-Проект!K874+MIN(0,Проект!K621)+MIN(0,Проект!K627)+MIN(0,Проект!K633)+MIN(0,Проект!K639)+MIN(0,Проект!K645)+MIN(0,Проект!K651)+MIN(0,Проект!K657)+MIN(0,Проект!K663)+MIN(0,Проект!K668)) / Параметры!K$64</f>
        <v>0</v>
      </c>
      <c r="L47" s="138">
        <f>(-Проект!L874+MIN(0,Проект!L621)+MIN(0,Проект!L627)+MIN(0,Проект!L633)+MIN(0,Проект!L639)+MIN(0,Проект!L645)+MIN(0,Проект!L651)+MIN(0,Проект!L657)+MIN(0,Проект!L663)+MIN(0,Проект!L668)) / Параметры!L$64</f>
        <v>0</v>
      </c>
      <c r="M47" s="138">
        <f>(-Проект!M874+MIN(0,Проект!M621)+MIN(0,Проект!M627)+MIN(0,Проект!M633)+MIN(0,Проект!M639)+MIN(0,Проект!M645)+MIN(0,Проект!M651)+MIN(0,Проект!M657)+MIN(0,Проект!M663)+MIN(0,Проект!M668)) / Параметры!M$64</f>
        <v>0</v>
      </c>
      <c r="N47" s="138">
        <f>(-Проект!N874+MIN(0,Проект!N621)+MIN(0,Проект!N627)+MIN(0,Проект!N633)+MIN(0,Проект!N639)+MIN(0,Проект!N645)+MIN(0,Проект!N651)+MIN(0,Проект!N657)+MIN(0,Проект!N663)+MIN(0,Проект!N668)) / Параметры!N$64</f>
        <v>0</v>
      </c>
      <c r="O47" s="138">
        <f>(-Проект!O874+MIN(0,Проект!O621)+MIN(0,Проект!O627)+MIN(0,Проект!O633)+MIN(0,Проект!O639)+MIN(0,Проект!O645)+MIN(0,Проект!O651)+MIN(0,Проект!O657)+MIN(0,Проект!O663)+MIN(0,Проект!O668)) / Параметры!O$64</f>
        <v>0</v>
      </c>
      <c r="P47" s="138">
        <f>(-Проект!P874+MIN(0,Проект!P621)+MIN(0,Проект!P627)+MIN(0,Проект!P633)+MIN(0,Проект!P639)+MIN(0,Проект!P645)+MIN(0,Проект!P651)+MIN(0,Проект!P657)+MIN(0,Проект!P663)+MIN(0,Проект!P668)) / Параметры!P$64</f>
        <v>0</v>
      </c>
      <c r="Q47" s="138">
        <f>(-Проект!Q874+MIN(0,Проект!Q621)+MIN(0,Проект!Q627)+MIN(0,Проект!Q633)+MIN(0,Проект!Q639)+MIN(0,Проект!Q645)+MIN(0,Проект!Q651)+MIN(0,Проект!Q657)+MIN(0,Проект!Q663)+MIN(0,Проект!Q668)) / Параметры!Q$64</f>
        <v>0</v>
      </c>
      <c r="R47" s="138">
        <f>(-Проект!R874+MIN(0,Проект!R621)+MIN(0,Проект!R627)+MIN(0,Проект!R633)+MIN(0,Проект!R639)+MIN(0,Проект!R645)+MIN(0,Проект!R651)+MIN(0,Проект!R657)+MIN(0,Проект!R663)+MIN(0,Проект!R668)) / Параметры!R$64</f>
        <v>0</v>
      </c>
      <c r="S47" s="138">
        <f>(-Проект!S874+MIN(0,Проект!S621)+MIN(0,Проект!S627)+MIN(0,Проект!S633)+MIN(0,Проект!S639)+MIN(0,Проект!S645)+MIN(0,Проект!S651)+MIN(0,Проект!S657)+MIN(0,Проект!S663)+MIN(0,Проект!S668)) / Параметры!S$64</f>
        <v>0</v>
      </c>
      <c r="T47" s="138">
        <f>(-Проект!T874+MIN(0,Проект!T621)+MIN(0,Проект!T627)+MIN(0,Проект!T633)+MIN(0,Проект!T639)+MIN(0,Проект!T645)+MIN(0,Проект!T651)+MIN(0,Проект!T657)+MIN(0,Проект!T663)+MIN(0,Проект!T668)) / Параметры!T$64</f>
        <v>0</v>
      </c>
      <c r="U47" s="138">
        <f>(-Проект!U874+MIN(0,Проект!U621)+MIN(0,Проект!U627)+MIN(0,Проект!U633)+MIN(0,Проект!U639)+MIN(0,Проект!U645)+MIN(0,Проект!U651)+MIN(0,Проект!U657)+MIN(0,Проект!U663)+MIN(0,Проект!U668)) / Параметры!U$64</f>
        <v>0</v>
      </c>
      <c r="V47" s="138">
        <f>(-Проект!V874+MIN(0,Проект!V621)+MIN(0,Проект!V627)+MIN(0,Проект!V633)+MIN(0,Проект!V639)+MIN(0,Проект!V645)+MIN(0,Проект!V651)+MIN(0,Проект!V657)+MIN(0,Проект!V663)+MIN(0,Проект!V668)) / Параметры!V$64</f>
        <v>0</v>
      </c>
      <c r="W47" s="138">
        <f>(-Проект!W874+MIN(0,Проект!W621)+MIN(0,Проект!W627)+MIN(0,Проект!W633)+MIN(0,Проект!W639)+MIN(0,Проект!W645)+MIN(0,Проект!W651)+MIN(0,Проект!W657)+MIN(0,Проект!W663)+MIN(0,Проект!W668)) / Параметры!W$64</f>
        <v>0</v>
      </c>
      <c r="X47" s="138">
        <f>(-Проект!X874+MIN(0,Проект!X621)+MIN(0,Проект!X627)+MIN(0,Проект!X633)+MIN(0,Проект!X639)+MIN(0,Проект!X645)+MIN(0,Проект!X651)+MIN(0,Проект!X657)+MIN(0,Проект!X663)+MIN(0,Проект!X668)) / Параметры!X$64</f>
        <v>0</v>
      </c>
      <c r="Y47" s="138">
        <f>(-Проект!Y874+MIN(0,Проект!Y621)+MIN(0,Проект!Y627)+MIN(0,Проект!Y633)+MIN(0,Проект!Y639)+MIN(0,Проект!Y645)+MIN(0,Проект!Y651)+MIN(0,Проект!Y657)+MIN(0,Проект!Y663)+MIN(0,Проект!Y668)) / Параметры!Y$64</f>
        <v>0</v>
      </c>
      <c r="Z47" s="138">
        <f>(-Проект!Z874+MIN(0,Проект!Z621)+MIN(0,Проект!Z627)+MIN(0,Проект!Z633)+MIN(0,Проект!Z639)+MIN(0,Проект!Z645)+MIN(0,Проект!Z651)+MIN(0,Проект!Z657)+MIN(0,Проект!Z663)+MIN(0,Проект!Z668)) / Параметры!Z$64</f>
        <v>0</v>
      </c>
      <c r="AA47" s="138">
        <f>(-Проект!AA874+MIN(0,Проект!AA621)+MIN(0,Проект!AA627)+MIN(0,Проект!AA633)+MIN(0,Проект!AA639)+MIN(0,Проект!AA645)+MIN(0,Проект!AA651)+MIN(0,Проект!AA657)+MIN(0,Проект!AA663)+MIN(0,Проект!AA668)) / Параметры!AA$64</f>
        <v>0</v>
      </c>
      <c r="AB47" s="138">
        <f>(-Проект!AB874+MIN(0,Проект!AB621)+MIN(0,Проект!AB627)+MIN(0,Проект!AB633)+MIN(0,Проект!AB639)+MIN(0,Проект!AB645)+MIN(0,Проект!AB651)+MIN(0,Проект!AB657)+MIN(0,Проект!AB663)+MIN(0,Проект!AB668)) / Параметры!AB$64</f>
        <v>0</v>
      </c>
      <c r="AC47" s="138">
        <f>(-Проект!AC874+MIN(0,Проект!AC621)+MIN(0,Проект!AC627)+MIN(0,Проект!AC633)+MIN(0,Проект!AC639)+MIN(0,Проект!AC645)+MIN(0,Проект!AC651)+MIN(0,Проект!AC657)+MIN(0,Проект!AC663)+MIN(0,Проект!AC668)) / Параметры!AC$64</f>
        <v>0</v>
      </c>
      <c r="AD47" s="138">
        <f>(-Проект!AD874+MIN(0,Проект!AD621)+MIN(0,Проект!AD627)+MIN(0,Проект!AD633)+MIN(0,Проект!AD639)+MIN(0,Проект!AD645)+MIN(0,Проект!AD651)+MIN(0,Проект!AD657)+MIN(0,Проект!AD663)+MIN(0,Проект!AD668)) / Параметры!AD$64</f>
        <v>0</v>
      </c>
      <c r="AE47" s="138">
        <f>(-Проект!AE874+MIN(0,Проект!AE621)+MIN(0,Проект!AE627)+MIN(0,Проект!AE633)+MIN(0,Проект!AE639)+MIN(0,Проект!AE645)+MIN(0,Проект!AE651)+MIN(0,Проект!AE657)+MIN(0,Проект!AE663)+MIN(0,Проект!AE668)) / Параметры!AE$64</f>
        <v>0</v>
      </c>
      <c r="AF47" s="138">
        <f>(-Проект!AF874+MIN(0,Проект!AF621)+MIN(0,Проект!AF627)+MIN(0,Проект!AF633)+MIN(0,Проект!AF639)+MIN(0,Проект!AF645)+MIN(0,Проект!AF651)+MIN(0,Проект!AF657)+MIN(0,Проект!AF663)+MIN(0,Проект!AF668)) / Параметры!AF$64</f>
        <v>0</v>
      </c>
      <c r="AG47" s="138">
        <f>(-Проект!AG874+MIN(0,Проект!AG621)+MIN(0,Проект!AG627)+MIN(0,Проект!AG633)+MIN(0,Проект!AG639)+MIN(0,Проект!AG645)+MIN(0,Проект!AG651)+MIN(0,Проект!AG657)+MIN(0,Проект!AG663)+MIN(0,Проект!AG668)) / Параметры!AG$64</f>
        <v>0</v>
      </c>
      <c r="AH47" s="138">
        <f>(-Проект!AH874+MIN(0,Проект!AH621)+MIN(0,Проект!AH627)+MIN(0,Проект!AH633)+MIN(0,Проект!AH639)+MIN(0,Проект!AH645)+MIN(0,Проект!AH651)+MIN(0,Проект!AH657)+MIN(0,Проект!AH663)+MIN(0,Проект!AH668)) / Параметры!AH$64</f>
        <v>0</v>
      </c>
      <c r="AI47" s="138">
        <f>(-Проект!AI874+MIN(0,Проект!AI621)+MIN(0,Проект!AI627)+MIN(0,Проект!AI633)+MIN(0,Проект!AI639)+MIN(0,Проект!AI645)+MIN(0,Проект!AI651)+MIN(0,Проект!AI657)+MIN(0,Проект!AI663)+MIN(0,Проект!AI668)) / Параметры!AI$64</f>
        <v>0</v>
      </c>
      <c r="AJ47" s="138">
        <f>(-Проект!AJ874+MIN(0,Проект!AJ621)+MIN(0,Проект!AJ627)+MIN(0,Проект!AJ633)+MIN(0,Проект!AJ639)+MIN(0,Проект!AJ645)+MIN(0,Проект!AJ651)+MIN(0,Проект!AJ657)+MIN(0,Проект!AJ663)+MIN(0,Проект!AJ668)) / Параметры!AJ$64</f>
        <v>0</v>
      </c>
      <c r="AK47" s="138">
        <f>(-Проект!AK874+MIN(0,Проект!AK621)+MIN(0,Проект!AK627)+MIN(0,Проект!AK633)+MIN(0,Проект!AK639)+MIN(0,Проект!AK645)+MIN(0,Проект!AK651)+MIN(0,Проект!AK657)+MIN(0,Проект!AK663)+MIN(0,Проект!AK668)) / Параметры!AK$64</f>
        <v>0</v>
      </c>
      <c r="AL47" s="138">
        <f>(-Проект!AL874+MIN(0,Проект!AL621)+MIN(0,Проект!AL627)+MIN(0,Проект!AL633)+MIN(0,Проект!AL639)+MIN(0,Проект!AL645)+MIN(0,Проект!AL651)+MIN(0,Проект!AL657)+MIN(0,Проект!AL663)+MIN(0,Проект!AL668)) / Параметры!AL$64</f>
        <v>0</v>
      </c>
      <c r="AM47" s="138">
        <f>(-Проект!AM874+MIN(0,Проект!AM621)+MIN(0,Проект!AM627)+MIN(0,Проект!AM633)+MIN(0,Проект!AM639)+MIN(0,Проект!AM645)+MIN(0,Проект!AM651)+MIN(0,Проект!AM657)+MIN(0,Проект!AM663)+MIN(0,Проект!AM668)) / Параметры!AM$64</f>
        <v>0</v>
      </c>
      <c r="AN47" s="138">
        <f>(-Проект!AN874+MIN(0,Проект!AN621)+MIN(0,Проект!AN627)+MIN(0,Проект!AN633)+MIN(0,Проект!AN639)+MIN(0,Проект!AN645)+MIN(0,Проект!AN651)+MIN(0,Проект!AN657)+MIN(0,Проект!AN663)+MIN(0,Проект!AN668)) / Параметры!AN$64</f>
        <v>0</v>
      </c>
      <c r="AO47" s="138">
        <f>(-Проект!AO874+MIN(0,Проект!AO621)+MIN(0,Проект!AO627)+MIN(0,Проект!AO633)+MIN(0,Проект!AO639)+MIN(0,Проект!AO645)+MIN(0,Проект!AO651)+MIN(0,Проект!AO657)+MIN(0,Проект!AO663)+MIN(0,Проект!AO668)) / Параметры!AO$64</f>
        <v>0</v>
      </c>
      <c r="AP47" s="138">
        <f>(-Проект!AP874+MIN(0,Проект!AP621)+MIN(0,Проект!AP627)+MIN(0,Проект!AP633)+MIN(0,Проект!AP639)+MIN(0,Проект!AP645)+MIN(0,Проект!AP651)+MIN(0,Проект!AP657)+MIN(0,Проект!AP663)+MIN(0,Проект!AP668)) / Параметры!AP$64</f>
        <v>0</v>
      </c>
      <c r="AQ47" s="138">
        <f>(-Проект!AQ874+MIN(0,Проект!AQ621)+MIN(0,Проект!AQ627)+MIN(0,Проект!AQ633)+MIN(0,Проект!AQ639)+MIN(0,Проект!AQ645)+MIN(0,Проект!AQ651)+MIN(0,Проект!AQ657)+MIN(0,Проект!AQ663)+MIN(0,Проект!AQ668)) / Параметры!AQ$64</f>
        <v>0</v>
      </c>
      <c r="AR47" s="138">
        <f>(-Проект!AR874+MIN(0,Проект!AR621)+MIN(0,Проект!AR627)+MIN(0,Проект!AR633)+MIN(0,Проект!AR639)+MIN(0,Проект!AR645)+MIN(0,Проект!AR651)+MIN(0,Проект!AR657)+MIN(0,Проект!AR663)+MIN(0,Проект!AR668)) / Параметры!AR$64</f>
        <v>0</v>
      </c>
      <c r="AS47" s="138">
        <f>(-Проект!AS874+MIN(0,Проект!AS621)+MIN(0,Проект!AS627)+MIN(0,Проект!AS633)+MIN(0,Проект!AS639)+MIN(0,Проект!AS645)+MIN(0,Проект!AS651)+MIN(0,Проект!AS657)+MIN(0,Проект!AS663)+MIN(0,Проект!AS668)) / Параметры!AS$64</f>
        <v>0</v>
      </c>
      <c r="AT47" s="138">
        <f>(-Проект!AT874+MIN(0,Проект!AT621)+MIN(0,Проект!AT627)+MIN(0,Проект!AT633)+MIN(0,Проект!AT639)+MIN(0,Проект!AT645)+MIN(0,Проект!AT651)+MIN(0,Проект!AT657)+MIN(0,Проект!AT663)+MIN(0,Проект!AT668)) / Параметры!AT$64</f>
        <v>0</v>
      </c>
      <c r="AU47" s="138">
        <f>(-Проект!AU874+MIN(0,Проект!AU621)+MIN(0,Проект!AU627)+MIN(0,Проект!AU633)+MIN(0,Проект!AU639)+MIN(0,Проект!AU645)+MIN(0,Проект!AU651)+MIN(0,Проект!AU657)+MIN(0,Проект!AU663)+MIN(0,Проект!AU668)) / Параметры!AU$64</f>
        <v>0</v>
      </c>
      <c r="AV47" s="138">
        <f>(-Проект!AV874+MIN(0,Проект!AV621)+MIN(0,Проект!AV627)+MIN(0,Проект!AV633)+MIN(0,Проект!AV639)+MIN(0,Проект!AV645)+MIN(0,Проект!AV651)+MIN(0,Проект!AV657)+MIN(0,Проект!AV663)+MIN(0,Проект!AV668)) / Параметры!AV$64</f>
        <v>0</v>
      </c>
      <c r="AW47" s="138"/>
      <c r="AX47" s="171">
        <f t="shared" si="144"/>
        <v>0</v>
      </c>
    </row>
    <row r="48" spans="1:50" x14ac:dyDescent="0.2">
      <c r="A48" s="65"/>
      <c r="D48" s="57"/>
      <c r="E48" s="243"/>
      <c r="F48" s="57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71"/>
    </row>
    <row r="49" spans="1:50" x14ac:dyDescent="0.2">
      <c r="A49" s="125" t="str">
        <f ca="1">Language!A1222</f>
        <v>Денежные потоки от операционной деятельности</v>
      </c>
      <c r="B49" s="244"/>
      <c r="C49" s="127" t="str">
        <f ca="1">Параметры!$C$64</f>
        <v>тыс. руб.</v>
      </c>
      <c r="D49" s="128"/>
      <c r="E49" s="245" t="s">
        <v>1466</v>
      </c>
      <c r="F49" s="128" t="s">
        <v>753</v>
      </c>
      <c r="G49" s="246">
        <f ca="1">SUM(G39:G47)</f>
        <v>180209.79571811709</v>
      </c>
      <c r="H49" s="246">
        <f t="shared" ref="H49:K49" ca="1" si="145">SUM(H39:H47)</f>
        <v>70594.315221464145</v>
      </c>
      <c r="I49" s="246">
        <f t="shared" ca="1" si="145"/>
        <v>-9824.1590127483214</v>
      </c>
      <c r="J49" s="246">
        <f t="shared" ca="1" si="145"/>
        <v>41110.585322022802</v>
      </c>
      <c r="K49" s="246">
        <f t="shared" ca="1" si="145"/>
        <v>148524.99262800685</v>
      </c>
      <c r="L49" s="246">
        <f t="shared" ref="L49:M49" ca="1" si="146">SUM(L39:L47)</f>
        <v>126042.37360842898</v>
      </c>
      <c r="M49" s="246">
        <f t="shared" ca="1" si="146"/>
        <v>40113.155241384236</v>
      </c>
      <c r="N49" s="246">
        <f t="shared" ref="N49:O49" ca="1" si="147">SUM(N39:N47)</f>
        <v>83065.393729424628</v>
      </c>
      <c r="O49" s="246">
        <f t="shared" ca="1" si="147"/>
        <v>202696.47973432834</v>
      </c>
      <c r="P49" s="246">
        <f t="shared" ref="P49:Q49" ca="1" si="148">SUM(P39:P47)</f>
        <v>176274.03803665275</v>
      </c>
      <c r="Q49" s="246">
        <f t="shared" ca="1" si="148"/>
        <v>86326.080973896751</v>
      </c>
      <c r="R49" s="246">
        <f t="shared" ref="R49:S49" ca="1" si="149">SUM(R39:R47)</f>
        <v>126278.02048817964</v>
      </c>
      <c r="S49" s="246">
        <f t="shared" ca="1" si="149"/>
        <v>242135.5356075241</v>
      </c>
      <c r="T49" s="246">
        <f t="shared" ref="T49:U49" ca="1" si="150">SUM(T39:T47)</f>
        <v>202846.76050562898</v>
      </c>
      <c r="U49" s="246">
        <f t="shared" ca="1" si="150"/>
        <v>104807.28310406437</v>
      </c>
      <c r="V49" s="246">
        <f t="shared" ref="V49:W49" ca="1" si="151">SUM(V39:V47)</f>
        <v>147980.74920872075</v>
      </c>
      <c r="W49" s="246">
        <f t="shared" ca="1" si="151"/>
        <v>271413.1326023931</v>
      </c>
      <c r="X49" s="246">
        <f t="shared" ref="X49:Y49" ca="1" si="152">SUM(X39:X47)</f>
        <v>230323.78874410767</v>
      </c>
      <c r="Y49" s="246">
        <f t="shared" ca="1" si="152"/>
        <v>117678.50866840444</v>
      </c>
      <c r="Z49" s="246">
        <f t="shared" ref="Z49:AA49" ca="1" si="153">SUM(Z39:Z47)</f>
        <v>156995.79400492081</v>
      </c>
      <c r="AA49" s="246">
        <f t="shared" ca="1" si="153"/>
        <v>287830.5065519113</v>
      </c>
      <c r="AB49" s="246">
        <f t="shared" ref="AB49:AC49" ca="1" si="154">SUM(AB39:AB47)</f>
        <v>244272.06413937832</v>
      </c>
      <c r="AC49" s="246">
        <f t="shared" ca="1" si="154"/>
        <v>130277.89519401088</v>
      </c>
      <c r="AD49" s="246">
        <f t="shared" ref="AD49:AE49" ca="1" si="155">SUM(AD39:AD47)</f>
        <v>174805.34237025067</v>
      </c>
      <c r="AE49" s="246">
        <f t="shared" ca="1" si="155"/>
        <v>313622.42282538762</v>
      </c>
      <c r="AF49" s="246">
        <f t="shared" ref="AF49:AG49" ca="1" si="156">SUM(AF39:AF47)</f>
        <v>267584.81628848863</v>
      </c>
      <c r="AG49" s="246">
        <f t="shared" ca="1" si="156"/>
        <v>144235.75735740989</v>
      </c>
      <c r="AH49" s="246">
        <f t="shared" ref="AH49:AI49" ca="1" si="157">SUM(AH39:AH47)</f>
        <v>189001.8527050488</v>
      </c>
      <c r="AI49" s="246">
        <f t="shared" ca="1" si="157"/>
        <v>336202.49041745818</v>
      </c>
      <c r="AJ49" s="246">
        <f t="shared" ref="AJ49:AK49" ca="1" si="158">SUM(AJ39:AJ47)</f>
        <v>287457.96162542264</v>
      </c>
      <c r="AK49" s="246">
        <f t="shared" ca="1" si="158"/>
        <v>154837.42369790512</v>
      </c>
      <c r="AL49" s="246">
        <f t="shared" ref="AL49:AM49" ca="1" si="159">SUM(AL39:AL47)</f>
        <v>201116.97679926013</v>
      </c>
      <c r="AM49" s="246">
        <f t="shared" ca="1" si="159"/>
        <v>356610.09357837564</v>
      </c>
      <c r="AN49" s="246">
        <f t="shared" ref="AN49:AO49" ca="1" si="160">SUM(AN39:AN47)</f>
        <v>304389.31270437461</v>
      </c>
      <c r="AO49" s="246">
        <f t="shared" ca="1" si="160"/>
        <v>163869.81099400215</v>
      </c>
      <c r="AP49" s="246">
        <f t="shared" ref="AP49:AQ49" ca="1" si="161">SUM(AP39:AP47)</f>
        <v>212828.56480315898</v>
      </c>
      <c r="AQ49" s="246">
        <f t="shared" ca="1" si="161"/>
        <v>377540.30579911149</v>
      </c>
      <c r="AR49" s="246">
        <f t="shared" ref="AR49:AS49" ca="1" si="162">SUM(AR39:AR47)</f>
        <v>322179.43428775296</v>
      </c>
      <c r="AS49" s="246">
        <f t="shared" ca="1" si="162"/>
        <v>155243.8034234533</v>
      </c>
      <c r="AT49" s="246">
        <f t="shared" ref="AT49:AU49" ca="1" si="163">SUM(AT39:AT47)</f>
        <v>198701.68774011367</v>
      </c>
      <c r="AU49" s="246">
        <f t="shared" ca="1" si="163"/>
        <v>372901.45675774344</v>
      </c>
      <c r="AV49" s="246">
        <f t="shared" ref="AV49" ca="1" si="164">SUM(AV39:AV47)</f>
        <v>313818.46509628498</v>
      </c>
      <c r="AW49" s="246"/>
      <c r="AX49" s="247">
        <f ca="1">SUM(G49:AW49)</f>
        <v>8254921.0692912247</v>
      </c>
    </row>
    <row r="50" spans="1:50" x14ac:dyDescent="0.2">
      <c r="A50" s="65"/>
      <c r="D50" s="57"/>
      <c r="E50" s="243"/>
      <c r="F50" s="57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71"/>
    </row>
    <row r="51" spans="1:50" x14ac:dyDescent="0.2">
      <c r="A51" s="99" t="str">
        <f ca="1">Language!A1223</f>
        <v>Инвестиции в земельные участки</v>
      </c>
      <c r="C51" s="130" t="str">
        <f ca="1">Параметры!$C$64</f>
        <v>тыс. руб.</v>
      </c>
      <c r="D51" s="57"/>
      <c r="E51" s="243" t="s">
        <v>1467</v>
      </c>
      <c r="F51" s="57" t="s">
        <v>753</v>
      </c>
      <c r="G51" s="138">
        <f>-Проект!G770 / Параметры!G$64</f>
        <v>0</v>
      </c>
      <c r="H51" s="138">
        <f>-Проект!H770 / Параметры!H$64</f>
        <v>0</v>
      </c>
      <c r="I51" s="138">
        <f>-Проект!I770 / Параметры!I$64</f>
        <v>0</v>
      </c>
      <c r="J51" s="138">
        <f>-Проект!J770 / Параметры!J$64</f>
        <v>0</v>
      </c>
      <c r="K51" s="138">
        <f>-Проект!K770 / Параметры!K$64</f>
        <v>0</v>
      </c>
      <c r="L51" s="138">
        <f>-Проект!L770 / Параметры!L$64</f>
        <v>0</v>
      </c>
      <c r="M51" s="138">
        <f>-Проект!M770 / Параметры!M$64</f>
        <v>0</v>
      </c>
      <c r="N51" s="138">
        <f>-Проект!N770 / Параметры!N$64</f>
        <v>0</v>
      </c>
      <c r="O51" s="138">
        <f>-Проект!O770 / Параметры!O$64</f>
        <v>0</v>
      </c>
      <c r="P51" s="138">
        <f>-Проект!P770 / Параметры!P$64</f>
        <v>0</v>
      </c>
      <c r="Q51" s="138">
        <f>-Проект!Q770 / Параметры!Q$64</f>
        <v>0</v>
      </c>
      <c r="R51" s="138">
        <f>-Проект!R770 / Параметры!R$64</f>
        <v>0</v>
      </c>
      <c r="S51" s="138">
        <f>-Проект!S770 / Параметры!S$64</f>
        <v>0</v>
      </c>
      <c r="T51" s="138">
        <f>-Проект!T770 / Параметры!T$64</f>
        <v>0</v>
      </c>
      <c r="U51" s="138">
        <f>-Проект!U770 / Параметры!U$64</f>
        <v>0</v>
      </c>
      <c r="V51" s="138">
        <f>-Проект!V770 / Параметры!V$64</f>
        <v>0</v>
      </c>
      <c r="W51" s="138">
        <f>-Проект!W770 / Параметры!W$64</f>
        <v>0</v>
      </c>
      <c r="X51" s="138">
        <f>-Проект!X770 / Параметры!X$64</f>
        <v>0</v>
      </c>
      <c r="Y51" s="138">
        <f>-Проект!Y770 / Параметры!Y$64</f>
        <v>0</v>
      </c>
      <c r="Z51" s="138">
        <f>-Проект!Z770 / Параметры!Z$64</f>
        <v>0</v>
      </c>
      <c r="AA51" s="138">
        <f>-Проект!AA770 / Параметры!AA$64</f>
        <v>0</v>
      </c>
      <c r="AB51" s="138">
        <f>-Проект!AB770 / Параметры!AB$64</f>
        <v>0</v>
      </c>
      <c r="AC51" s="138">
        <f>-Проект!AC770 / Параметры!AC$64</f>
        <v>0</v>
      </c>
      <c r="AD51" s="138">
        <f>-Проект!AD770 / Параметры!AD$64</f>
        <v>0</v>
      </c>
      <c r="AE51" s="138">
        <f>-Проект!AE770 / Параметры!AE$64</f>
        <v>0</v>
      </c>
      <c r="AF51" s="138">
        <f>-Проект!AF770 / Параметры!AF$64</f>
        <v>0</v>
      </c>
      <c r="AG51" s="138">
        <f>-Проект!AG770 / Параметры!AG$64</f>
        <v>0</v>
      </c>
      <c r="AH51" s="138">
        <f>-Проект!AH770 / Параметры!AH$64</f>
        <v>0</v>
      </c>
      <c r="AI51" s="138">
        <f>-Проект!AI770 / Параметры!AI$64</f>
        <v>0</v>
      </c>
      <c r="AJ51" s="138">
        <f>-Проект!AJ770 / Параметры!AJ$64</f>
        <v>0</v>
      </c>
      <c r="AK51" s="138">
        <f>-Проект!AK770 / Параметры!AK$64</f>
        <v>0</v>
      </c>
      <c r="AL51" s="138">
        <f>-Проект!AL770 / Параметры!AL$64</f>
        <v>0</v>
      </c>
      <c r="AM51" s="138">
        <f>-Проект!AM770 / Параметры!AM$64</f>
        <v>0</v>
      </c>
      <c r="AN51" s="138">
        <f>-Проект!AN770 / Параметры!AN$64</f>
        <v>0</v>
      </c>
      <c r="AO51" s="138">
        <f>-Проект!AO770 / Параметры!AO$64</f>
        <v>0</v>
      </c>
      <c r="AP51" s="138">
        <f>-Проект!AP770 / Параметры!AP$64</f>
        <v>0</v>
      </c>
      <c r="AQ51" s="138">
        <f>-Проект!AQ770 / Параметры!AQ$64</f>
        <v>0</v>
      </c>
      <c r="AR51" s="138">
        <f>-Проект!AR770 / Параметры!AR$64</f>
        <v>0</v>
      </c>
      <c r="AS51" s="138">
        <f>-Проект!AS770 / Параметры!AS$64</f>
        <v>0</v>
      </c>
      <c r="AT51" s="138">
        <f>-Проект!AT770 / Параметры!AT$64</f>
        <v>0</v>
      </c>
      <c r="AU51" s="138">
        <f>-Проект!AU770 / Параметры!AU$64</f>
        <v>0</v>
      </c>
      <c r="AV51" s="138">
        <f>-Проект!AV770 / Параметры!AV$64</f>
        <v>0</v>
      </c>
      <c r="AW51" s="138"/>
      <c r="AX51" s="171">
        <f t="shared" ref="AX51:AX56" si="165">SUM(G51:AW51)</f>
        <v>0</v>
      </c>
    </row>
    <row r="52" spans="1:50" x14ac:dyDescent="0.2">
      <c r="A52" s="99" t="str">
        <f ca="1">Language!A1224</f>
        <v>Инвестиции в здания и сооружения</v>
      </c>
      <c r="C52" s="130" t="str">
        <f ca="1">Параметры!$C$64</f>
        <v>тыс. руб.</v>
      </c>
      <c r="D52" s="57"/>
      <c r="E52" s="243" t="s">
        <v>1468</v>
      </c>
      <c r="F52" s="57" t="s">
        <v>753</v>
      </c>
      <c r="G52" s="138">
        <f>-Проект!G776 / Параметры!G$64</f>
        <v>-36908</v>
      </c>
      <c r="H52" s="138">
        <f>-Проект!H776 / Параметры!H$64</f>
        <v>-30000</v>
      </c>
      <c r="I52" s="138">
        <f>-Проект!I776 / Параметры!I$64</f>
        <v>-20000</v>
      </c>
      <c r="J52" s="138">
        <f>-Проект!J776 / Параметры!J$64</f>
        <v>-20942</v>
      </c>
      <c r="K52" s="138">
        <f>-Проект!K776 / Параметры!K$64</f>
        <v>0</v>
      </c>
      <c r="L52" s="138">
        <f>-Проект!L776 / Параметры!L$64</f>
        <v>0</v>
      </c>
      <c r="M52" s="138">
        <f>-Проект!M776 / Параметры!M$64</f>
        <v>0</v>
      </c>
      <c r="N52" s="138">
        <f>-Проект!N776 / Параметры!N$64</f>
        <v>0</v>
      </c>
      <c r="O52" s="138">
        <f>-Проект!O776 / Параметры!O$64</f>
        <v>0</v>
      </c>
      <c r="P52" s="138">
        <f>-Проект!P776 / Параметры!P$64</f>
        <v>0</v>
      </c>
      <c r="Q52" s="138">
        <f>-Проект!Q776 / Параметры!Q$64</f>
        <v>0</v>
      </c>
      <c r="R52" s="138">
        <f>-Проект!R776 / Параметры!R$64</f>
        <v>0</v>
      </c>
      <c r="S52" s="138">
        <f>-Проект!S776 / Параметры!S$64</f>
        <v>0</v>
      </c>
      <c r="T52" s="138">
        <f>-Проект!T776 / Параметры!T$64</f>
        <v>0</v>
      </c>
      <c r="U52" s="138">
        <f>-Проект!U776 / Параметры!U$64</f>
        <v>0</v>
      </c>
      <c r="V52" s="138">
        <f>-Проект!V776 / Параметры!V$64</f>
        <v>0</v>
      </c>
      <c r="W52" s="138">
        <f>-Проект!W776 / Параметры!W$64</f>
        <v>0</v>
      </c>
      <c r="X52" s="138">
        <f>-Проект!X776 / Параметры!X$64</f>
        <v>0</v>
      </c>
      <c r="Y52" s="138">
        <f>-Проект!Y776 / Параметры!Y$64</f>
        <v>0</v>
      </c>
      <c r="Z52" s="138">
        <f>-Проект!Z776 / Параметры!Z$64</f>
        <v>0</v>
      </c>
      <c r="AA52" s="138">
        <f>-Проект!AA776 / Параметры!AA$64</f>
        <v>0</v>
      </c>
      <c r="AB52" s="138">
        <f>-Проект!AB776 / Параметры!AB$64</f>
        <v>0</v>
      </c>
      <c r="AC52" s="138">
        <f>-Проект!AC776 / Параметры!AC$64</f>
        <v>0</v>
      </c>
      <c r="AD52" s="138">
        <f>-Проект!AD776 / Параметры!AD$64</f>
        <v>0</v>
      </c>
      <c r="AE52" s="138">
        <f>-Проект!AE776 / Параметры!AE$64</f>
        <v>0</v>
      </c>
      <c r="AF52" s="138">
        <f>-Проект!AF776 / Параметры!AF$64</f>
        <v>0</v>
      </c>
      <c r="AG52" s="138">
        <f>-Проект!AG776 / Параметры!AG$64</f>
        <v>0</v>
      </c>
      <c r="AH52" s="138">
        <f>-Проект!AH776 / Параметры!AH$64</f>
        <v>0</v>
      </c>
      <c r="AI52" s="138">
        <f>-Проект!AI776 / Параметры!AI$64</f>
        <v>0</v>
      </c>
      <c r="AJ52" s="138">
        <f>-Проект!AJ776 / Параметры!AJ$64</f>
        <v>0</v>
      </c>
      <c r="AK52" s="138">
        <f>-Проект!AK776 / Параметры!AK$64</f>
        <v>0</v>
      </c>
      <c r="AL52" s="138">
        <f>-Проект!AL776 / Параметры!AL$64</f>
        <v>0</v>
      </c>
      <c r="AM52" s="138">
        <f>-Проект!AM776 / Параметры!AM$64</f>
        <v>0</v>
      </c>
      <c r="AN52" s="138">
        <f>-Проект!AN776 / Параметры!AN$64</f>
        <v>0</v>
      </c>
      <c r="AO52" s="138">
        <f>-Проект!AO776 / Параметры!AO$64</f>
        <v>0</v>
      </c>
      <c r="AP52" s="138">
        <f>-Проект!AP776 / Параметры!AP$64</f>
        <v>0</v>
      </c>
      <c r="AQ52" s="138">
        <f>-Проект!AQ776 / Параметры!AQ$64</f>
        <v>0</v>
      </c>
      <c r="AR52" s="138">
        <f>-Проект!AR776 / Параметры!AR$64</f>
        <v>0</v>
      </c>
      <c r="AS52" s="138">
        <f>-Проект!AS776 / Параметры!AS$64</f>
        <v>0</v>
      </c>
      <c r="AT52" s="138">
        <f>-Проект!AT776 / Параметры!AT$64</f>
        <v>0</v>
      </c>
      <c r="AU52" s="138">
        <f>-Проект!AU776 / Параметры!AU$64</f>
        <v>0</v>
      </c>
      <c r="AV52" s="138">
        <f>-Проект!AV776 / Параметры!AV$64</f>
        <v>0</v>
      </c>
      <c r="AW52" s="138"/>
      <c r="AX52" s="171">
        <f t="shared" si="165"/>
        <v>-107850</v>
      </c>
    </row>
    <row r="53" spans="1:50" x14ac:dyDescent="0.2">
      <c r="A53" s="99" t="str">
        <f ca="1">Language!A1225</f>
        <v>Инвестиции в оборудование и прочие активы</v>
      </c>
      <c r="C53" s="130" t="str">
        <f ca="1">Параметры!$C$64</f>
        <v>тыс. руб.</v>
      </c>
      <c r="D53" s="57"/>
      <c r="E53" s="243" t="s">
        <v>1469</v>
      </c>
      <c r="F53" s="57" t="s">
        <v>753</v>
      </c>
      <c r="G53" s="138">
        <f>(-Проект!G790+Проект!G673) / Параметры!G$64</f>
        <v>-62200</v>
      </c>
      <c r="H53" s="138">
        <f>(-Проект!H790+Проект!H673) / Параметры!H$64</f>
        <v>-97760.000000000015</v>
      </c>
      <c r="I53" s="138">
        <f>(-Проект!I790+Проект!I673) / Параметры!I$64</f>
        <v>-72760</v>
      </c>
      <c r="J53" s="138">
        <f>(-Проект!J790+Проект!J673) / Параметры!J$64</f>
        <v>-61076</v>
      </c>
      <c r="K53" s="138">
        <f>(-Проект!K790+Проект!K673) / Параметры!K$64</f>
        <v>0</v>
      </c>
      <c r="L53" s="138">
        <f>(-Проект!L790+Проект!L673) / Параметры!L$64</f>
        <v>0</v>
      </c>
      <c r="M53" s="138">
        <f>(-Проект!M790+Проект!M673) / Параметры!M$64</f>
        <v>0</v>
      </c>
      <c r="N53" s="138">
        <f>(-Проект!N790+Проект!N673) / Параметры!N$64</f>
        <v>0</v>
      </c>
      <c r="O53" s="138">
        <f>(-Проект!O790+Проект!O673) / Параметры!O$64</f>
        <v>0</v>
      </c>
      <c r="P53" s="138">
        <f>(-Проект!P790+Проект!P673) / Параметры!P$64</f>
        <v>0</v>
      </c>
      <c r="Q53" s="138">
        <f>(-Проект!Q790+Проект!Q673) / Параметры!Q$64</f>
        <v>0</v>
      </c>
      <c r="R53" s="138">
        <f>(-Проект!R790+Проект!R673) / Параметры!R$64</f>
        <v>0</v>
      </c>
      <c r="S53" s="138">
        <f>(-Проект!S790+Проект!S673) / Параметры!S$64</f>
        <v>0</v>
      </c>
      <c r="T53" s="138">
        <f>(-Проект!T790+Проект!T673) / Параметры!T$64</f>
        <v>0</v>
      </c>
      <c r="U53" s="138">
        <f>(-Проект!U790+Проект!U673) / Параметры!U$64</f>
        <v>0</v>
      </c>
      <c r="V53" s="138">
        <f>(-Проект!V790+Проект!V673) / Параметры!V$64</f>
        <v>0</v>
      </c>
      <c r="W53" s="138">
        <f>(-Проект!W790+Проект!W673) / Параметры!W$64</f>
        <v>0</v>
      </c>
      <c r="X53" s="138">
        <f>(-Проект!X790+Проект!X673) / Параметры!X$64</f>
        <v>0</v>
      </c>
      <c r="Y53" s="138">
        <f>(-Проект!Y790+Проект!Y673) / Параметры!Y$64</f>
        <v>0</v>
      </c>
      <c r="Z53" s="138">
        <f>(-Проект!Z790+Проект!Z673) / Параметры!Z$64</f>
        <v>0</v>
      </c>
      <c r="AA53" s="138">
        <f>(-Проект!AA790+Проект!AA673) / Параметры!AA$64</f>
        <v>0</v>
      </c>
      <c r="AB53" s="138">
        <f>(-Проект!AB790+Проект!AB673) / Параметры!AB$64</f>
        <v>0</v>
      </c>
      <c r="AC53" s="138">
        <f>(-Проект!AC790+Проект!AC673) / Параметры!AC$64</f>
        <v>0</v>
      </c>
      <c r="AD53" s="138">
        <f>(-Проект!AD790+Проект!AD673) / Параметры!AD$64</f>
        <v>0</v>
      </c>
      <c r="AE53" s="138">
        <f>(-Проект!AE790+Проект!AE673) / Параметры!AE$64</f>
        <v>0</v>
      </c>
      <c r="AF53" s="138">
        <f>(-Проект!AF790+Проект!AF673) / Параметры!AF$64</f>
        <v>0</v>
      </c>
      <c r="AG53" s="138">
        <f>(-Проект!AG790+Проект!AG673) / Параметры!AG$64</f>
        <v>0</v>
      </c>
      <c r="AH53" s="138">
        <f>(-Проект!AH790+Проект!AH673) / Параметры!AH$64</f>
        <v>0</v>
      </c>
      <c r="AI53" s="138">
        <f>(-Проект!AI790+Проект!AI673) / Параметры!AI$64</f>
        <v>0</v>
      </c>
      <c r="AJ53" s="138">
        <f>(-Проект!AJ790+Проект!AJ673) / Параметры!AJ$64</f>
        <v>0</v>
      </c>
      <c r="AK53" s="138">
        <f>(-Проект!AK790+Проект!AK673) / Параметры!AK$64</f>
        <v>0</v>
      </c>
      <c r="AL53" s="138">
        <f>(-Проект!AL790+Проект!AL673) / Параметры!AL$64</f>
        <v>0</v>
      </c>
      <c r="AM53" s="138">
        <f>(-Проект!AM790+Проект!AM673) / Параметры!AM$64</f>
        <v>0</v>
      </c>
      <c r="AN53" s="138">
        <f>(-Проект!AN790+Проект!AN673) / Параметры!AN$64</f>
        <v>0</v>
      </c>
      <c r="AO53" s="138">
        <f>(-Проект!AO790+Проект!AO673) / Параметры!AO$64</f>
        <v>0</v>
      </c>
      <c r="AP53" s="138">
        <f>(-Проект!AP790+Проект!AP673) / Параметры!AP$64</f>
        <v>0</v>
      </c>
      <c r="AQ53" s="138">
        <f>(-Проект!AQ790+Проект!AQ673) / Параметры!AQ$64</f>
        <v>0</v>
      </c>
      <c r="AR53" s="138">
        <f>(-Проект!AR790+Проект!AR673) / Параметры!AR$64</f>
        <v>0</v>
      </c>
      <c r="AS53" s="138">
        <f>(-Проект!AS790+Проект!AS673) / Параметры!AS$64</f>
        <v>0</v>
      </c>
      <c r="AT53" s="138">
        <f>(-Проект!AT790+Проект!AT673) / Параметры!AT$64</f>
        <v>0</v>
      </c>
      <c r="AU53" s="138">
        <f>(-Проект!AU790+Проект!AU673) / Параметры!AU$64</f>
        <v>0</v>
      </c>
      <c r="AV53" s="138">
        <f>(-Проект!AV790+Проект!AV673) / Параметры!AV$64</f>
        <v>0</v>
      </c>
      <c r="AW53" s="138"/>
      <c r="AX53" s="171">
        <f t="shared" si="165"/>
        <v>-293796</v>
      </c>
    </row>
    <row r="54" spans="1:50" x14ac:dyDescent="0.2">
      <c r="A54" s="99" t="str">
        <f ca="1">Language!A1226</f>
        <v>Инвестиции в нематериальные активы</v>
      </c>
      <c r="C54" s="130" t="str">
        <f ca="1">Параметры!$C$64</f>
        <v>тыс. руб.</v>
      </c>
      <c r="D54" s="57"/>
      <c r="E54" s="243" t="s">
        <v>1470</v>
      </c>
      <c r="F54" s="57" t="s">
        <v>753</v>
      </c>
      <c r="G54" s="138">
        <f>-Проект!G805 / Параметры!G$64</f>
        <v>0</v>
      </c>
      <c r="H54" s="138">
        <f>-Проект!H805 / Параметры!H$64</f>
        <v>0</v>
      </c>
      <c r="I54" s="138">
        <f>-Проект!I805 / Параметры!I$64</f>
        <v>0</v>
      </c>
      <c r="J54" s="138">
        <f>-Проект!J805 / Параметры!J$64</f>
        <v>0</v>
      </c>
      <c r="K54" s="138">
        <f>-Проект!K805 / Параметры!K$64</f>
        <v>0</v>
      </c>
      <c r="L54" s="138">
        <f>-Проект!L805 / Параметры!L$64</f>
        <v>0</v>
      </c>
      <c r="M54" s="138">
        <f>-Проект!M805 / Параметры!M$64</f>
        <v>0</v>
      </c>
      <c r="N54" s="138">
        <f>-Проект!N805 / Параметры!N$64</f>
        <v>0</v>
      </c>
      <c r="O54" s="138">
        <f>-Проект!O805 / Параметры!O$64</f>
        <v>0</v>
      </c>
      <c r="P54" s="138">
        <f>-Проект!P805 / Параметры!P$64</f>
        <v>0</v>
      </c>
      <c r="Q54" s="138">
        <f>-Проект!Q805 / Параметры!Q$64</f>
        <v>0</v>
      </c>
      <c r="R54" s="138">
        <f>-Проект!R805 / Параметры!R$64</f>
        <v>0</v>
      </c>
      <c r="S54" s="138">
        <f>-Проект!S805 / Параметры!S$64</f>
        <v>0</v>
      </c>
      <c r="T54" s="138">
        <f>-Проект!T805 / Параметры!T$64</f>
        <v>0</v>
      </c>
      <c r="U54" s="138">
        <f>-Проект!U805 / Параметры!U$64</f>
        <v>0</v>
      </c>
      <c r="V54" s="138">
        <f>-Проект!V805 / Параметры!V$64</f>
        <v>0</v>
      </c>
      <c r="W54" s="138">
        <f>-Проект!W805 / Параметры!W$64</f>
        <v>0</v>
      </c>
      <c r="X54" s="138">
        <f>-Проект!X805 / Параметры!X$64</f>
        <v>0</v>
      </c>
      <c r="Y54" s="138">
        <f>-Проект!Y805 / Параметры!Y$64</f>
        <v>0</v>
      </c>
      <c r="Z54" s="138">
        <f>-Проект!Z805 / Параметры!Z$64</f>
        <v>0</v>
      </c>
      <c r="AA54" s="138">
        <f>-Проект!AA805 / Параметры!AA$64</f>
        <v>0</v>
      </c>
      <c r="AB54" s="138">
        <f>-Проект!AB805 / Параметры!AB$64</f>
        <v>0</v>
      </c>
      <c r="AC54" s="138">
        <f>-Проект!AC805 / Параметры!AC$64</f>
        <v>0</v>
      </c>
      <c r="AD54" s="138">
        <f>-Проект!AD805 / Параметры!AD$64</f>
        <v>0</v>
      </c>
      <c r="AE54" s="138">
        <f>-Проект!AE805 / Параметры!AE$64</f>
        <v>0</v>
      </c>
      <c r="AF54" s="138">
        <f>-Проект!AF805 / Параметры!AF$64</f>
        <v>0</v>
      </c>
      <c r="AG54" s="138">
        <f>-Проект!AG805 / Параметры!AG$64</f>
        <v>0</v>
      </c>
      <c r="AH54" s="138">
        <f>-Проект!AH805 / Параметры!AH$64</f>
        <v>0</v>
      </c>
      <c r="AI54" s="138">
        <f>-Проект!AI805 / Параметры!AI$64</f>
        <v>0</v>
      </c>
      <c r="AJ54" s="138">
        <f>-Проект!AJ805 / Параметры!AJ$64</f>
        <v>0</v>
      </c>
      <c r="AK54" s="138">
        <f>-Проект!AK805 / Параметры!AK$64</f>
        <v>0</v>
      </c>
      <c r="AL54" s="138">
        <f>-Проект!AL805 / Параметры!AL$64</f>
        <v>0</v>
      </c>
      <c r="AM54" s="138">
        <f>-Проект!AM805 / Параметры!AM$64</f>
        <v>0</v>
      </c>
      <c r="AN54" s="138">
        <f>-Проект!AN805 / Параметры!AN$64</f>
        <v>0</v>
      </c>
      <c r="AO54" s="138">
        <f>-Проект!AO805 / Параметры!AO$64</f>
        <v>0</v>
      </c>
      <c r="AP54" s="138">
        <f>-Проект!AP805 / Параметры!AP$64</f>
        <v>0</v>
      </c>
      <c r="AQ54" s="138">
        <f>-Проект!AQ805 / Параметры!AQ$64</f>
        <v>0</v>
      </c>
      <c r="AR54" s="138">
        <f>-Проект!AR805 / Параметры!AR$64</f>
        <v>0</v>
      </c>
      <c r="AS54" s="138">
        <f>-Проект!AS805 / Параметры!AS$64</f>
        <v>0</v>
      </c>
      <c r="AT54" s="138">
        <f>-Проект!AT805 / Параметры!AT$64</f>
        <v>0</v>
      </c>
      <c r="AU54" s="138">
        <f>-Проект!AU805 / Параметры!AU$64</f>
        <v>0</v>
      </c>
      <c r="AV54" s="138">
        <f>-Проект!AV805 / Параметры!AV$64</f>
        <v>0</v>
      </c>
      <c r="AW54" s="138"/>
      <c r="AX54" s="171">
        <f t="shared" si="165"/>
        <v>0</v>
      </c>
    </row>
    <row r="55" spans="1:50" x14ac:dyDescent="0.2">
      <c r="A55" s="99" t="str">
        <f ca="1">Language!A1227</f>
        <v>Инвестиции в финансовые активы</v>
      </c>
      <c r="C55" s="130" t="str">
        <f ca="1">Параметры!$C$64</f>
        <v>тыс. руб.</v>
      </c>
      <c r="D55" s="57"/>
      <c r="E55" s="243" t="s">
        <v>1471</v>
      </c>
      <c r="F55" s="57" t="s">
        <v>753</v>
      </c>
      <c r="G55" s="138">
        <f>-(Проект!G844+Проект!G852) / Параметры!G$64</f>
        <v>0</v>
      </c>
      <c r="H55" s="138">
        <f>-(Проект!H844+Проект!H852) / Параметры!H$64</f>
        <v>0</v>
      </c>
      <c r="I55" s="138">
        <f>-(Проект!I844+Проект!I852) / Параметры!I$64</f>
        <v>0</v>
      </c>
      <c r="J55" s="138">
        <f>-(Проект!J844+Проект!J852) / Параметры!J$64</f>
        <v>0</v>
      </c>
      <c r="K55" s="138">
        <f>-(Проект!K844+Проект!K852) / Параметры!K$64</f>
        <v>0</v>
      </c>
      <c r="L55" s="138">
        <f>-(Проект!L844+Проект!L852) / Параметры!L$64</f>
        <v>0</v>
      </c>
      <c r="M55" s="138">
        <f>-(Проект!M844+Проект!M852) / Параметры!M$64</f>
        <v>0</v>
      </c>
      <c r="N55" s="138">
        <f>-(Проект!N844+Проект!N852) / Параметры!N$64</f>
        <v>0</v>
      </c>
      <c r="O55" s="138">
        <f>-(Проект!O844+Проект!O852) / Параметры!O$64</f>
        <v>0</v>
      </c>
      <c r="P55" s="138">
        <f>-(Проект!P844+Проект!P852) / Параметры!P$64</f>
        <v>0</v>
      </c>
      <c r="Q55" s="138">
        <f>-(Проект!Q844+Проект!Q852) / Параметры!Q$64</f>
        <v>0</v>
      </c>
      <c r="R55" s="138">
        <f>-(Проект!R844+Проект!R852) / Параметры!R$64</f>
        <v>0</v>
      </c>
      <c r="S55" s="138">
        <f>-(Проект!S844+Проект!S852) / Параметры!S$64</f>
        <v>0</v>
      </c>
      <c r="T55" s="138">
        <f>-(Проект!T844+Проект!T852) / Параметры!T$64</f>
        <v>0</v>
      </c>
      <c r="U55" s="138">
        <f>-(Проект!U844+Проект!U852) / Параметры!U$64</f>
        <v>0</v>
      </c>
      <c r="V55" s="138">
        <f>-(Проект!V844+Проект!V852) / Параметры!V$64</f>
        <v>0</v>
      </c>
      <c r="W55" s="138">
        <f>-(Проект!W844+Проект!W852) / Параметры!W$64</f>
        <v>0</v>
      </c>
      <c r="X55" s="138">
        <f>-(Проект!X844+Проект!X852) / Параметры!X$64</f>
        <v>0</v>
      </c>
      <c r="Y55" s="138">
        <f>-(Проект!Y844+Проект!Y852) / Параметры!Y$64</f>
        <v>0</v>
      </c>
      <c r="Z55" s="138">
        <f>-(Проект!Z844+Проект!Z852) / Параметры!Z$64</f>
        <v>0</v>
      </c>
      <c r="AA55" s="138">
        <f>-(Проект!AA844+Проект!AA852) / Параметры!AA$64</f>
        <v>0</v>
      </c>
      <c r="AB55" s="138">
        <f>-(Проект!AB844+Проект!AB852) / Параметры!AB$64</f>
        <v>0</v>
      </c>
      <c r="AC55" s="138">
        <f>-(Проект!AC844+Проект!AC852) / Параметры!AC$64</f>
        <v>0</v>
      </c>
      <c r="AD55" s="138">
        <f>-(Проект!AD844+Проект!AD852) / Параметры!AD$64</f>
        <v>0</v>
      </c>
      <c r="AE55" s="138">
        <f>-(Проект!AE844+Проект!AE852) / Параметры!AE$64</f>
        <v>0</v>
      </c>
      <c r="AF55" s="138">
        <f>-(Проект!AF844+Проект!AF852) / Параметры!AF$64</f>
        <v>0</v>
      </c>
      <c r="AG55" s="138">
        <f>-(Проект!AG844+Проект!AG852) / Параметры!AG$64</f>
        <v>0</v>
      </c>
      <c r="AH55" s="138">
        <f>-(Проект!AH844+Проект!AH852) / Параметры!AH$64</f>
        <v>0</v>
      </c>
      <c r="AI55" s="138">
        <f>-(Проект!AI844+Проект!AI852) / Параметры!AI$64</f>
        <v>0</v>
      </c>
      <c r="AJ55" s="138">
        <f>-(Проект!AJ844+Проект!AJ852) / Параметры!AJ$64</f>
        <v>0</v>
      </c>
      <c r="AK55" s="138">
        <f>-(Проект!AK844+Проект!AK852) / Параметры!AK$64</f>
        <v>0</v>
      </c>
      <c r="AL55" s="138">
        <f>-(Проект!AL844+Проект!AL852) / Параметры!AL$64</f>
        <v>0</v>
      </c>
      <c r="AM55" s="138">
        <f>-(Проект!AM844+Проект!AM852) / Параметры!AM$64</f>
        <v>0</v>
      </c>
      <c r="AN55" s="138">
        <f>-(Проект!AN844+Проект!AN852) / Параметры!AN$64</f>
        <v>0</v>
      </c>
      <c r="AO55" s="138">
        <f>-(Проект!AO844+Проект!AO852) / Параметры!AO$64</f>
        <v>0</v>
      </c>
      <c r="AP55" s="138">
        <f>-(Проект!AP844+Проект!AP852) / Параметры!AP$64</f>
        <v>0</v>
      </c>
      <c r="AQ55" s="138">
        <f>-(Проект!AQ844+Проект!AQ852) / Параметры!AQ$64</f>
        <v>0</v>
      </c>
      <c r="AR55" s="138">
        <f>-(Проект!AR844+Проект!AR852) / Параметры!AR$64</f>
        <v>0</v>
      </c>
      <c r="AS55" s="138">
        <f>-(Проект!AS844+Проект!AS852) / Параметры!AS$64</f>
        <v>0</v>
      </c>
      <c r="AT55" s="138">
        <f>-(Проект!AT844+Проект!AT852) / Параметры!AT$64</f>
        <v>0</v>
      </c>
      <c r="AU55" s="138">
        <f>-(Проект!AU844+Проект!AU852) / Параметры!AU$64</f>
        <v>0</v>
      </c>
      <c r="AV55" s="138">
        <f>-(Проект!AV844+Проект!AV852) / Параметры!AV$64</f>
        <v>0</v>
      </c>
      <c r="AW55" s="138"/>
      <c r="AX55" s="171">
        <f t="shared" si="165"/>
        <v>0</v>
      </c>
    </row>
    <row r="56" spans="1:50" x14ac:dyDescent="0.2">
      <c r="A56" s="99" t="str">
        <f ca="1">Language!A1228</f>
        <v>Выручка от реализации активов</v>
      </c>
      <c r="C56" s="130" t="str">
        <f ca="1">Параметры!$C$64</f>
        <v>тыс. руб.</v>
      </c>
      <c r="D56" s="57"/>
      <c r="E56" s="243" t="s">
        <v>1472</v>
      </c>
      <c r="F56" s="57" t="s">
        <v>753</v>
      </c>
      <c r="G56" s="138">
        <f>(Проект!G774+Проект!G786+Проект!G789+Проект!G801+Проект!G804+Проект!G813+Проект!G815+Проект!G845+Проект!G853+Старт!G94+Старт!G98) / Параметры!G$64</f>
        <v>0</v>
      </c>
      <c r="H56" s="138">
        <f>(Проект!H774+Проект!H786+Проект!H789+Проект!H801+Проект!H804+Проект!H813+Проект!H815+Проект!H845+Проект!H853+Старт!H94+Старт!H98) / Параметры!H$64</f>
        <v>0</v>
      </c>
      <c r="I56" s="138">
        <f>(Проект!I774+Проект!I786+Проект!I789+Проект!I801+Проект!I804+Проект!I813+Проект!I815+Проект!I845+Проект!I853+Старт!I94+Старт!I98) / Параметры!I$64</f>
        <v>0</v>
      </c>
      <c r="J56" s="138">
        <f>(Проект!J774+Проект!J786+Проект!J789+Проект!J801+Проект!J804+Проект!J813+Проект!J815+Проект!J845+Проект!J853+Старт!J94+Старт!J98) / Параметры!J$64</f>
        <v>0</v>
      </c>
      <c r="K56" s="138">
        <f>(Проект!K774+Проект!K786+Проект!K789+Проект!K801+Проект!K804+Проект!K813+Проект!K815+Проект!K845+Проект!K853+Старт!K94+Старт!K98) / Параметры!K$64</f>
        <v>0</v>
      </c>
      <c r="L56" s="138">
        <f>(Проект!L774+Проект!L786+Проект!L789+Проект!L801+Проект!L804+Проект!L813+Проект!L815+Проект!L845+Проект!L853+Старт!L94+Старт!L98) / Параметры!L$64</f>
        <v>0</v>
      </c>
      <c r="M56" s="138">
        <f>(Проект!M774+Проект!M786+Проект!M789+Проект!M801+Проект!M804+Проект!M813+Проект!M815+Проект!M845+Проект!M853+Старт!M94+Старт!M98) / Параметры!M$64</f>
        <v>0</v>
      </c>
      <c r="N56" s="138">
        <f>(Проект!N774+Проект!N786+Проект!N789+Проект!N801+Проект!N804+Проект!N813+Проект!N815+Проект!N845+Проект!N853+Старт!N94+Старт!N98) / Параметры!N$64</f>
        <v>0</v>
      </c>
      <c r="O56" s="138">
        <f>(Проект!O774+Проект!O786+Проект!O789+Проект!O801+Проект!O804+Проект!O813+Проект!O815+Проект!O845+Проект!O853+Старт!O94+Старт!O98) / Параметры!O$64</f>
        <v>0</v>
      </c>
      <c r="P56" s="138">
        <f>(Проект!P774+Проект!P786+Проект!P789+Проект!P801+Проект!P804+Проект!P813+Проект!P815+Проект!P845+Проект!P853+Старт!P94+Старт!P98) / Параметры!P$64</f>
        <v>0</v>
      </c>
      <c r="Q56" s="138">
        <f>(Проект!Q774+Проект!Q786+Проект!Q789+Проект!Q801+Проект!Q804+Проект!Q813+Проект!Q815+Проект!Q845+Проект!Q853+Старт!Q94+Старт!Q98) / Параметры!Q$64</f>
        <v>0</v>
      </c>
      <c r="R56" s="138">
        <f>(Проект!R774+Проект!R786+Проект!R789+Проект!R801+Проект!R804+Проект!R813+Проект!R815+Проект!R845+Проект!R853+Старт!R94+Старт!R98) / Параметры!R$64</f>
        <v>0</v>
      </c>
      <c r="S56" s="138">
        <f>(Проект!S774+Проект!S786+Проект!S789+Проект!S801+Проект!S804+Проект!S813+Проект!S815+Проект!S845+Проект!S853+Старт!S94+Старт!S98) / Параметры!S$64</f>
        <v>0</v>
      </c>
      <c r="T56" s="138">
        <f>(Проект!T774+Проект!T786+Проект!T789+Проект!T801+Проект!T804+Проект!T813+Проект!T815+Проект!T845+Проект!T853+Старт!T94+Старт!T98) / Параметры!T$64</f>
        <v>0</v>
      </c>
      <c r="U56" s="138">
        <f>(Проект!U774+Проект!U786+Проект!U789+Проект!U801+Проект!U804+Проект!U813+Проект!U815+Проект!U845+Проект!U853+Старт!U94+Старт!U98) / Параметры!U$64</f>
        <v>0</v>
      </c>
      <c r="V56" s="138">
        <f>(Проект!V774+Проект!V786+Проект!V789+Проект!V801+Проект!V804+Проект!V813+Проект!V815+Проект!V845+Проект!V853+Старт!V94+Старт!V98) / Параметры!V$64</f>
        <v>0</v>
      </c>
      <c r="W56" s="138">
        <f>(Проект!W774+Проект!W786+Проект!W789+Проект!W801+Проект!W804+Проект!W813+Проект!W815+Проект!W845+Проект!W853+Старт!W94+Старт!W98) / Параметры!W$64</f>
        <v>0</v>
      </c>
      <c r="X56" s="138">
        <f>(Проект!X774+Проект!X786+Проект!X789+Проект!X801+Проект!X804+Проект!X813+Проект!X815+Проект!X845+Проект!X853+Старт!X94+Старт!X98) / Параметры!X$64</f>
        <v>0</v>
      </c>
      <c r="Y56" s="138">
        <f>(Проект!Y774+Проект!Y786+Проект!Y789+Проект!Y801+Проект!Y804+Проект!Y813+Проект!Y815+Проект!Y845+Проект!Y853+Старт!Y94+Старт!Y98) / Параметры!Y$64</f>
        <v>0</v>
      </c>
      <c r="Z56" s="138">
        <f>(Проект!Z774+Проект!Z786+Проект!Z789+Проект!Z801+Проект!Z804+Проект!Z813+Проект!Z815+Проект!Z845+Проект!Z853+Старт!Z94+Старт!Z98) / Параметры!Z$64</f>
        <v>0</v>
      </c>
      <c r="AA56" s="138">
        <f>(Проект!AA774+Проект!AA786+Проект!AA789+Проект!AA801+Проект!AA804+Проект!AA813+Проект!AA815+Проект!AA845+Проект!AA853+Старт!AA94+Старт!AA98) / Параметры!AA$64</f>
        <v>0</v>
      </c>
      <c r="AB56" s="138">
        <f>(Проект!AB774+Проект!AB786+Проект!AB789+Проект!AB801+Проект!AB804+Проект!AB813+Проект!AB815+Проект!AB845+Проект!AB853+Старт!AB94+Старт!AB98) / Параметры!AB$64</f>
        <v>0</v>
      </c>
      <c r="AC56" s="138">
        <f>(Проект!AC774+Проект!AC786+Проект!AC789+Проект!AC801+Проект!AC804+Проект!AC813+Проект!AC815+Проект!AC845+Проект!AC853+Старт!AC94+Старт!AC98) / Параметры!AC$64</f>
        <v>0</v>
      </c>
      <c r="AD56" s="138">
        <f>(Проект!AD774+Проект!AD786+Проект!AD789+Проект!AD801+Проект!AD804+Проект!AD813+Проект!AD815+Проект!AD845+Проект!AD853+Старт!AD94+Старт!AD98) / Параметры!AD$64</f>
        <v>0</v>
      </c>
      <c r="AE56" s="138">
        <f>(Проект!AE774+Проект!AE786+Проект!AE789+Проект!AE801+Проект!AE804+Проект!AE813+Проект!AE815+Проект!AE845+Проект!AE853+Старт!AE94+Старт!AE98) / Параметры!AE$64</f>
        <v>0</v>
      </c>
      <c r="AF56" s="138">
        <f>(Проект!AF774+Проект!AF786+Проект!AF789+Проект!AF801+Проект!AF804+Проект!AF813+Проект!AF815+Проект!AF845+Проект!AF853+Старт!AF94+Старт!AF98) / Параметры!AF$64</f>
        <v>0</v>
      </c>
      <c r="AG56" s="138">
        <f>(Проект!AG774+Проект!AG786+Проект!AG789+Проект!AG801+Проект!AG804+Проект!AG813+Проект!AG815+Проект!AG845+Проект!AG853+Старт!AG94+Старт!AG98) / Параметры!AG$64</f>
        <v>0</v>
      </c>
      <c r="AH56" s="138">
        <f>(Проект!AH774+Проект!AH786+Проект!AH789+Проект!AH801+Проект!AH804+Проект!AH813+Проект!AH815+Проект!AH845+Проект!AH853+Старт!AH94+Старт!AH98) / Параметры!AH$64</f>
        <v>0</v>
      </c>
      <c r="AI56" s="138">
        <f>(Проект!AI774+Проект!AI786+Проект!AI789+Проект!AI801+Проект!AI804+Проект!AI813+Проект!AI815+Проект!AI845+Проект!AI853+Старт!AI94+Старт!AI98) / Параметры!AI$64</f>
        <v>0</v>
      </c>
      <c r="AJ56" s="138">
        <f>(Проект!AJ774+Проект!AJ786+Проект!AJ789+Проект!AJ801+Проект!AJ804+Проект!AJ813+Проект!AJ815+Проект!AJ845+Проект!AJ853+Старт!AJ94+Старт!AJ98) / Параметры!AJ$64</f>
        <v>0</v>
      </c>
      <c r="AK56" s="138">
        <f>(Проект!AK774+Проект!AK786+Проект!AK789+Проект!AK801+Проект!AK804+Проект!AK813+Проект!AK815+Проект!AK845+Проект!AK853+Старт!AK94+Старт!AK98) / Параметры!AK$64</f>
        <v>0</v>
      </c>
      <c r="AL56" s="138">
        <f>(Проект!AL774+Проект!AL786+Проект!AL789+Проект!AL801+Проект!AL804+Проект!AL813+Проект!AL815+Проект!AL845+Проект!AL853+Старт!AL94+Старт!AL98) / Параметры!AL$64</f>
        <v>0</v>
      </c>
      <c r="AM56" s="138">
        <f>(Проект!AM774+Проект!AM786+Проект!AM789+Проект!AM801+Проект!AM804+Проект!AM813+Проект!AM815+Проект!AM845+Проект!AM853+Старт!AM94+Старт!AM98) / Параметры!AM$64</f>
        <v>0</v>
      </c>
      <c r="AN56" s="138">
        <f>(Проект!AN774+Проект!AN786+Проект!AN789+Проект!AN801+Проект!AN804+Проект!AN813+Проект!AN815+Проект!AN845+Проект!AN853+Старт!AN94+Старт!AN98) / Параметры!AN$64</f>
        <v>0</v>
      </c>
      <c r="AO56" s="138">
        <f>(Проект!AO774+Проект!AO786+Проект!AO789+Проект!AO801+Проект!AO804+Проект!AO813+Проект!AO815+Проект!AO845+Проект!AO853+Старт!AO94+Старт!AO98) / Параметры!AO$64</f>
        <v>0</v>
      </c>
      <c r="AP56" s="138">
        <f>(Проект!AP774+Проект!AP786+Проект!AP789+Проект!AP801+Проект!AP804+Проект!AP813+Проект!AP815+Проект!AP845+Проект!AP853+Старт!AP94+Старт!AP98) / Параметры!AP$64</f>
        <v>0</v>
      </c>
      <c r="AQ56" s="138">
        <f>(Проект!AQ774+Проект!AQ786+Проект!AQ789+Проект!AQ801+Проект!AQ804+Проект!AQ813+Проект!AQ815+Проект!AQ845+Проект!AQ853+Старт!AQ94+Старт!AQ98) / Параметры!AQ$64</f>
        <v>0</v>
      </c>
      <c r="AR56" s="138">
        <f>(Проект!AR774+Проект!AR786+Проект!AR789+Проект!AR801+Проект!AR804+Проект!AR813+Проект!AR815+Проект!AR845+Проект!AR853+Старт!AR94+Старт!AR98) / Параметры!AR$64</f>
        <v>0</v>
      </c>
      <c r="AS56" s="138">
        <f>(Проект!AS774+Проект!AS786+Проект!AS789+Проект!AS801+Проект!AS804+Проект!AS813+Проект!AS815+Проект!AS845+Проект!AS853+Старт!AS94+Старт!AS98) / Параметры!AS$64</f>
        <v>0</v>
      </c>
      <c r="AT56" s="138">
        <f>(Проект!AT774+Проект!AT786+Проект!AT789+Проект!AT801+Проект!AT804+Проект!AT813+Проект!AT815+Проект!AT845+Проект!AT853+Старт!AT94+Старт!AT98) / Параметры!AT$64</f>
        <v>0</v>
      </c>
      <c r="AU56" s="138">
        <f>(Проект!AU774+Проект!AU786+Проект!AU789+Проект!AU801+Проект!AU804+Проект!AU813+Проект!AU815+Проект!AU845+Проект!AU853+Старт!AU94+Старт!AU98) / Параметры!AU$64</f>
        <v>0</v>
      </c>
      <c r="AV56" s="138">
        <f>(Проект!AV774+Проект!AV786+Проект!AV789+Проект!AV801+Проект!AV804+Проект!AV813+Проект!AV815+Проект!AV845+Проект!AV853+Старт!AV94+Старт!AV98) / Параметры!AV$64</f>
        <v>0</v>
      </c>
      <c r="AW56" s="138"/>
      <c r="AX56" s="171">
        <f t="shared" si="165"/>
        <v>0</v>
      </c>
    </row>
    <row r="57" spans="1:50" x14ac:dyDescent="0.2">
      <c r="A57" s="65"/>
      <c r="D57" s="57"/>
      <c r="E57" s="243"/>
      <c r="F57" s="57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71"/>
    </row>
    <row r="58" spans="1:50" x14ac:dyDescent="0.2">
      <c r="A58" s="125" t="str">
        <f ca="1">Language!A1229</f>
        <v>Денежные потоки от инвестиционной деятельности</v>
      </c>
      <c r="B58" s="244"/>
      <c r="C58" s="127" t="str">
        <f ca="1">Параметры!$C$64</f>
        <v>тыс. руб.</v>
      </c>
      <c r="D58" s="128"/>
      <c r="E58" s="245" t="s">
        <v>1473</v>
      </c>
      <c r="F58" s="128" t="s">
        <v>753</v>
      </c>
      <c r="G58" s="246">
        <f>SUM(G51:G56)</f>
        <v>-99108</v>
      </c>
      <c r="H58" s="246">
        <f t="shared" ref="H58:K58" si="166">SUM(H51:H56)</f>
        <v>-127760.00000000001</v>
      </c>
      <c r="I58" s="246">
        <f t="shared" si="166"/>
        <v>-92760</v>
      </c>
      <c r="J58" s="246">
        <f t="shared" si="166"/>
        <v>-82018</v>
      </c>
      <c r="K58" s="246">
        <f t="shared" si="166"/>
        <v>0</v>
      </c>
      <c r="L58" s="246">
        <f t="shared" ref="L58:M58" si="167">SUM(L51:L56)</f>
        <v>0</v>
      </c>
      <c r="M58" s="246">
        <f t="shared" si="167"/>
        <v>0</v>
      </c>
      <c r="N58" s="246">
        <f t="shared" ref="N58:O58" si="168">SUM(N51:N56)</f>
        <v>0</v>
      </c>
      <c r="O58" s="246">
        <f t="shared" si="168"/>
        <v>0</v>
      </c>
      <c r="P58" s="246">
        <f t="shared" ref="P58:Q58" si="169">SUM(P51:P56)</f>
        <v>0</v>
      </c>
      <c r="Q58" s="246">
        <f t="shared" si="169"/>
        <v>0</v>
      </c>
      <c r="R58" s="246">
        <f t="shared" ref="R58:S58" si="170">SUM(R51:R56)</f>
        <v>0</v>
      </c>
      <c r="S58" s="246">
        <f t="shared" si="170"/>
        <v>0</v>
      </c>
      <c r="T58" s="246">
        <f t="shared" ref="T58:U58" si="171">SUM(T51:T56)</f>
        <v>0</v>
      </c>
      <c r="U58" s="246">
        <f t="shared" si="171"/>
        <v>0</v>
      </c>
      <c r="V58" s="246">
        <f t="shared" ref="V58:W58" si="172">SUM(V51:V56)</f>
        <v>0</v>
      </c>
      <c r="W58" s="246">
        <f t="shared" si="172"/>
        <v>0</v>
      </c>
      <c r="X58" s="246">
        <f t="shared" ref="X58:Y58" si="173">SUM(X51:X56)</f>
        <v>0</v>
      </c>
      <c r="Y58" s="246">
        <f t="shared" si="173"/>
        <v>0</v>
      </c>
      <c r="Z58" s="246">
        <f t="shared" ref="Z58:AA58" si="174">SUM(Z51:Z56)</f>
        <v>0</v>
      </c>
      <c r="AA58" s="246">
        <f t="shared" si="174"/>
        <v>0</v>
      </c>
      <c r="AB58" s="246">
        <f t="shared" ref="AB58:AC58" si="175">SUM(AB51:AB56)</f>
        <v>0</v>
      </c>
      <c r="AC58" s="246">
        <f t="shared" si="175"/>
        <v>0</v>
      </c>
      <c r="AD58" s="246">
        <f t="shared" ref="AD58:AE58" si="176">SUM(AD51:AD56)</f>
        <v>0</v>
      </c>
      <c r="AE58" s="246">
        <f t="shared" si="176"/>
        <v>0</v>
      </c>
      <c r="AF58" s="246">
        <f t="shared" ref="AF58:AG58" si="177">SUM(AF51:AF56)</f>
        <v>0</v>
      </c>
      <c r="AG58" s="246">
        <f t="shared" si="177"/>
        <v>0</v>
      </c>
      <c r="AH58" s="246">
        <f t="shared" ref="AH58:AI58" si="178">SUM(AH51:AH56)</f>
        <v>0</v>
      </c>
      <c r="AI58" s="246">
        <f t="shared" si="178"/>
        <v>0</v>
      </c>
      <c r="AJ58" s="246">
        <f t="shared" ref="AJ58:AK58" si="179">SUM(AJ51:AJ56)</f>
        <v>0</v>
      </c>
      <c r="AK58" s="246">
        <f t="shared" si="179"/>
        <v>0</v>
      </c>
      <c r="AL58" s="246">
        <f t="shared" ref="AL58:AM58" si="180">SUM(AL51:AL56)</f>
        <v>0</v>
      </c>
      <c r="AM58" s="246">
        <f t="shared" si="180"/>
        <v>0</v>
      </c>
      <c r="AN58" s="246">
        <f t="shared" ref="AN58:AO58" si="181">SUM(AN51:AN56)</f>
        <v>0</v>
      </c>
      <c r="AO58" s="246">
        <f t="shared" si="181"/>
        <v>0</v>
      </c>
      <c r="AP58" s="246">
        <f t="shared" ref="AP58:AQ58" si="182">SUM(AP51:AP56)</f>
        <v>0</v>
      </c>
      <c r="AQ58" s="246">
        <f t="shared" si="182"/>
        <v>0</v>
      </c>
      <c r="AR58" s="246">
        <f t="shared" ref="AR58:AS58" si="183">SUM(AR51:AR56)</f>
        <v>0</v>
      </c>
      <c r="AS58" s="246">
        <f t="shared" si="183"/>
        <v>0</v>
      </c>
      <c r="AT58" s="246">
        <f t="shared" ref="AT58:AU58" si="184">SUM(AT51:AT56)</f>
        <v>0</v>
      </c>
      <c r="AU58" s="246">
        <f t="shared" si="184"/>
        <v>0</v>
      </c>
      <c r="AV58" s="246">
        <f t="shared" ref="AV58" si="185">SUM(AV51:AV56)</f>
        <v>0</v>
      </c>
      <c r="AW58" s="246"/>
      <c r="AX58" s="247">
        <f>SUM(G58:AW58)</f>
        <v>-401646</v>
      </c>
    </row>
    <row r="59" spans="1:50" x14ac:dyDescent="0.2">
      <c r="A59" s="65"/>
      <c r="D59" s="57"/>
      <c r="E59" s="243"/>
      <c r="F59" s="57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71"/>
    </row>
    <row r="60" spans="1:50" x14ac:dyDescent="0.2">
      <c r="A60" s="99" t="str">
        <f ca="1">Language!A1230</f>
        <v>Поступления собственного капитала</v>
      </c>
      <c r="C60" s="130" t="str">
        <f ca="1">Параметры!$C$64</f>
        <v>тыс. руб.</v>
      </c>
      <c r="D60" s="57"/>
      <c r="E60" s="243" t="s">
        <v>1474</v>
      </c>
      <c r="F60" s="57" t="s">
        <v>753</v>
      </c>
      <c r="G60" s="138">
        <f>Проект!G882 / Параметры!G$64</f>
        <v>0</v>
      </c>
      <c r="H60" s="138">
        <f>Проект!H882 / Параметры!H$64</f>
        <v>0</v>
      </c>
      <c r="I60" s="138">
        <f>Проект!I882 / Параметры!I$64</f>
        <v>0</v>
      </c>
      <c r="J60" s="138">
        <f>Проект!J882 / Параметры!J$64</f>
        <v>0</v>
      </c>
      <c r="K60" s="138">
        <f>Проект!K882 / Параметры!K$64</f>
        <v>0</v>
      </c>
      <c r="L60" s="138">
        <f>Проект!L882 / Параметры!L$64</f>
        <v>0</v>
      </c>
      <c r="M60" s="138">
        <f>Проект!M882 / Параметры!M$64</f>
        <v>0</v>
      </c>
      <c r="N60" s="138">
        <f>Проект!N882 / Параметры!N$64</f>
        <v>0</v>
      </c>
      <c r="O60" s="138">
        <f>Проект!O882 / Параметры!O$64</f>
        <v>0</v>
      </c>
      <c r="P60" s="138">
        <f>Проект!P882 / Параметры!P$64</f>
        <v>0</v>
      </c>
      <c r="Q60" s="138">
        <f>Проект!Q882 / Параметры!Q$64</f>
        <v>0</v>
      </c>
      <c r="R60" s="138">
        <f>Проект!R882 / Параметры!R$64</f>
        <v>0</v>
      </c>
      <c r="S60" s="138">
        <f>Проект!S882 / Параметры!S$64</f>
        <v>0</v>
      </c>
      <c r="T60" s="138">
        <f>Проект!T882 / Параметры!T$64</f>
        <v>0</v>
      </c>
      <c r="U60" s="138">
        <f>Проект!U882 / Параметры!U$64</f>
        <v>0</v>
      </c>
      <c r="V60" s="138">
        <f>Проект!V882 / Параметры!V$64</f>
        <v>0</v>
      </c>
      <c r="W60" s="138">
        <f>Проект!W882 / Параметры!W$64</f>
        <v>0</v>
      </c>
      <c r="X60" s="138">
        <f>Проект!X882 / Параметры!X$64</f>
        <v>0</v>
      </c>
      <c r="Y60" s="138">
        <f>Проект!Y882 / Параметры!Y$64</f>
        <v>0</v>
      </c>
      <c r="Z60" s="138">
        <f>Проект!Z882 / Параметры!Z$64</f>
        <v>0</v>
      </c>
      <c r="AA60" s="138">
        <f>Проект!AA882 / Параметры!AA$64</f>
        <v>0</v>
      </c>
      <c r="AB60" s="138">
        <f>Проект!AB882 / Параметры!AB$64</f>
        <v>0</v>
      </c>
      <c r="AC60" s="138">
        <f>Проект!AC882 / Параметры!AC$64</f>
        <v>0</v>
      </c>
      <c r="AD60" s="138">
        <f>Проект!AD882 / Параметры!AD$64</f>
        <v>0</v>
      </c>
      <c r="AE60" s="138">
        <f>Проект!AE882 / Параметры!AE$64</f>
        <v>0</v>
      </c>
      <c r="AF60" s="138">
        <f>Проект!AF882 / Параметры!AF$64</f>
        <v>0</v>
      </c>
      <c r="AG60" s="138">
        <f>Проект!AG882 / Параметры!AG$64</f>
        <v>0</v>
      </c>
      <c r="AH60" s="138">
        <f>Проект!AH882 / Параметры!AH$64</f>
        <v>0</v>
      </c>
      <c r="AI60" s="138">
        <f>Проект!AI882 / Параметры!AI$64</f>
        <v>0</v>
      </c>
      <c r="AJ60" s="138">
        <f>Проект!AJ882 / Параметры!AJ$64</f>
        <v>0</v>
      </c>
      <c r="AK60" s="138">
        <f>Проект!AK882 / Параметры!AK$64</f>
        <v>0</v>
      </c>
      <c r="AL60" s="138">
        <f>Проект!AL882 / Параметры!AL$64</f>
        <v>0</v>
      </c>
      <c r="AM60" s="138">
        <f>Проект!AM882 / Параметры!AM$64</f>
        <v>0</v>
      </c>
      <c r="AN60" s="138">
        <f>Проект!AN882 / Параметры!AN$64</f>
        <v>0</v>
      </c>
      <c r="AO60" s="138">
        <f>Проект!AO882 / Параметры!AO$64</f>
        <v>0</v>
      </c>
      <c r="AP60" s="138">
        <f>Проект!AP882 / Параметры!AP$64</f>
        <v>0</v>
      </c>
      <c r="AQ60" s="138">
        <f>Проект!AQ882 / Параметры!AQ$64</f>
        <v>0</v>
      </c>
      <c r="AR60" s="138">
        <f>Проект!AR882 / Параметры!AR$64</f>
        <v>0</v>
      </c>
      <c r="AS60" s="138">
        <f>Проект!AS882 / Параметры!AS$64</f>
        <v>0</v>
      </c>
      <c r="AT60" s="138">
        <f>Проект!AT882 / Параметры!AT$64</f>
        <v>0</v>
      </c>
      <c r="AU60" s="138">
        <f>Проект!AU882 / Параметры!AU$64</f>
        <v>0</v>
      </c>
      <c r="AV60" s="138">
        <f>Проект!AV882 / Параметры!AV$64</f>
        <v>0</v>
      </c>
      <c r="AW60" s="138"/>
      <c r="AX60" s="171">
        <f>SUM(G60:AW60)</f>
        <v>0</v>
      </c>
    </row>
    <row r="61" spans="1:50" x14ac:dyDescent="0.2">
      <c r="A61" s="99" t="str">
        <f ca="1">Language!A1231</f>
        <v>Поступления кредитов</v>
      </c>
      <c r="C61" s="130" t="str">
        <f ca="1">Параметры!$C$64</f>
        <v>тыс. руб.</v>
      </c>
      <c r="D61" s="57"/>
      <c r="E61" s="243" t="s">
        <v>1475</v>
      </c>
      <c r="F61" s="57" t="s">
        <v>753</v>
      </c>
      <c r="G61" s="138">
        <f>Проект!G935 / Параметры!G$64</f>
        <v>0</v>
      </c>
      <c r="H61" s="138">
        <f>Проект!H935 / Параметры!H$64</f>
        <v>2226632</v>
      </c>
      <c r="I61" s="138">
        <f>Проект!I935 / Параметры!I$64</f>
        <v>150000</v>
      </c>
      <c r="J61" s="138">
        <f>Проект!J935 / Параметры!J$64</f>
        <v>100000</v>
      </c>
      <c r="K61" s="138">
        <f>Проект!K935 / Параметры!K$64</f>
        <v>0</v>
      </c>
      <c r="L61" s="138">
        <f>Проект!L935 / Параметры!L$64</f>
        <v>0</v>
      </c>
      <c r="M61" s="138">
        <f>Проект!M935 / Параметры!M$64</f>
        <v>0</v>
      </c>
      <c r="N61" s="138">
        <f>Проект!N935 / Параметры!N$64</f>
        <v>0</v>
      </c>
      <c r="O61" s="138">
        <f>Проект!O935 / Параметры!O$64</f>
        <v>0</v>
      </c>
      <c r="P61" s="138">
        <f>Проект!P935 / Параметры!P$64</f>
        <v>0</v>
      </c>
      <c r="Q61" s="138">
        <f>Проект!Q935 / Параметры!Q$64</f>
        <v>0</v>
      </c>
      <c r="R61" s="138">
        <f>Проект!R935 / Параметры!R$64</f>
        <v>0</v>
      </c>
      <c r="S61" s="138">
        <f>Проект!S935 / Параметры!S$64</f>
        <v>0</v>
      </c>
      <c r="T61" s="138">
        <f>Проект!T935 / Параметры!T$64</f>
        <v>0</v>
      </c>
      <c r="U61" s="138">
        <f>Проект!U935 / Параметры!U$64</f>
        <v>0</v>
      </c>
      <c r="V61" s="138">
        <f>Проект!V935 / Параметры!V$64</f>
        <v>0</v>
      </c>
      <c r="W61" s="138">
        <f>Проект!W935 / Параметры!W$64</f>
        <v>0</v>
      </c>
      <c r="X61" s="138">
        <f>Проект!X935 / Параметры!X$64</f>
        <v>0</v>
      </c>
      <c r="Y61" s="138">
        <f>Проект!Y935 / Параметры!Y$64</f>
        <v>0</v>
      </c>
      <c r="Z61" s="138">
        <f>Проект!Z935 / Параметры!Z$64</f>
        <v>0</v>
      </c>
      <c r="AA61" s="138">
        <f>Проект!AA935 / Параметры!AA$64</f>
        <v>0</v>
      </c>
      <c r="AB61" s="138">
        <f>Проект!AB935 / Параметры!AB$64</f>
        <v>0</v>
      </c>
      <c r="AC61" s="138">
        <f>Проект!AC935 / Параметры!AC$64</f>
        <v>0</v>
      </c>
      <c r="AD61" s="138">
        <f>Проект!AD935 / Параметры!AD$64</f>
        <v>0</v>
      </c>
      <c r="AE61" s="138">
        <f>Проект!AE935 / Параметры!AE$64</f>
        <v>0</v>
      </c>
      <c r="AF61" s="138">
        <f>Проект!AF935 / Параметры!AF$64</f>
        <v>0</v>
      </c>
      <c r="AG61" s="138">
        <f>Проект!AG935 / Параметры!AG$64</f>
        <v>0</v>
      </c>
      <c r="AH61" s="138">
        <f>Проект!AH935 / Параметры!AH$64</f>
        <v>0</v>
      </c>
      <c r="AI61" s="138">
        <f>Проект!AI935 / Параметры!AI$64</f>
        <v>0</v>
      </c>
      <c r="AJ61" s="138">
        <f>Проект!AJ935 / Параметры!AJ$64</f>
        <v>0</v>
      </c>
      <c r="AK61" s="138">
        <f>Проект!AK935 / Параметры!AK$64</f>
        <v>0</v>
      </c>
      <c r="AL61" s="138">
        <f>Проект!AL935 / Параметры!AL$64</f>
        <v>0</v>
      </c>
      <c r="AM61" s="138">
        <f>Проект!AM935 / Параметры!AM$64</f>
        <v>0</v>
      </c>
      <c r="AN61" s="138">
        <f>Проект!AN935 / Параметры!AN$64</f>
        <v>0</v>
      </c>
      <c r="AO61" s="138">
        <f>Проект!AO935 / Параметры!AO$64</f>
        <v>0</v>
      </c>
      <c r="AP61" s="138">
        <f>Проект!AP935 / Параметры!AP$64</f>
        <v>0</v>
      </c>
      <c r="AQ61" s="138">
        <f>Проект!AQ935 / Параметры!AQ$64</f>
        <v>0</v>
      </c>
      <c r="AR61" s="138">
        <f>Проект!AR935 / Параметры!AR$64</f>
        <v>0</v>
      </c>
      <c r="AS61" s="138">
        <f>Проект!AS935 / Параметры!AS$64</f>
        <v>0</v>
      </c>
      <c r="AT61" s="138">
        <f>Проект!AT935 / Параметры!AT$64</f>
        <v>0</v>
      </c>
      <c r="AU61" s="138">
        <f>Проект!AU935 / Параметры!AU$64</f>
        <v>0</v>
      </c>
      <c r="AV61" s="138">
        <f>Проект!AV935 / Параметры!AV$64</f>
        <v>0</v>
      </c>
      <c r="AW61" s="138"/>
      <c r="AX61" s="171">
        <f>SUM(G61:AW61)</f>
        <v>2476632</v>
      </c>
    </row>
    <row r="62" spans="1:50" x14ac:dyDescent="0.2">
      <c r="A62" s="99" t="str">
        <f ca="1">Language!A1232</f>
        <v>Возврат кредитов</v>
      </c>
      <c r="C62" s="130" t="str">
        <f ca="1">Параметры!$C$64</f>
        <v>тыс. руб.</v>
      </c>
      <c r="D62" s="57"/>
      <c r="E62" s="243" t="s">
        <v>1476</v>
      </c>
      <c r="F62" s="57" t="s">
        <v>753</v>
      </c>
      <c r="G62" s="138">
        <f>-(Старт!G115+Проект!G936) / Параметры!G$64</f>
        <v>0</v>
      </c>
      <c r="H62" s="138">
        <f>-(Старт!H115+Проект!H936) / Параметры!H$64</f>
        <v>-2176632</v>
      </c>
      <c r="I62" s="138">
        <f>-(Старт!I115+Проект!I936) / Параметры!I$64</f>
        <v>0</v>
      </c>
      <c r="J62" s="138">
        <f>-(Старт!J115+Проект!J936) / Параметры!J$64</f>
        <v>0</v>
      </c>
      <c r="K62" s="138">
        <f>-(Старт!K115+Проект!K936) / Параметры!K$64</f>
        <v>0</v>
      </c>
      <c r="L62" s="138">
        <f>-(Старт!L115+Проект!L936) / Параметры!L$64</f>
        <v>0</v>
      </c>
      <c r="M62" s="138">
        <f>-(Старт!M115+Проект!M936) / Параметры!M$64</f>
        <v>0</v>
      </c>
      <c r="N62" s="138">
        <f>-(Старт!N115+Проект!N936) / Параметры!N$64</f>
        <v>0</v>
      </c>
      <c r="O62" s="138">
        <f>-(Старт!O115+Проект!O936) / Параметры!O$64</f>
        <v>0</v>
      </c>
      <c r="P62" s="138">
        <f>-(Старт!P115+Проект!P936) / Параметры!P$64</f>
        <v>0</v>
      </c>
      <c r="Q62" s="138">
        <f>-(Старт!Q115+Проект!Q936) / Параметры!Q$64</f>
        <v>0</v>
      </c>
      <c r="R62" s="138">
        <f>-(Старт!R115+Проект!R936) / Параметры!R$64</f>
        <v>0</v>
      </c>
      <c r="S62" s="138">
        <f>-(Старт!S115+Проект!S936) / Параметры!S$64</f>
        <v>0</v>
      </c>
      <c r="T62" s="138">
        <f>-(Старт!T115+Проект!T936) / Параметры!T$64</f>
        <v>0</v>
      </c>
      <c r="U62" s="138">
        <f>-(Старт!U115+Проект!U936) / Параметры!U$64</f>
        <v>-51939.39544417728</v>
      </c>
      <c r="V62" s="138">
        <f>-(Старт!V115+Проект!V936) / Параметры!V$64</f>
        <v>-80585.09688534867</v>
      </c>
      <c r="W62" s="138">
        <f>-(Старт!W115+Проект!W936) / Параметры!W$64</f>
        <v>-170578.71475688095</v>
      </c>
      <c r="X62" s="138">
        <f>-(Старт!X115+Проект!X936) / Параметры!X$64</f>
        <v>-142758.74138148205</v>
      </c>
      <c r="Y62" s="138">
        <f>-(Старт!Y115+Проект!Y936) / Параметры!Y$64</f>
        <v>-62972.532473936968</v>
      </c>
      <c r="Z62" s="138">
        <f>-(Старт!Z115+Проект!Z936) / Параметры!Z$64</f>
        <v>-92042.477397385213</v>
      </c>
      <c r="AA62" s="138">
        <f>-(Старт!AA115+Проект!AA936) / Параметры!AA$64</f>
        <v>-187504.8237168882</v>
      </c>
      <c r="AB62" s="138">
        <f>-(Старт!AB115+Проект!AB936) / Параметры!AB$64</f>
        <v>-158085.42296283226</v>
      </c>
      <c r="AC62" s="138">
        <f>-(Старт!AC115+Проект!AC936) / Параметры!AC$64</f>
        <v>-77491.280315235286</v>
      </c>
      <c r="AD62" s="138">
        <f>-(Старт!AD115+Проект!AD936) / Параметры!AD$64</f>
        <v>-110480.31740335806</v>
      </c>
      <c r="AE62" s="138">
        <f>-(Старт!AE115+Проект!AE936) / Параметры!AE$64</f>
        <v>-211905.79406284931</v>
      </c>
      <c r="AF62" s="138">
        <f>-(Старт!AF115+Проект!AF936) / Параметры!AF$64</f>
        <v>-180960.65354811979</v>
      </c>
      <c r="AG62" s="138">
        <f>-(Старт!AG115+Проект!AG936) / Параметры!AG$64</f>
        <v>-93859.823879449337</v>
      </c>
      <c r="AH62" s="138">
        <f>-(Старт!AH115+Проект!AH936) / Параметры!AH$64</f>
        <v>-127198.44676159006</v>
      </c>
      <c r="AI62" s="138">
        <f>-(Старт!AI115+Проект!AI936) / Параметры!AI$64</f>
        <v>-234858.09612506372</v>
      </c>
      <c r="AJ62" s="138">
        <f>-(Старт!AJ115+Проект!AJ936) / Параметры!AJ$64</f>
        <v>-202207.07999771071</v>
      </c>
      <c r="AK62" s="138">
        <f>-(Старт!AK115+Проект!AK936) / Параметры!AK$64</f>
        <v>-108642.14737094079</v>
      </c>
      <c r="AL62" s="138">
        <f>-(Старт!AL115+Проект!AL936) / Параметры!AL$64</f>
        <v>-143233.61689969516</v>
      </c>
      <c r="AM62" s="138">
        <f>-(Старт!AM115+Проект!AM936) / Параметры!AM$64</f>
        <v>-39327.538617056329</v>
      </c>
      <c r="AN62" s="138">
        <f>-(Старт!AN115+Проект!AN936) / Параметры!AN$64</f>
        <v>0</v>
      </c>
      <c r="AO62" s="138">
        <f>-(Старт!AO115+Проект!AO936) / Параметры!AO$64</f>
        <v>0</v>
      </c>
      <c r="AP62" s="138">
        <f>-(Старт!AP115+Проект!AP936) / Параметры!AP$64</f>
        <v>0</v>
      </c>
      <c r="AQ62" s="138">
        <f>-(Старт!AQ115+Проект!AQ936) / Параметры!AQ$64</f>
        <v>0</v>
      </c>
      <c r="AR62" s="138">
        <f>-(Старт!AR115+Проект!AR936) / Параметры!AR$64</f>
        <v>0</v>
      </c>
      <c r="AS62" s="138">
        <f>-(Старт!AS115+Проект!AS936) / Параметры!AS$64</f>
        <v>0</v>
      </c>
      <c r="AT62" s="138">
        <f>-(Старт!AT115+Проект!AT936) / Параметры!AT$64</f>
        <v>0</v>
      </c>
      <c r="AU62" s="138">
        <f>-(Старт!AU115+Проект!AU936) / Параметры!AU$64</f>
        <v>0</v>
      </c>
      <c r="AV62" s="138">
        <f>-(Старт!AV115+Проект!AV936) / Параметры!AV$64</f>
        <v>0</v>
      </c>
      <c r="AW62" s="138"/>
      <c r="AX62" s="171">
        <f>SUM(G62:AW62)</f>
        <v>-4653264</v>
      </c>
    </row>
    <row r="63" spans="1:50" x14ac:dyDescent="0.2">
      <c r="A63" s="99" t="str">
        <f ca="1">Language!A1233</f>
        <v>Выплата дивидендов</v>
      </c>
      <c r="C63" s="130" t="str">
        <f ca="1">Параметры!$C$64</f>
        <v>тыс. руб.</v>
      </c>
      <c r="D63" s="57"/>
      <c r="E63" s="243" t="s">
        <v>1477</v>
      </c>
      <c r="F63" s="57" t="s">
        <v>753</v>
      </c>
      <c r="G63" s="138">
        <f>-Проект!G885 / Параметры!G$64</f>
        <v>0</v>
      </c>
      <c r="H63" s="138">
        <f>-Проект!H885 / Параметры!H$64</f>
        <v>0</v>
      </c>
      <c r="I63" s="138">
        <f>-Проект!I885 / Параметры!I$64</f>
        <v>0</v>
      </c>
      <c r="J63" s="138">
        <f>-Проект!J885 / Параметры!J$64</f>
        <v>0</v>
      </c>
      <c r="K63" s="138">
        <f>-Проект!K885 / Параметры!K$64</f>
        <v>0</v>
      </c>
      <c r="L63" s="138">
        <f>-Проект!L885 / Параметры!L$64</f>
        <v>0</v>
      </c>
      <c r="M63" s="138">
        <f>-Проект!M885 / Параметры!M$64</f>
        <v>0</v>
      </c>
      <c r="N63" s="138">
        <f>-Проект!N885 / Параметры!N$64</f>
        <v>0</v>
      </c>
      <c r="O63" s="138">
        <f>-Проект!O885 / Параметры!O$64</f>
        <v>0</v>
      </c>
      <c r="P63" s="138">
        <f>-Проект!P885 / Параметры!P$64</f>
        <v>0</v>
      </c>
      <c r="Q63" s="138">
        <f>-Проект!Q885 / Параметры!Q$64</f>
        <v>0</v>
      </c>
      <c r="R63" s="138">
        <f>-Проект!R885 / Параметры!R$64</f>
        <v>0</v>
      </c>
      <c r="S63" s="138">
        <f>-Проект!S885 / Параметры!S$64</f>
        <v>0</v>
      </c>
      <c r="T63" s="138">
        <f>-Проект!T885 / Параметры!T$64</f>
        <v>0</v>
      </c>
      <c r="U63" s="138">
        <f>-Проект!U885 / Параметры!U$64</f>
        <v>0</v>
      </c>
      <c r="V63" s="138">
        <f>-Проект!V885 / Параметры!V$64</f>
        <v>0</v>
      </c>
      <c r="W63" s="138">
        <f>-Проект!W885 / Параметры!W$64</f>
        <v>0</v>
      </c>
      <c r="X63" s="138">
        <f>-Проект!X885 / Параметры!X$64</f>
        <v>0</v>
      </c>
      <c r="Y63" s="138">
        <f>-Проект!Y885 / Параметры!Y$64</f>
        <v>0</v>
      </c>
      <c r="Z63" s="138">
        <f>-Проект!Z885 / Параметры!Z$64</f>
        <v>0</v>
      </c>
      <c r="AA63" s="138">
        <f>-Проект!AA885 / Параметры!AA$64</f>
        <v>0</v>
      </c>
      <c r="AB63" s="138">
        <f>-Проект!AB885 / Параметры!AB$64</f>
        <v>0</v>
      </c>
      <c r="AC63" s="138">
        <f>-Проект!AC885 / Параметры!AC$64</f>
        <v>0</v>
      </c>
      <c r="AD63" s="138">
        <f>-Проект!AD885 / Параметры!AD$64</f>
        <v>0</v>
      </c>
      <c r="AE63" s="138">
        <f>-Проект!AE885 / Параметры!AE$64</f>
        <v>0</v>
      </c>
      <c r="AF63" s="138">
        <f>-Проект!AF885 / Параметры!AF$64</f>
        <v>0</v>
      </c>
      <c r="AG63" s="138">
        <f>-Проект!AG885 / Параметры!AG$64</f>
        <v>0</v>
      </c>
      <c r="AH63" s="138">
        <f>-Проект!AH885 / Параметры!AH$64</f>
        <v>0</v>
      </c>
      <c r="AI63" s="138">
        <f>-Проект!AI885 / Параметры!AI$64</f>
        <v>0</v>
      </c>
      <c r="AJ63" s="138">
        <f>-Проект!AJ885 / Параметры!AJ$64</f>
        <v>0</v>
      </c>
      <c r="AK63" s="138">
        <f>-Проект!AK885 / Параметры!AK$64</f>
        <v>0</v>
      </c>
      <c r="AL63" s="138">
        <f>-Проект!AL885 / Параметры!AL$64</f>
        <v>0</v>
      </c>
      <c r="AM63" s="138">
        <f>-Проект!AM885 / Параметры!AM$64</f>
        <v>0</v>
      </c>
      <c r="AN63" s="138">
        <f>-Проект!AN885 / Параметры!AN$64</f>
        <v>0</v>
      </c>
      <c r="AO63" s="138">
        <f>-Проект!AO885 / Параметры!AO$64</f>
        <v>0</v>
      </c>
      <c r="AP63" s="138">
        <f>-Проект!AP885 / Параметры!AP$64</f>
        <v>0</v>
      </c>
      <c r="AQ63" s="138">
        <f>-Проект!AQ885 / Параметры!AQ$64</f>
        <v>0</v>
      </c>
      <c r="AR63" s="138">
        <f>-Проект!AR885 / Параметры!AR$64</f>
        <v>0</v>
      </c>
      <c r="AS63" s="138">
        <f>-Проект!AS885 / Параметры!AS$64</f>
        <v>0</v>
      </c>
      <c r="AT63" s="138">
        <f>-Проект!AT885 / Параметры!AT$64</f>
        <v>0</v>
      </c>
      <c r="AU63" s="138">
        <f>-Проект!AU885 / Параметры!AU$64</f>
        <v>0</v>
      </c>
      <c r="AV63" s="138">
        <f>-Проект!AV885 / Параметры!AV$64</f>
        <v>0</v>
      </c>
      <c r="AW63" s="138"/>
      <c r="AX63" s="171">
        <f>SUM(G63:AW63)</f>
        <v>0</v>
      </c>
    </row>
    <row r="64" spans="1:50" x14ac:dyDescent="0.2">
      <c r="A64" s="65"/>
      <c r="D64" s="57"/>
      <c r="E64" s="243"/>
      <c r="F64" s="57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71"/>
    </row>
    <row r="65" spans="1:50" x14ac:dyDescent="0.2">
      <c r="A65" s="125" t="str">
        <f ca="1">Language!A1234</f>
        <v>Денежные потоки от финансовой деятельности</v>
      </c>
      <c r="B65" s="244"/>
      <c r="C65" s="127" t="str">
        <f ca="1">Параметры!$C$64</f>
        <v>тыс. руб.</v>
      </c>
      <c r="D65" s="128"/>
      <c r="E65" s="245" t="s">
        <v>1478</v>
      </c>
      <c r="F65" s="128" t="s">
        <v>753</v>
      </c>
      <c r="G65" s="246">
        <f t="shared" ref="G65:AV65" si="186">SUM(G60:G63)</f>
        <v>0</v>
      </c>
      <c r="H65" s="246">
        <f t="shared" si="186"/>
        <v>50000</v>
      </c>
      <c r="I65" s="246">
        <f t="shared" si="186"/>
        <v>150000</v>
      </c>
      <c r="J65" s="246">
        <f t="shared" si="186"/>
        <v>100000</v>
      </c>
      <c r="K65" s="246">
        <f t="shared" si="186"/>
        <v>0</v>
      </c>
      <c r="L65" s="246">
        <f t="shared" si="186"/>
        <v>0</v>
      </c>
      <c r="M65" s="246">
        <f t="shared" si="186"/>
        <v>0</v>
      </c>
      <c r="N65" s="246">
        <f t="shared" si="186"/>
        <v>0</v>
      </c>
      <c r="O65" s="246">
        <f t="shared" si="186"/>
        <v>0</v>
      </c>
      <c r="P65" s="246">
        <f t="shared" si="186"/>
        <v>0</v>
      </c>
      <c r="Q65" s="246">
        <f t="shared" si="186"/>
        <v>0</v>
      </c>
      <c r="R65" s="246">
        <f t="shared" si="186"/>
        <v>0</v>
      </c>
      <c r="S65" s="246">
        <f t="shared" si="186"/>
        <v>0</v>
      </c>
      <c r="T65" s="246">
        <f t="shared" si="186"/>
        <v>0</v>
      </c>
      <c r="U65" s="246">
        <f t="shared" si="186"/>
        <v>-51939.39544417728</v>
      </c>
      <c r="V65" s="246">
        <f t="shared" si="186"/>
        <v>-80585.09688534867</v>
      </c>
      <c r="W65" s="246">
        <f t="shared" si="186"/>
        <v>-170578.71475688095</v>
      </c>
      <c r="X65" s="246">
        <f t="shared" si="186"/>
        <v>-142758.74138148205</v>
      </c>
      <c r="Y65" s="246">
        <f t="shared" si="186"/>
        <v>-62972.532473936968</v>
      </c>
      <c r="Z65" s="246">
        <f t="shared" si="186"/>
        <v>-92042.477397385213</v>
      </c>
      <c r="AA65" s="246">
        <f t="shared" si="186"/>
        <v>-187504.8237168882</v>
      </c>
      <c r="AB65" s="246">
        <f t="shared" si="186"/>
        <v>-158085.42296283226</v>
      </c>
      <c r="AC65" s="246">
        <f t="shared" si="186"/>
        <v>-77491.280315235286</v>
      </c>
      <c r="AD65" s="246">
        <f t="shared" si="186"/>
        <v>-110480.31740335806</v>
      </c>
      <c r="AE65" s="246">
        <f t="shared" si="186"/>
        <v>-211905.79406284931</v>
      </c>
      <c r="AF65" s="246">
        <f t="shared" si="186"/>
        <v>-180960.65354811979</v>
      </c>
      <c r="AG65" s="246">
        <f t="shared" si="186"/>
        <v>-93859.823879449337</v>
      </c>
      <c r="AH65" s="246">
        <f t="shared" si="186"/>
        <v>-127198.44676159006</v>
      </c>
      <c r="AI65" s="246">
        <f t="shared" si="186"/>
        <v>-234858.09612506372</v>
      </c>
      <c r="AJ65" s="246">
        <f t="shared" si="186"/>
        <v>-202207.07999771071</v>
      </c>
      <c r="AK65" s="246">
        <f t="shared" si="186"/>
        <v>-108642.14737094079</v>
      </c>
      <c r="AL65" s="246">
        <f t="shared" si="186"/>
        <v>-143233.61689969516</v>
      </c>
      <c r="AM65" s="246">
        <f t="shared" si="186"/>
        <v>-39327.538617056329</v>
      </c>
      <c r="AN65" s="246">
        <f t="shared" si="186"/>
        <v>0</v>
      </c>
      <c r="AO65" s="246">
        <f t="shared" si="186"/>
        <v>0</v>
      </c>
      <c r="AP65" s="246">
        <f t="shared" si="186"/>
        <v>0</v>
      </c>
      <c r="AQ65" s="246">
        <f t="shared" si="186"/>
        <v>0</v>
      </c>
      <c r="AR65" s="246">
        <f t="shared" si="186"/>
        <v>0</v>
      </c>
      <c r="AS65" s="246">
        <f t="shared" si="186"/>
        <v>0</v>
      </c>
      <c r="AT65" s="246">
        <f t="shared" si="186"/>
        <v>0</v>
      </c>
      <c r="AU65" s="246">
        <f t="shared" si="186"/>
        <v>0</v>
      </c>
      <c r="AV65" s="246">
        <f t="shared" si="186"/>
        <v>0</v>
      </c>
      <c r="AW65" s="246"/>
      <c r="AX65" s="247">
        <f>SUM(G65:AW65)</f>
        <v>-2176632</v>
      </c>
    </row>
    <row r="66" spans="1:50" x14ac:dyDescent="0.2">
      <c r="A66" s="65"/>
      <c r="D66" s="57"/>
      <c r="E66" s="243"/>
      <c r="F66" s="57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71"/>
    </row>
    <row r="67" spans="1:50" x14ac:dyDescent="0.2">
      <c r="A67" s="65" t="str">
        <f ca="1">Language!A1235</f>
        <v>Суммарный денежный поток за период</v>
      </c>
      <c r="C67" s="130" t="str">
        <f ca="1">Параметры!$C$64</f>
        <v>тыс. руб.</v>
      </c>
      <c r="D67" s="57"/>
      <c r="E67" s="243" t="s">
        <v>1479</v>
      </c>
      <c r="F67" s="57" t="s">
        <v>753</v>
      </c>
      <c r="G67" s="138">
        <f t="shared" ref="G67:AV67" ca="1" si="187">G49+G58+G65</f>
        <v>81101.795718117093</v>
      </c>
      <c r="H67" s="138">
        <f t="shared" ca="1" si="187"/>
        <v>-7165.6847785358696</v>
      </c>
      <c r="I67" s="138">
        <f t="shared" ca="1" si="187"/>
        <v>47415.840987251679</v>
      </c>
      <c r="J67" s="138">
        <f t="shared" ca="1" si="187"/>
        <v>59092.585322022802</v>
      </c>
      <c r="K67" s="138">
        <f t="shared" ca="1" si="187"/>
        <v>148524.99262800685</v>
      </c>
      <c r="L67" s="138">
        <f t="shared" ca="1" si="187"/>
        <v>126042.37360842898</v>
      </c>
      <c r="M67" s="138">
        <f t="shared" ca="1" si="187"/>
        <v>40113.155241384236</v>
      </c>
      <c r="N67" s="138">
        <f t="shared" ca="1" si="187"/>
        <v>83065.393729424628</v>
      </c>
      <c r="O67" s="138">
        <f t="shared" ca="1" si="187"/>
        <v>202696.47973432834</v>
      </c>
      <c r="P67" s="138">
        <f t="shared" ca="1" si="187"/>
        <v>176274.03803665275</v>
      </c>
      <c r="Q67" s="138">
        <f t="shared" ca="1" si="187"/>
        <v>86326.080973896751</v>
      </c>
      <c r="R67" s="138">
        <f t="shared" ca="1" si="187"/>
        <v>126278.02048817964</v>
      </c>
      <c r="S67" s="138">
        <f t="shared" ca="1" si="187"/>
        <v>242135.5356075241</v>
      </c>
      <c r="T67" s="138">
        <f t="shared" ca="1" si="187"/>
        <v>202846.76050562898</v>
      </c>
      <c r="U67" s="138">
        <f t="shared" ca="1" si="187"/>
        <v>52867.887659887085</v>
      </c>
      <c r="V67" s="138">
        <f t="shared" ca="1" si="187"/>
        <v>67395.65232337208</v>
      </c>
      <c r="W67" s="138">
        <f t="shared" ca="1" si="187"/>
        <v>100834.41784551216</v>
      </c>
      <c r="X67" s="138">
        <f t="shared" ca="1" si="187"/>
        <v>87565.047362625628</v>
      </c>
      <c r="Y67" s="138">
        <f t="shared" ca="1" si="187"/>
        <v>54705.976194467468</v>
      </c>
      <c r="Z67" s="138">
        <f t="shared" ca="1" si="187"/>
        <v>64953.316607535598</v>
      </c>
      <c r="AA67" s="138">
        <f t="shared" ca="1" si="187"/>
        <v>100325.68283502309</v>
      </c>
      <c r="AB67" s="138">
        <f t="shared" ca="1" si="187"/>
        <v>86186.641176546051</v>
      </c>
      <c r="AC67" s="138">
        <f t="shared" ca="1" si="187"/>
        <v>52786.614878775596</v>
      </c>
      <c r="AD67" s="138">
        <f t="shared" ca="1" si="187"/>
        <v>64325.024966892612</v>
      </c>
      <c r="AE67" s="138">
        <f t="shared" ca="1" si="187"/>
        <v>101716.62876253831</v>
      </c>
      <c r="AF67" s="138">
        <f t="shared" ca="1" si="187"/>
        <v>86624.162740368833</v>
      </c>
      <c r="AG67" s="138">
        <f t="shared" ca="1" si="187"/>
        <v>50375.933477960556</v>
      </c>
      <c r="AH67" s="138">
        <f t="shared" ca="1" si="187"/>
        <v>61803.40594345874</v>
      </c>
      <c r="AI67" s="138">
        <f t="shared" ca="1" si="187"/>
        <v>101344.39429239446</v>
      </c>
      <c r="AJ67" s="138">
        <f t="shared" ca="1" si="187"/>
        <v>85250.881627711933</v>
      </c>
      <c r="AK67" s="138">
        <f t="shared" ca="1" si="187"/>
        <v>46195.276326964333</v>
      </c>
      <c r="AL67" s="138">
        <f t="shared" ca="1" si="187"/>
        <v>57883.359899564966</v>
      </c>
      <c r="AM67" s="138">
        <f t="shared" ca="1" si="187"/>
        <v>317282.55496131931</v>
      </c>
      <c r="AN67" s="138">
        <f t="shared" ca="1" si="187"/>
        <v>304389.31270437461</v>
      </c>
      <c r="AO67" s="138">
        <f t="shared" ca="1" si="187"/>
        <v>163869.81099400215</v>
      </c>
      <c r="AP67" s="138">
        <f t="shared" ca="1" si="187"/>
        <v>212828.56480315898</v>
      </c>
      <c r="AQ67" s="138">
        <f t="shared" ca="1" si="187"/>
        <v>377540.30579911149</v>
      </c>
      <c r="AR67" s="138">
        <f t="shared" ca="1" si="187"/>
        <v>322179.43428775296</v>
      </c>
      <c r="AS67" s="138">
        <f t="shared" ca="1" si="187"/>
        <v>155243.8034234533</v>
      </c>
      <c r="AT67" s="138">
        <f t="shared" ca="1" si="187"/>
        <v>198701.68774011367</v>
      </c>
      <c r="AU67" s="138">
        <f t="shared" ca="1" si="187"/>
        <v>372901.45675774344</v>
      </c>
      <c r="AV67" s="138">
        <f t="shared" ca="1" si="187"/>
        <v>313818.46509628498</v>
      </c>
      <c r="AW67" s="138"/>
      <c r="AX67" s="171">
        <f ca="1">SUM(G67:AW67)</f>
        <v>5676643.0692912247</v>
      </c>
    </row>
    <row r="68" spans="1:50" x14ac:dyDescent="0.2">
      <c r="A68" s="65" t="str">
        <f ca="1">Language!A1236</f>
        <v>Денежные средства на начало периода</v>
      </c>
      <c r="C68" s="130" t="str">
        <f ca="1">Параметры!$C$64</f>
        <v>тыс. руб.</v>
      </c>
      <c r="D68" s="57"/>
      <c r="E68" s="243" t="s">
        <v>1480</v>
      </c>
      <c r="F68" s="57" t="s">
        <v>755</v>
      </c>
      <c r="G68" s="138">
        <f>IF(G$2=1, Старт!$B$6/Параметры!G$64, F69)</f>
        <v>38871</v>
      </c>
      <c r="H68" s="138">
        <f ca="1">IF(H$2=1, Старт!$B$6/Параметры!H$64, G69)</f>
        <v>119972.79571811709</v>
      </c>
      <c r="I68" s="138">
        <f ca="1">IF(I$2=1, Старт!$B$6/Параметры!I$64, H69)</f>
        <v>112807.11093958122</v>
      </c>
      <c r="J68" s="138">
        <f ca="1">IF(J$2=1, Старт!$B$6/Параметры!J$64, I69)</f>
        <v>160222.9519268329</v>
      </c>
      <c r="K68" s="138">
        <f ca="1">IF(K$2=1, Старт!$B$6/Параметры!K$64, J69)</f>
        <v>219315.53724885569</v>
      </c>
      <c r="L68" s="138">
        <f ca="1">IF(L$2=1, Старт!$B$6/Параметры!L$64, K69)</f>
        <v>367840.52987686254</v>
      </c>
      <c r="M68" s="138">
        <f ca="1">IF(M$2=1, Старт!$B$6/Параметры!M$64, L69)</f>
        <v>493882.90348529152</v>
      </c>
      <c r="N68" s="138">
        <f ca="1">IF(N$2=1, Старт!$B$6/Параметры!N$64, M69)</f>
        <v>533996.05872667581</v>
      </c>
      <c r="O68" s="138">
        <f ca="1">IF(O$2=1, Старт!$B$6/Параметры!O$64, N69)</f>
        <v>617061.45245610038</v>
      </c>
      <c r="P68" s="138">
        <f ca="1">IF(P$2=1, Старт!$B$6/Параметры!P$64, O69)</f>
        <v>819757.93219042872</v>
      </c>
      <c r="Q68" s="138">
        <f ca="1">IF(Q$2=1, Старт!$B$6/Параметры!Q$64, P69)</f>
        <v>996031.97022708145</v>
      </c>
      <c r="R68" s="138">
        <f ca="1">IF(R$2=1, Старт!$B$6/Параметры!R$64, Q69)</f>
        <v>1082358.0512009782</v>
      </c>
      <c r="S68" s="138">
        <f ca="1">IF(S$2=1, Старт!$B$6/Параметры!S$64, R69)</f>
        <v>1208636.0716891577</v>
      </c>
      <c r="T68" s="138">
        <f ca="1">IF(T$2=1, Старт!$B$6/Параметры!T$64, S69)</f>
        <v>1450771.607296682</v>
      </c>
      <c r="U68" s="138">
        <f ca="1">IF(U$2=1, Старт!$B$6/Параметры!U$64, T69)</f>
        <v>1653618.367802311</v>
      </c>
      <c r="V68" s="138">
        <f ca="1">IF(V$2=1, Старт!$B$6/Параметры!V$64, U69)</f>
        <v>1706486.2554621981</v>
      </c>
      <c r="W68" s="138">
        <f ca="1">IF(W$2=1, Старт!$B$6/Параметры!W$64, V69)</f>
        <v>1773881.9077855702</v>
      </c>
      <c r="X68" s="138">
        <f ca="1">IF(X$2=1, Старт!$B$6/Параметры!X$64, W69)</f>
        <v>1874716.3256310825</v>
      </c>
      <c r="Y68" s="138">
        <f ca="1">IF(Y$2=1, Старт!$B$6/Параметры!Y$64, X69)</f>
        <v>1962281.3729937081</v>
      </c>
      <c r="Z68" s="138">
        <f ca="1">IF(Z$2=1, Старт!$B$6/Параметры!Z$64, Y69)</f>
        <v>2016987.3491881755</v>
      </c>
      <c r="AA68" s="138">
        <f ca="1">IF(AA$2=1, Старт!$B$6/Параметры!AA$64, Z69)</f>
        <v>2081940.6657957111</v>
      </c>
      <c r="AB68" s="138">
        <f ca="1">IF(AB$2=1, Старт!$B$6/Параметры!AB$64, AA69)</f>
        <v>2182266.3486307343</v>
      </c>
      <c r="AC68" s="138">
        <f ca="1">IF(AC$2=1, Старт!$B$6/Параметры!AC$64, AB69)</f>
        <v>2268452.9898072802</v>
      </c>
      <c r="AD68" s="138">
        <f ca="1">IF(AD$2=1, Старт!$B$6/Параметры!AD$64, AC69)</f>
        <v>2321239.6046860558</v>
      </c>
      <c r="AE68" s="138">
        <f ca="1">IF(AE$2=1, Старт!$B$6/Параметры!AE$64, AD69)</f>
        <v>2385564.6296529486</v>
      </c>
      <c r="AF68" s="138">
        <f ca="1">IF(AF$2=1, Старт!$B$6/Параметры!AF$64, AE69)</f>
        <v>2487281.2584154867</v>
      </c>
      <c r="AG68" s="138">
        <f ca="1">IF(AG$2=1, Старт!$B$6/Параметры!AG$64, AF69)</f>
        <v>2573905.4211558555</v>
      </c>
      <c r="AH68" s="138">
        <f ca="1">IF(AH$2=1, Старт!$B$6/Параметры!AH$64, AG69)</f>
        <v>2624281.3546338161</v>
      </c>
      <c r="AI68" s="138">
        <f ca="1">IF(AI$2=1, Старт!$B$6/Параметры!AI$64, AH69)</f>
        <v>2686084.760577275</v>
      </c>
      <c r="AJ68" s="138">
        <f ca="1">IF(AJ$2=1, Старт!$B$6/Параметры!AJ$64, AI69)</f>
        <v>2787429.1548696696</v>
      </c>
      <c r="AK68" s="138">
        <f ca="1">IF(AK$2=1, Старт!$B$6/Параметры!AK$64, AJ69)</f>
        <v>2872680.0364973815</v>
      </c>
      <c r="AL68" s="138">
        <f ca="1">IF(AL$2=1, Старт!$B$6/Параметры!AL$64, AK69)</f>
        <v>2918875.3128243457</v>
      </c>
      <c r="AM68" s="138">
        <f ca="1">IF(AM$2=1, Старт!$B$6/Параметры!AM$64, AL69)</f>
        <v>2976758.6727239108</v>
      </c>
      <c r="AN68" s="138">
        <f ca="1">IF(AN$2=1, Старт!$B$6/Параметры!AN$64, AM69)</f>
        <v>3294041.2276852299</v>
      </c>
      <c r="AO68" s="138">
        <f ca="1">IF(AO$2=1, Старт!$B$6/Параметры!AO$64, AN69)</f>
        <v>3598430.5403896044</v>
      </c>
      <c r="AP68" s="138">
        <f ca="1">IF(AP$2=1, Старт!$B$6/Параметры!AP$64, AO69)</f>
        <v>3762300.3513836064</v>
      </c>
      <c r="AQ68" s="138">
        <f ca="1">IF(AQ$2=1, Старт!$B$6/Параметры!AQ$64, AP69)</f>
        <v>3975128.9161867653</v>
      </c>
      <c r="AR68" s="138">
        <f ca="1">IF(AR$2=1, Старт!$B$6/Параметры!AR$64, AQ69)</f>
        <v>4352669.2219858766</v>
      </c>
      <c r="AS68" s="138">
        <f ca="1">IF(AS$2=1, Старт!$B$6/Параметры!AS$64, AR69)</f>
        <v>4674848.6562736295</v>
      </c>
      <c r="AT68" s="138">
        <f ca="1">IF(AT$2=1, Старт!$B$6/Параметры!AT$64, AS69)</f>
        <v>4830092.4596970826</v>
      </c>
      <c r="AU68" s="138">
        <f ca="1">IF(AU$2=1, Старт!$B$6/Параметры!AU$64, AT69)</f>
        <v>5028794.1474371962</v>
      </c>
      <c r="AV68" s="138">
        <f ca="1">IF(AV$2=1, Старт!$B$6/Параметры!AV$64, AU69)</f>
        <v>5401695.6041949401</v>
      </c>
      <c r="AW68" s="138"/>
      <c r="AX68" s="138"/>
    </row>
    <row r="69" spans="1:50" x14ac:dyDescent="0.2">
      <c r="A69" s="65" t="str">
        <f ca="1">Language!A1237</f>
        <v>Денежные средства на конец периода</v>
      </c>
      <c r="C69" s="130" t="str">
        <f ca="1">Параметры!$C$64</f>
        <v>тыс. руб.</v>
      </c>
      <c r="D69" s="57"/>
      <c r="E69" s="249" t="s">
        <v>1481</v>
      </c>
      <c r="F69" s="57" t="s">
        <v>754</v>
      </c>
      <c r="G69" s="138">
        <f ca="1">IF(G$2=1,G67+G68,G67+F69*Параметры!F$64/Параметры!G$64)</f>
        <v>119972.79571811709</v>
      </c>
      <c r="H69" s="138">
        <f ca="1">IF(H$2=1,H67+H68,H67+G69*Параметры!G$64/Параметры!H$64)</f>
        <v>112807.11093958122</v>
      </c>
      <c r="I69" s="138">
        <f ca="1">IF(I$2=1,I67+I68,I67+H69*Параметры!H$64/Параметры!I$64)</f>
        <v>160222.9519268329</v>
      </c>
      <c r="J69" s="138">
        <f ca="1">IF(J$2=1,J67+J68,J67+I69*Параметры!I$64/Параметры!J$64)</f>
        <v>219315.53724885569</v>
      </c>
      <c r="K69" s="138">
        <f ca="1">IF(K$2=1,K67+K68,K67+J69*Параметры!J$64/Параметры!K$64)</f>
        <v>367840.52987686254</v>
      </c>
      <c r="L69" s="138">
        <f ca="1">IF(L$2=1,L67+L68,L67+K69*Параметры!K$64/Параметры!L$64)</f>
        <v>493882.90348529152</v>
      </c>
      <c r="M69" s="138">
        <f ca="1">IF(M$2=1,M67+M68,M67+L69*Параметры!L$64/Параметры!M$64)</f>
        <v>533996.05872667581</v>
      </c>
      <c r="N69" s="138">
        <f ca="1">IF(N$2=1,N67+N68,N67+M69*Параметры!M$64/Параметры!N$64)</f>
        <v>617061.45245610038</v>
      </c>
      <c r="O69" s="138">
        <f ca="1">IF(O$2=1,O67+O68,O67+N69*Параметры!N$64/Параметры!O$64)</f>
        <v>819757.93219042872</v>
      </c>
      <c r="P69" s="138">
        <f ca="1">IF(P$2=1,P67+P68,P67+O69*Параметры!O$64/Параметры!P$64)</f>
        <v>996031.97022708145</v>
      </c>
      <c r="Q69" s="138">
        <f ca="1">IF(Q$2=1,Q67+Q68,Q67+P69*Параметры!P$64/Параметры!Q$64)</f>
        <v>1082358.0512009782</v>
      </c>
      <c r="R69" s="138">
        <f ca="1">IF(R$2=1,R67+R68,R67+Q69*Параметры!Q$64/Параметры!R$64)</f>
        <v>1208636.0716891577</v>
      </c>
      <c r="S69" s="138">
        <f ca="1">IF(S$2=1,S67+S68,S67+R69*Параметры!R$64/Параметры!S$64)</f>
        <v>1450771.607296682</v>
      </c>
      <c r="T69" s="138">
        <f ca="1">IF(T$2=1,T67+T68,T67+S69*Параметры!S$64/Параметры!T$64)</f>
        <v>1653618.367802311</v>
      </c>
      <c r="U69" s="138">
        <f ca="1">IF(U$2=1,U67+U68,U67+T69*Параметры!T$64/Параметры!U$64)</f>
        <v>1706486.2554621981</v>
      </c>
      <c r="V69" s="138">
        <f ca="1">IF(V$2=1,V67+V68,V67+U69*Параметры!U$64/Параметры!V$64)</f>
        <v>1773881.9077855702</v>
      </c>
      <c r="W69" s="138">
        <f ca="1">IF(W$2=1,W67+W68,W67+V69*Параметры!V$64/Параметры!W$64)</f>
        <v>1874716.3256310825</v>
      </c>
      <c r="X69" s="138">
        <f ca="1">IF(X$2=1,X67+X68,X67+W69*Параметры!W$64/Параметры!X$64)</f>
        <v>1962281.3729937081</v>
      </c>
      <c r="Y69" s="138">
        <f ca="1">IF(Y$2=1,Y67+Y68,Y67+X69*Параметры!X$64/Параметры!Y$64)</f>
        <v>2016987.3491881755</v>
      </c>
      <c r="Z69" s="138">
        <f ca="1">IF(Z$2=1,Z67+Z68,Z67+Y69*Параметры!Y$64/Параметры!Z$64)</f>
        <v>2081940.6657957111</v>
      </c>
      <c r="AA69" s="138">
        <f ca="1">IF(AA$2=1,AA67+AA68,AA67+Z69*Параметры!Z$64/Параметры!AA$64)</f>
        <v>2182266.3486307343</v>
      </c>
      <c r="AB69" s="138">
        <f ca="1">IF(AB$2=1,AB67+AB68,AB67+AA69*Параметры!AA$64/Параметры!AB$64)</f>
        <v>2268452.9898072802</v>
      </c>
      <c r="AC69" s="138">
        <f ca="1">IF(AC$2=1,AC67+AC68,AC67+AB69*Параметры!AB$64/Параметры!AC$64)</f>
        <v>2321239.6046860558</v>
      </c>
      <c r="AD69" s="138">
        <f ca="1">IF(AD$2=1,AD67+AD68,AD67+AC69*Параметры!AC$64/Параметры!AD$64)</f>
        <v>2385564.6296529486</v>
      </c>
      <c r="AE69" s="138">
        <f ca="1">IF(AE$2=1,AE67+AE68,AE67+AD69*Параметры!AD$64/Параметры!AE$64)</f>
        <v>2487281.2584154867</v>
      </c>
      <c r="AF69" s="138">
        <f ca="1">IF(AF$2=1,AF67+AF68,AF67+AE69*Параметры!AE$64/Параметры!AF$64)</f>
        <v>2573905.4211558555</v>
      </c>
      <c r="AG69" s="138">
        <f ca="1">IF(AG$2=1,AG67+AG68,AG67+AF69*Параметры!AF$64/Параметры!AG$64)</f>
        <v>2624281.3546338161</v>
      </c>
      <c r="AH69" s="138">
        <f ca="1">IF(AH$2=1,AH67+AH68,AH67+AG69*Параметры!AG$64/Параметры!AH$64)</f>
        <v>2686084.760577275</v>
      </c>
      <c r="AI69" s="138">
        <f ca="1">IF(AI$2=1,AI67+AI68,AI67+AH69*Параметры!AH$64/Параметры!AI$64)</f>
        <v>2787429.1548696696</v>
      </c>
      <c r="AJ69" s="138">
        <f ca="1">IF(AJ$2=1,AJ67+AJ68,AJ67+AI69*Параметры!AI$64/Параметры!AJ$64)</f>
        <v>2872680.0364973815</v>
      </c>
      <c r="AK69" s="138">
        <f ca="1">IF(AK$2=1,AK67+AK68,AK67+AJ69*Параметры!AJ$64/Параметры!AK$64)</f>
        <v>2918875.3128243457</v>
      </c>
      <c r="AL69" s="138">
        <f ca="1">IF(AL$2=1,AL67+AL68,AL67+AK69*Параметры!AK$64/Параметры!AL$64)</f>
        <v>2976758.6727239108</v>
      </c>
      <c r="AM69" s="138">
        <f ca="1">IF(AM$2=1,AM67+AM68,AM67+AL69*Параметры!AL$64/Параметры!AM$64)</f>
        <v>3294041.2276852299</v>
      </c>
      <c r="AN69" s="138">
        <f ca="1">IF(AN$2=1,AN67+AN68,AN67+AM69*Параметры!AM$64/Параметры!AN$64)</f>
        <v>3598430.5403896044</v>
      </c>
      <c r="AO69" s="138">
        <f ca="1">IF(AO$2=1,AO67+AO68,AO67+AN69*Параметры!AN$64/Параметры!AO$64)</f>
        <v>3762300.3513836064</v>
      </c>
      <c r="AP69" s="138">
        <f ca="1">IF(AP$2=1,AP67+AP68,AP67+AO69*Параметры!AO$64/Параметры!AP$64)</f>
        <v>3975128.9161867653</v>
      </c>
      <c r="AQ69" s="138">
        <f ca="1">IF(AQ$2=1,AQ67+AQ68,AQ67+AP69*Параметры!AP$64/Параметры!AQ$64)</f>
        <v>4352669.2219858766</v>
      </c>
      <c r="AR69" s="138">
        <f ca="1">IF(AR$2=1,AR67+AR68,AR67+AQ69*Параметры!AQ$64/Параметры!AR$64)</f>
        <v>4674848.6562736295</v>
      </c>
      <c r="AS69" s="138">
        <f ca="1">IF(AS$2=1,AS67+AS68,AS67+AR69*Параметры!AR$64/Параметры!AS$64)</f>
        <v>4830092.4596970826</v>
      </c>
      <c r="AT69" s="138">
        <f ca="1">IF(AT$2=1,AT67+AT68,AT67+AS69*Параметры!AS$64/Параметры!AT$64)</f>
        <v>5028794.1474371962</v>
      </c>
      <c r="AU69" s="138">
        <f ca="1">IF(AU$2=1,AU67+AU68,AU67+AT69*Параметры!AT$64/Параметры!AU$64)</f>
        <v>5401695.6041949401</v>
      </c>
      <c r="AV69" s="138">
        <f ca="1">IF(AV$2=1,AV67+AV68,AV67+AU69*Параметры!AU$64/Параметры!AV$64)</f>
        <v>5715514.0692912247</v>
      </c>
      <c r="AW69" s="138"/>
      <c r="AX69" s="138"/>
    </row>
    <row r="70" spans="1:50" x14ac:dyDescent="0.2">
      <c r="A70" s="67"/>
      <c r="B70" s="248"/>
      <c r="C70" s="133"/>
      <c r="D70" s="68"/>
      <c r="E70" s="68" t="s">
        <v>722</v>
      </c>
      <c r="F70" s="68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</row>
    <row r="71" spans="1:50" x14ac:dyDescent="0.2">
      <c r="D71" s="57"/>
      <c r="E71" s="57"/>
      <c r="F71" s="57"/>
    </row>
    <row r="72" spans="1:50" x14ac:dyDescent="0.2">
      <c r="D72" s="57"/>
      <c r="E72" s="57"/>
      <c r="F72" s="57"/>
    </row>
    <row r="73" spans="1:50" s="64" customFormat="1" ht="25.5" customHeight="1" thickBot="1" x14ac:dyDescent="0.25">
      <c r="A73" s="118" t="str">
        <f ca="1">Language!A1238</f>
        <v>БАЛАНС</v>
      </c>
      <c r="B73" s="241"/>
      <c r="C73" s="242"/>
      <c r="D73" s="121"/>
      <c r="E73" s="121" t="s">
        <v>900</v>
      </c>
      <c r="F73" s="121"/>
      <c r="G73" s="69" t="str">
        <f ca="1">Параметры!G$34</f>
        <v>4 кв. 2022</v>
      </c>
      <c r="H73" s="140" t="str">
        <f ca="1">Параметры!H$34</f>
        <v>1 кв. 2023</v>
      </c>
      <c r="I73" s="140" t="str">
        <f ca="1">Параметры!I$34</f>
        <v>2 кв. 2023</v>
      </c>
      <c r="J73" s="140" t="str">
        <f ca="1">Параметры!J$34</f>
        <v>3 кв. 2023</v>
      </c>
      <c r="K73" s="140" t="str">
        <f ca="1">Параметры!K$34</f>
        <v>4 кв. 2023</v>
      </c>
      <c r="L73" s="140" t="str">
        <f ca="1">Параметры!L$34</f>
        <v>1 кв. 2024</v>
      </c>
      <c r="M73" s="140" t="str">
        <f ca="1">Параметры!M$34</f>
        <v>2 кв. 2024</v>
      </c>
      <c r="N73" s="140" t="str">
        <f ca="1">Параметры!N$34</f>
        <v>3 кв. 2024</v>
      </c>
      <c r="O73" s="140" t="str">
        <f ca="1">Параметры!O$34</f>
        <v>4 кв. 2024</v>
      </c>
      <c r="P73" s="140" t="str">
        <f ca="1">Параметры!P$34</f>
        <v>1 кв. 2025</v>
      </c>
      <c r="Q73" s="140" t="str">
        <f ca="1">Параметры!Q$34</f>
        <v>2 кв. 2025</v>
      </c>
      <c r="R73" s="140" t="str">
        <f ca="1">Параметры!R$34</f>
        <v>3 кв. 2025</v>
      </c>
      <c r="S73" s="140" t="str">
        <f ca="1">Параметры!S$34</f>
        <v>4 кв. 2025</v>
      </c>
      <c r="T73" s="140" t="str">
        <f ca="1">Параметры!T$34</f>
        <v>1 кв. 2026</v>
      </c>
      <c r="U73" s="140" t="str">
        <f ca="1">Параметры!U$34</f>
        <v>2 кв. 2026</v>
      </c>
      <c r="V73" s="140" t="str">
        <f ca="1">Параметры!V$34</f>
        <v>3 кв. 2026</v>
      </c>
      <c r="W73" s="140" t="str">
        <f ca="1">Параметры!W$34</f>
        <v>4 кв. 2026</v>
      </c>
      <c r="X73" s="140" t="str">
        <f ca="1">Параметры!X$34</f>
        <v>1 кв. 2027</v>
      </c>
      <c r="Y73" s="140" t="str">
        <f ca="1">Параметры!Y$34</f>
        <v>2 кв. 2027</v>
      </c>
      <c r="Z73" s="140" t="str">
        <f ca="1">Параметры!Z$34</f>
        <v>3 кв. 2027</v>
      </c>
      <c r="AA73" s="140" t="str">
        <f ca="1">Параметры!AA$34</f>
        <v>4 кв. 2027</v>
      </c>
      <c r="AB73" s="140" t="str">
        <f ca="1">Параметры!AB$34</f>
        <v>1 кв. 2028</v>
      </c>
      <c r="AC73" s="140" t="str">
        <f ca="1">Параметры!AC$34</f>
        <v>2 кв. 2028</v>
      </c>
      <c r="AD73" s="140" t="str">
        <f ca="1">Параметры!AD$34</f>
        <v>3 кв. 2028</v>
      </c>
      <c r="AE73" s="140" t="str">
        <f ca="1">Параметры!AE$34</f>
        <v>4 кв. 2028</v>
      </c>
      <c r="AF73" s="140" t="str">
        <f ca="1">Параметры!AF$34</f>
        <v>1 кв. 2029</v>
      </c>
      <c r="AG73" s="140" t="str">
        <f ca="1">Параметры!AG$34</f>
        <v>2 кв. 2029</v>
      </c>
      <c r="AH73" s="140" t="str">
        <f ca="1">Параметры!AH$34</f>
        <v>3 кв. 2029</v>
      </c>
      <c r="AI73" s="140" t="str">
        <f ca="1">Параметры!AI$34</f>
        <v>4 кв. 2029</v>
      </c>
      <c r="AJ73" s="140" t="str">
        <f ca="1">Параметры!AJ$34</f>
        <v>1 кв. 2030</v>
      </c>
      <c r="AK73" s="140" t="str">
        <f ca="1">Параметры!AK$34</f>
        <v>2 кв. 2030</v>
      </c>
      <c r="AL73" s="140" t="str">
        <f ca="1">Параметры!AL$34</f>
        <v>3 кв. 2030</v>
      </c>
      <c r="AM73" s="140" t="str">
        <f ca="1">Параметры!AM$34</f>
        <v>4 кв. 2030</v>
      </c>
      <c r="AN73" s="140" t="str">
        <f ca="1">Параметры!AN$34</f>
        <v>1 кв. 2031</v>
      </c>
      <c r="AO73" s="140" t="str">
        <f ca="1">Параметры!AO$34</f>
        <v>2 кв. 2031</v>
      </c>
      <c r="AP73" s="140" t="str">
        <f ca="1">Параметры!AP$34</f>
        <v>3 кв. 2031</v>
      </c>
      <c r="AQ73" s="140" t="str">
        <f ca="1">Параметры!AQ$34</f>
        <v>4 кв. 2031</v>
      </c>
      <c r="AR73" s="140" t="str">
        <f ca="1">Параметры!AR$34</f>
        <v>1 кв. 2032</v>
      </c>
      <c r="AS73" s="140" t="str">
        <f ca="1">Параметры!AS$34</f>
        <v>2 кв. 2032</v>
      </c>
      <c r="AT73" s="140" t="str">
        <f ca="1">Параметры!AT$34</f>
        <v>3 кв. 2032</v>
      </c>
      <c r="AU73" s="140" t="str">
        <f ca="1">Параметры!AU$34</f>
        <v>4 кв. 2032</v>
      </c>
      <c r="AV73" s="140" t="str">
        <f ca="1">Параметры!AV$34</f>
        <v>1 кв. 2033</v>
      </c>
      <c r="AW73" s="122"/>
      <c r="AX73" s="123"/>
    </row>
    <row r="74" spans="1:50" ht="13.5" thickTop="1" x14ac:dyDescent="0.2">
      <c r="A74" s="65"/>
      <c r="D74" s="57"/>
      <c r="E74" s="243"/>
      <c r="F74" s="57"/>
    </row>
    <row r="75" spans="1:50" x14ac:dyDescent="0.2">
      <c r="A75" s="99" t="str">
        <f ca="1">Language!A1239</f>
        <v>Денежные средства</v>
      </c>
      <c r="C75" s="130" t="str">
        <f ca="1">Параметры!$C$64</f>
        <v>тыс. руб.</v>
      </c>
      <c r="D75" s="57"/>
      <c r="E75" s="243" t="s">
        <v>954</v>
      </c>
      <c r="F75" s="57" t="s">
        <v>754</v>
      </c>
      <c r="G75" s="138">
        <f ca="1">G69</f>
        <v>119972.79571811709</v>
      </c>
      <c r="H75" s="138">
        <f t="shared" ref="H75:K75" ca="1" si="188">H69</f>
        <v>112807.11093958122</v>
      </c>
      <c r="I75" s="138">
        <f t="shared" ca="1" si="188"/>
        <v>160222.9519268329</v>
      </c>
      <c r="J75" s="138">
        <f t="shared" ca="1" si="188"/>
        <v>219315.53724885569</v>
      </c>
      <c r="K75" s="138">
        <f t="shared" ca="1" si="188"/>
        <v>367840.52987686254</v>
      </c>
      <c r="L75" s="138">
        <f t="shared" ref="L75:M75" ca="1" si="189">L69</f>
        <v>493882.90348529152</v>
      </c>
      <c r="M75" s="138">
        <f t="shared" ca="1" si="189"/>
        <v>533996.05872667581</v>
      </c>
      <c r="N75" s="138">
        <f t="shared" ref="N75:O75" ca="1" si="190">N69</f>
        <v>617061.45245610038</v>
      </c>
      <c r="O75" s="138">
        <f t="shared" ca="1" si="190"/>
        <v>819757.93219042872</v>
      </c>
      <c r="P75" s="138">
        <f t="shared" ref="P75:Q75" ca="1" si="191">P69</f>
        <v>996031.97022708145</v>
      </c>
      <c r="Q75" s="138">
        <f t="shared" ca="1" si="191"/>
        <v>1082358.0512009782</v>
      </c>
      <c r="R75" s="138">
        <f t="shared" ref="R75:S75" ca="1" si="192">R69</f>
        <v>1208636.0716891577</v>
      </c>
      <c r="S75" s="138">
        <f t="shared" ca="1" si="192"/>
        <v>1450771.607296682</v>
      </c>
      <c r="T75" s="138">
        <f t="shared" ref="T75:U75" ca="1" si="193">T69</f>
        <v>1653618.367802311</v>
      </c>
      <c r="U75" s="138">
        <f t="shared" ca="1" si="193"/>
        <v>1706486.2554621981</v>
      </c>
      <c r="V75" s="138">
        <f t="shared" ref="V75:W75" ca="1" si="194">V69</f>
        <v>1773881.9077855702</v>
      </c>
      <c r="W75" s="138">
        <f t="shared" ca="1" si="194"/>
        <v>1874716.3256310825</v>
      </c>
      <c r="X75" s="138">
        <f t="shared" ref="X75:Y75" ca="1" si="195">X69</f>
        <v>1962281.3729937081</v>
      </c>
      <c r="Y75" s="138">
        <f t="shared" ca="1" si="195"/>
        <v>2016987.3491881755</v>
      </c>
      <c r="Z75" s="138">
        <f t="shared" ref="Z75:AA75" ca="1" si="196">Z69</f>
        <v>2081940.6657957111</v>
      </c>
      <c r="AA75" s="138">
        <f t="shared" ca="1" si="196"/>
        <v>2182266.3486307343</v>
      </c>
      <c r="AB75" s="138">
        <f t="shared" ref="AB75:AC75" ca="1" si="197">AB69</f>
        <v>2268452.9898072802</v>
      </c>
      <c r="AC75" s="138">
        <f t="shared" ca="1" si="197"/>
        <v>2321239.6046860558</v>
      </c>
      <c r="AD75" s="138">
        <f t="shared" ref="AD75:AE75" ca="1" si="198">AD69</f>
        <v>2385564.6296529486</v>
      </c>
      <c r="AE75" s="138">
        <f t="shared" ca="1" si="198"/>
        <v>2487281.2584154867</v>
      </c>
      <c r="AF75" s="138">
        <f t="shared" ref="AF75:AG75" ca="1" si="199">AF69</f>
        <v>2573905.4211558555</v>
      </c>
      <c r="AG75" s="138">
        <f t="shared" ca="1" si="199"/>
        <v>2624281.3546338161</v>
      </c>
      <c r="AH75" s="138">
        <f t="shared" ref="AH75:AI75" ca="1" si="200">AH69</f>
        <v>2686084.760577275</v>
      </c>
      <c r="AI75" s="138">
        <f t="shared" ca="1" si="200"/>
        <v>2787429.1548696696</v>
      </c>
      <c r="AJ75" s="138">
        <f t="shared" ref="AJ75:AK75" ca="1" si="201">AJ69</f>
        <v>2872680.0364973815</v>
      </c>
      <c r="AK75" s="138">
        <f t="shared" ca="1" si="201"/>
        <v>2918875.3128243457</v>
      </c>
      <c r="AL75" s="138">
        <f t="shared" ref="AL75:AM75" ca="1" si="202">AL69</f>
        <v>2976758.6727239108</v>
      </c>
      <c r="AM75" s="138">
        <f t="shared" ca="1" si="202"/>
        <v>3294041.2276852299</v>
      </c>
      <c r="AN75" s="138">
        <f t="shared" ref="AN75:AO75" ca="1" si="203">AN69</f>
        <v>3598430.5403896044</v>
      </c>
      <c r="AO75" s="138">
        <f t="shared" ca="1" si="203"/>
        <v>3762300.3513836064</v>
      </c>
      <c r="AP75" s="138">
        <f t="shared" ref="AP75:AQ75" ca="1" si="204">AP69</f>
        <v>3975128.9161867653</v>
      </c>
      <c r="AQ75" s="138">
        <f t="shared" ca="1" si="204"/>
        <v>4352669.2219858766</v>
      </c>
      <c r="AR75" s="138">
        <f t="shared" ref="AR75:AS75" ca="1" si="205">AR69</f>
        <v>4674848.6562736295</v>
      </c>
      <c r="AS75" s="138">
        <f t="shared" ca="1" si="205"/>
        <v>4830092.4596970826</v>
      </c>
      <c r="AT75" s="138">
        <f t="shared" ref="AT75:AU75" ca="1" si="206">AT69</f>
        <v>5028794.1474371962</v>
      </c>
      <c r="AU75" s="138">
        <f t="shared" ca="1" si="206"/>
        <v>5401695.6041949401</v>
      </c>
      <c r="AV75" s="138">
        <f t="shared" ref="AV75" ca="1" si="207">AV69</f>
        <v>5715514.0692912247</v>
      </c>
    </row>
    <row r="76" spans="1:50" x14ac:dyDescent="0.2">
      <c r="A76" s="99" t="str">
        <f ca="1">Language!A1240</f>
        <v>Дебиторская задолженность</v>
      </c>
      <c r="C76" s="130" t="str">
        <f ca="1">Параметры!$C$64</f>
        <v>тыс. руб.</v>
      </c>
      <c r="D76" s="57"/>
      <c r="E76" s="243" t="s">
        <v>1482</v>
      </c>
      <c r="F76" s="57" t="s">
        <v>754</v>
      </c>
      <c r="G76" s="138">
        <f ca="1">Проект!G617 / Параметры!G$64</f>
        <v>101086.9005988742</v>
      </c>
      <c r="H76" s="138">
        <f ca="1">Проект!H617 / Параметры!H$64</f>
        <v>57934.054710756689</v>
      </c>
      <c r="I76" s="138">
        <f ca="1">Проект!I617 / Параметры!I$64</f>
        <v>76441.022634688386</v>
      </c>
      <c r="J76" s="138">
        <f ca="1">Проект!J617 / Параметры!J$64</f>
        <v>85815.277352432953</v>
      </c>
      <c r="K76" s="138">
        <f ca="1">Проект!K617 / Параметры!K$64</f>
        <v>160127.73674455672</v>
      </c>
      <c r="L76" s="138">
        <f ca="1">Проект!L617 / Параметры!L$64</f>
        <v>100490.15243641476</v>
      </c>
      <c r="M76" s="138">
        <f ca="1">Проект!M617 / Параметры!M$64</f>
        <v>109411.84443841374</v>
      </c>
      <c r="N76" s="138">
        <f ca="1">Проект!N617 / Параметры!N$64</f>
        <v>117265.71213077936</v>
      </c>
      <c r="O76" s="138">
        <f ca="1">Проект!O617 / Параметры!O$64</f>
        <v>201290.75377557796</v>
      </c>
      <c r="P76" s="138">
        <f ca="1">Проект!P617 / Параметры!P$64</f>
        <v>133598.6318713073</v>
      </c>
      <c r="Q76" s="138">
        <f ca="1">Проект!Q617 / Параметры!Q$64</f>
        <v>141607.59855835559</v>
      </c>
      <c r="R76" s="138">
        <f ca="1">Проект!R617 / Параметры!R$64</f>
        <v>143685.52667591415</v>
      </c>
      <c r="S76" s="138">
        <f ca="1">Проект!S617 / Параметры!S$64</f>
        <v>226316.04019046735</v>
      </c>
      <c r="T76" s="138">
        <f ca="1">Проект!T617 / Параметры!T$64</f>
        <v>147933.30392681336</v>
      </c>
      <c r="U76" s="138">
        <f ca="1">Проект!U617 / Параметры!U$64</f>
        <v>157082.14823043774</v>
      </c>
      <c r="V76" s="138">
        <f ca="1">Проект!V617 / Параметры!V$64</f>
        <v>159387.14750941371</v>
      </c>
      <c r="W76" s="138">
        <f ca="1">Проект!W617 / Параметры!W$64</f>
        <v>247079.38984464318</v>
      </c>
      <c r="X76" s="138">
        <f ca="1">Проект!X617 / Параметры!X$64</f>
        <v>164099.1119983861</v>
      </c>
      <c r="Y76" s="138">
        <f ca="1">Проект!Y617 / Параметры!Y$64</f>
        <v>166850.09318633619</v>
      </c>
      <c r="Z76" s="138">
        <f ca="1">Проект!Z617 / Параметры!Z$64</f>
        <v>169298.42578697891</v>
      </c>
      <c r="AA76" s="138">
        <f ca="1">Проект!AA617 / Параметры!AA$64</f>
        <v>262257.30988607311</v>
      </c>
      <c r="AB76" s="138">
        <f ca="1">Проект!AB617 / Параметры!AB$64</f>
        <v>174303.39753540713</v>
      </c>
      <c r="AC76" s="138">
        <f ca="1">Проект!AC617 / Параметры!AC$64</f>
        <v>180257.64407619697</v>
      </c>
      <c r="AD76" s="138">
        <f ca="1">Проект!AD617 / Параметры!AD$64</f>
        <v>182902.71701609602</v>
      </c>
      <c r="AE76" s="138">
        <f ca="1">Проект!AE617 / Параметры!AE$64</f>
        <v>281489.70589446987</v>
      </c>
      <c r="AF76" s="138">
        <f ca="1">Проект!AF617 / Параметры!AF$64</f>
        <v>188309.8726179334</v>
      </c>
      <c r="AG76" s="138">
        <f ca="1">Проект!AG617 / Параметры!AG$64</f>
        <v>191977.87249357783</v>
      </c>
      <c r="AH76" s="138">
        <f ca="1">Проект!AH617 / Параметры!AH$64</f>
        <v>194794.9262623351</v>
      </c>
      <c r="AI76" s="138">
        <f ca="1">Проект!AI617 / Параметры!AI$64</f>
        <v>299310.60574249673</v>
      </c>
      <c r="AJ76" s="138">
        <f ca="1">Проект!AJ617 / Параметры!AJ$64</f>
        <v>200553.65141378366</v>
      </c>
      <c r="AK76" s="138">
        <f ca="1">Проект!AK617 / Параметры!AK$64</f>
        <v>203156.11759837778</v>
      </c>
      <c r="AL76" s="138">
        <f ca="1">Проект!AL617 / Параметры!AL$64</f>
        <v>206137.19921623846</v>
      </c>
      <c r="AM76" s="138">
        <f ca="1">Проект!AM617 / Параметры!AM$64</f>
        <v>316918.75078679383</v>
      </c>
      <c r="AN76" s="138">
        <f ca="1">Проект!AN617 / Параметры!AN$64</f>
        <v>212231.23614293468</v>
      </c>
      <c r="AO76" s="138">
        <f ca="1">Проект!AO617 / Параметры!AO$64</f>
        <v>215299.34490243575</v>
      </c>
      <c r="AP76" s="138">
        <f ca="1">Проект!AP617 / Параметры!AP$64</f>
        <v>218458.61436974723</v>
      </c>
      <c r="AQ76" s="138">
        <f ca="1">Проект!AQ617 / Параметры!AQ$64</f>
        <v>335886.37205202249</v>
      </c>
      <c r="AR76" s="138">
        <f ca="1">Проект!AR617 / Параметры!AR$64</f>
        <v>224916.90946634253</v>
      </c>
      <c r="AS76" s="138">
        <f ca="1">Проект!AS617 / Параметры!AS$64</f>
        <v>219129.33690958816</v>
      </c>
      <c r="AT76" s="138">
        <f ca="1">Проект!AT617 / Параметры!AT$64</f>
        <v>222344.80709043978</v>
      </c>
      <c r="AU76" s="138">
        <f ca="1">Проект!AU617 / Параметры!AU$64</f>
        <v>346682.91794172791</v>
      </c>
      <c r="AV76" s="138">
        <f ca="1">Проект!AV617 / Параметры!AV$64</f>
        <v>228917.98975722719</v>
      </c>
    </row>
    <row r="77" spans="1:50" x14ac:dyDescent="0.2">
      <c r="A77" s="99" t="str">
        <f ca="1">Language!A1241</f>
        <v>Авансы уплаченные поставщикам</v>
      </c>
      <c r="C77" s="130" t="str">
        <f ca="1">Параметры!$C$64</f>
        <v>тыс. руб.</v>
      </c>
      <c r="D77" s="57"/>
      <c r="E77" s="243" t="s">
        <v>1483</v>
      </c>
      <c r="F77" s="57" t="s">
        <v>754</v>
      </c>
      <c r="G77" s="138">
        <f ca="1">(Проект!G655+Проект!G656+Проект!G837) / Параметры!G$64</f>
        <v>0</v>
      </c>
      <c r="H77" s="138">
        <f ca="1">(Проект!H655+Проект!H656+Проект!H837) / Параметры!H$64</f>
        <v>0</v>
      </c>
      <c r="I77" s="138">
        <f ca="1">(Проект!I655+Проект!I656+Проект!I837) / Параметры!I$64</f>
        <v>0</v>
      </c>
      <c r="J77" s="138">
        <f ca="1">(Проект!J655+Проект!J656+Проект!J837) / Параметры!J$64</f>
        <v>0</v>
      </c>
      <c r="K77" s="138">
        <f ca="1">(Проект!K655+Проект!K656+Проект!K837) / Параметры!K$64</f>
        <v>0</v>
      </c>
      <c r="L77" s="138">
        <f ca="1">(Проект!L655+Проект!L656+Проект!L837) / Параметры!L$64</f>
        <v>0</v>
      </c>
      <c r="M77" s="138">
        <f ca="1">(Проект!M655+Проект!M656+Проект!M837) / Параметры!M$64</f>
        <v>0</v>
      </c>
      <c r="N77" s="138">
        <f ca="1">(Проект!N655+Проект!N656+Проект!N837) / Параметры!N$64</f>
        <v>0</v>
      </c>
      <c r="O77" s="138">
        <f ca="1">(Проект!O655+Проект!O656+Проект!O837) / Параметры!O$64</f>
        <v>0</v>
      </c>
      <c r="P77" s="138">
        <f ca="1">(Проект!P655+Проект!P656+Проект!P837) / Параметры!P$64</f>
        <v>0</v>
      </c>
      <c r="Q77" s="138">
        <f ca="1">(Проект!Q655+Проект!Q656+Проект!Q837) / Параметры!Q$64</f>
        <v>0</v>
      </c>
      <c r="R77" s="138">
        <f ca="1">(Проект!R655+Проект!R656+Проект!R837) / Параметры!R$64</f>
        <v>0</v>
      </c>
      <c r="S77" s="138">
        <f ca="1">(Проект!S655+Проект!S656+Проект!S837) / Параметры!S$64</f>
        <v>0</v>
      </c>
      <c r="T77" s="138">
        <f ca="1">(Проект!T655+Проект!T656+Проект!T837) / Параметры!T$64</f>
        <v>0</v>
      </c>
      <c r="U77" s="138">
        <f ca="1">(Проект!U655+Проект!U656+Проект!U837) / Параметры!U$64</f>
        <v>0</v>
      </c>
      <c r="V77" s="138">
        <f ca="1">(Проект!V655+Проект!V656+Проект!V837) / Параметры!V$64</f>
        <v>0</v>
      </c>
      <c r="W77" s="138">
        <f ca="1">(Проект!W655+Проект!W656+Проект!W837) / Параметры!W$64</f>
        <v>0</v>
      </c>
      <c r="X77" s="138">
        <f ca="1">(Проект!X655+Проект!X656+Проект!X837) / Параметры!X$64</f>
        <v>0</v>
      </c>
      <c r="Y77" s="138">
        <f ca="1">(Проект!Y655+Проект!Y656+Проект!Y837) / Параметры!Y$64</f>
        <v>0</v>
      </c>
      <c r="Z77" s="138">
        <f ca="1">(Проект!Z655+Проект!Z656+Проект!Z837) / Параметры!Z$64</f>
        <v>0</v>
      </c>
      <c r="AA77" s="138">
        <f ca="1">(Проект!AA655+Проект!AA656+Проект!AA837) / Параметры!AA$64</f>
        <v>0</v>
      </c>
      <c r="AB77" s="138">
        <f ca="1">(Проект!AB655+Проект!AB656+Проект!AB837) / Параметры!AB$64</f>
        <v>0</v>
      </c>
      <c r="AC77" s="138">
        <f ca="1">(Проект!AC655+Проект!AC656+Проект!AC837) / Параметры!AC$64</f>
        <v>0</v>
      </c>
      <c r="AD77" s="138">
        <f ca="1">(Проект!AD655+Проект!AD656+Проект!AD837) / Параметры!AD$64</f>
        <v>0</v>
      </c>
      <c r="AE77" s="138">
        <f ca="1">(Проект!AE655+Проект!AE656+Проект!AE837) / Параметры!AE$64</f>
        <v>0</v>
      </c>
      <c r="AF77" s="138">
        <f ca="1">(Проект!AF655+Проект!AF656+Проект!AF837) / Параметры!AF$64</f>
        <v>0</v>
      </c>
      <c r="AG77" s="138">
        <f ca="1">(Проект!AG655+Проект!AG656+Проект!AG837) / Параметры!AG$64</f>
        <v>0</v>
      </c>
      <c r="AH77" s="138">
        <f ca="1">(Проект!AH655+Проект!AH656+Проект!AH837) / Параметры!AH$64</f>
        <v>0</v>
      </c>
      <c r="AI77" s="138">
        <f ca="1">(Проект!AI655+Проект!AI656+Проект!AI837) / Параметры!AI$64</f>
        <v>0</v>
      </c>
      <c r="AJ77" s="138">
        <f ca="1">(Проект!AJ655+Проект!AJ656+Проект!AJ837) / Параметры!AJ$64</f>
        <v>0</v>
      </c>
      <c r="AK77" s="138">
        <f ca="1">(Проект!AK655+Проект!AK656+Проект!AK837) / Параметры!AK$64</f>
        <v>0</v>
      </c>
      <c r="AL77" s="138">
        <f ca="1">(Проект!AL655+Проект!AL656+Проект!AL837) / Параметры!AL$64</f>
        <v>0</v>
      </c>
      <c r="AM77" s="138">
        <f ca="1">(Проект!AM655+Проект!AM656+Проект!AM837) / Параметры!AM$64</f>
        <v>0</v>
      </c>
      <c r="AN77" s="138">
        <f ca="1">(Проект!AN655+Проект!AN656+Проект!AN837) / Параметры!AN$64</f>
        <v>0</v>
      </c>
      <c r="AO77" s="138">
        <f ca="1">(Проект!AO655+Проект!AO656+Проект!AO837) / Параметры!AO$64</f>
        <v>0</v>
      </c>
      <c r="AP77" s="138">
        <f ca="1">(Проект!AP655+Проект!AP656+Проект!AP837) / Параметры!AP$64</f>
        <v>0</v>
      </c>
      <c r="AQ77" s="138">
        <f ca="1">(Проект!AQ655+Проект!AQ656+Проект!AQ837) / Параметры!AQ$64</f>
        <v>0</v>
      </c>
      <c r="AR77" s="138">
        <f ca="1">(Проект!AR655+Проект!AR656+Проект!AR837) / Параметры!AR$64</f>
        <v>0</v>
      </c>
      <c r="AS77" s="138">
        <f ca="1">(Проект!AS655+Проект!AS656+Проект!AS837) / Параметры!AS$64</f>
        <v>0</v>
      </c>
      <c r="AT77" s="138">
        <f ca="1">(Проект!AT655+Проект!AT656+Проект!AT837) / Параметры!AT$64</f>
        <v>0</v>
      </c>
      <c r="AU77" s="138">
        <f ca="1">(Проект!AU655+Проект!AU656+Проект!AU837) / Параметры!AU$64</f>
        <v>0</v>
      </c>
      <c r="AV77" s="138">
        <f ca="1">(Проект!AV655+Проект!AV656+Проект!AV837) / Параметры!AV$64</f>
        <v>0</v>
      </c>
    </row>
    <row r="78" spans="1:50" x14ac:dyDescent="0.2">
      <c r="A78" s="99" t="str">
        <f ca="1">Language!A1242</f>
        <v>Готовая продукция на складе</v>
      </c>
      <c r="C78" s="130" t="str">
        <f ca="1">Параметры!$C$64</f>
        <v>тыс. руб.</v>
      </c>
      <c r="D78" s="57"/>
      <c r="E78" s="243" t="s">
        <v>1484</v>
      </c>
      <c r="F78" s="57" t="s">
        <v>754</v>
      </c>
      <c r="G78" s="138">
        <f ca="1">Проект!G641 / Параметры!G$64</f>
        <v>0</v>
      </c>
      <c r="H78" s="138">
        <f ca="1">Проект!H641 / Параметры!H$64</f>
        <v>0</v>
      </c>
      <c r="I78" s="138">
        <f ca="1">Проект!I641 / Параметры!I$64</f>
        <v>0</v>
      </c>
      <c r="J78" s="138">
        <f ca="1">Проект!J641 / Параметры!J$64</f>
        <v>0</v>
      </c>
      <c r="K78" s="138">
        <f ca="1">Проект!K641 / Параметры!K$64</f>
        <v>0</v>
      </c>
      <c r="L78" s="138">
        <f ca="1">Проект!L641 / Параметры!L$64</f>
        <v>0</v>
      </c>
      <c r="M78" s="138">
        <f ca="1">Проект!M641 / Параметры!M$64</f>
        <v>0</v>
      </c>
      <c r="N78" s="138">
        <f ca="1">Проект!N641 / Параметры!N$64</f>
        <v>0</v>
      </c>
      <c r="O78" s="138">
        <f ca="1">Проект!O641 / Параметры!O$64</f>
        <v>0</v>
      </c>
      <c r="P78" s="138">
        <f ca="1">Проект!P641 / Параметры!P$64</f>
        <v>0</v>
      </c>
      <c r="Q78" s="138">
        <f ca="1">Проект!Q641 / Параметры!Q$64</f>
        <v>0</v>
      </c>
      <c r="R78" s="138">
        <f ca="1">Проект!R641 / Параметры!R$64</f>
        <v>0</v>
      </c>
      <c r="S78" s="138">
        <f ca="1">Проект!S641 / Параметры!S$64</f>
        <v>0</v>
      </c>
      <c r="T78" s="138">
        <f ca="1">Проект!T641 / Параметры!T$64</f>
        <v>0</v>
      </c>
      <c r="U78" s="138">
        <f ca="1">Проект!U641 / Параметры!U$64</f>
        <v>0</v>
      </c>
      <c r="V78" s="138">
        <f ca="1">Проект!V641 / Параметры!V$64</f>
        <v>0</v>
      </c>
      <c r="W78" s="138">
        <f ca="1">Проект!W641 / Параметры!W$64</f>
        <v>0</v>
      </c>
      <c r="X78" s="138">
        <f ca="1">Проект!X641 / Параметры!X$64</f>
        <v>0</v>
      </c>
      <c r="Y78" s="138">
        <f ca="1">Проект!Y641 / Параметры!Y$64</f>
        <v>0</v>
      </c>
      <c r="Z78" s="138">
        <f ca="1">Проект!Z641 / Параметры!Z$64</f>
        <v>0</v>
      </c>
      <c r="AA78" s="138">
        <f ca="1">Проект!AA641 / Параметры!AA$64</f>
        <v>0</v>
      </c>
      <c r="AB78" s="138">
        <f ca="1">Проект!AB641 / Параметры!AB$64</f>
        <v>0</v>
      </c>
      <c r="AC78" s="138">
        <f ca="1">Проект!AC641 / Параметры!AC$64</f>
        <v>0</v>
      </c>
      <c r="AD78" s="138">
        <f ca="1">Проект!AD641 / Параметры!AD$64</f>
        <v>0</v>
      </c>
      <c r="AE78" s="138">
        <f ca="1">Проект!AE641 / Параметры!AE$64</f>
        <v>0</v>
      </c>
      <c r="AF78" s="138">
        <f ca="1">Проект!AF641 / Параметры!AF$64</f>
        <v>0</v>
      </c>
      <c r="AG78" s="138">
        <f ca="1">Проект!AG641 / Параметры!AG$64</f>
        <v>0</v>
      </c>
      <c r="AH78" s="138">
        <f ca="1">Проект!AH641 / Параметры!AH$64</f>
        <v>0</v>
      </c>
      <c r="AI78" s="138">
        <f ca="1">Проект!AI641 / Параметры!AI$64</f>
        <v>0</v>
      </c>
      <c r="AJ78" s="138">
        <f ca="1">Проект!AJ641 / Параметры!AJ$64</f>
        <v>0</v>
      </c>
      <c r="AK78" s="138">
        <f ca="1">Проект!AK641 / Параметры!AK$64</f>
        <v>0</v>
      </c>
      <c r="AL78" s="138">
        <f ca="1">Проект!AL641 / Параметры!AL$64</f>
        <v>0</v>
      </c>
      <c r="AM78" s="138">
        <f ca="1">Проект!AM641 / Параметры!AM$64</f>
        <v>0</v>
      </c>
      <c r="AN78" s="138">
        <f ca="1">Проект!AN641 / Параметры!AN$64</f>
        <v>0</v>
      </c>
      <c r="AO78" s="138">
        <f ca="1">Проект!AO641 / Параметры!AO$64</f>
        <v>0</v>
      </c>
      <c r="AP78" s="138">
        <f ca="1">Проект!AP641 / Параметры!AP$64</f>
        <v>0</v>
      </c>
      <c r="AQ78" s="138">
        <f ca="1">Проект!AQ641 / Параметры!AQ$64</f>
        <v>0</v>
      </c>
      <c r="AR78" s="138">
        <f ca="1">Проект!AR641 / Параметры!AR$64</f>
        <v>0</v>
      </c>
      <c r="AS78" s="138">
        <f ca="1">Проект!AS641 / Параметры!AS$64</f>
        <v>0</v>
      </c>
      <c r="AT78" s="138">
        <f ca="1">Проект!AT641 / Параметры!AT$64</f>
        <v>0</v>
      </c>
      <c r="AU78" s="138">
        <f ca="1">Проект!AU641 / Параметры!AU$64</f>
        <v>0</v>
      </c>
      <c r="AV78" s="138">
        <f ca="1">Проект!AV641 / Параметры!AV$64</f>
        <v>0</v>
      </c>
    </row>
    <row r="79" spans="1:50" x14ac:dyDescent="0.2">
      <c r="A79" s="99" t="str">
        <f ca="1">Language!A1243</f>
        <v>Незавершенное производство</v>
      </c>
      <c r="C79" s="130" t="str">
        <f ca="1">Параметры!$C$64</f>
        <v>тыс. руб.</v>
      </c>
      <c r="D79" s="57"/>
      <c r="E79" s="243" t="s">
        <v>1485</v>
      </c>
      <c r="F79" s="57" t="s">
        <v>754</v>
      </c>
      <c r="G79" s="138">
        <f ca="1">Проект!G635 / Параметры!G$64</f>
        <v>0</v>
      </c>
      <c r="H79" s="138">
        <f ca="1">Проект!H635 / Параметры!H$64</f>
        <v>0</v>
      </c>
      <c r="I79" s="138">
        <f ca="1">Проект!I635 / Параметры!I$64</f>
        <v>0</v>
      </c>
      <c r="J79" s="138">
        <f ca="1">Проект!J635 / Параметры!J$64</f>
        <v>0</v>
      </c>
      <c r="K79" s="138">
        <f ca="1">Проект!K635 / Параметры!K$64</f>
        <v>0</v>
      </c>
      <c r="L79" s="138">
        <f ca="1">Проект!L635 / Параметры!L$64</f>
        <v>0</v>
      </c>
      <c r="M79" s="138">
        <f ca="1">Проект!M635 / Параметры!M$64</f>
        <v>0</v>
      </c>
      <c r="N79" s="138">
        <f ca="1">Проект!N635 / Параметры!N$64</f>
        <v>0</v>
      </c>
      <c r="O79" s="138">
        <f ca="1">Проект!O635 / Параметры!O$64</f>
        <v>0</v>
      </c>
      <c r="P79" s="138">
        <f ca="1">Проект!P635 / Параметры!P$64</f>
        <v>0</v>
      </c>
      <c r="Q79" s="138">
        <f ca="1">Проект!Q635 / Параметры!Q$64</f>
        <v>0</v>
      </c>
      <c r="R79" s="138">
        <f ca="1">Проект!R635 / Параметры!R$64</f>
        <v>0</v>
      </c>
      <c r="S79" s="138">
        <f ca="1">Проект!S635 / Параметры!S$64</f>
        <v>0</v>
      </c>
      <c r="T79" s="138">
        <f ca="1">Проект!T635 / Параметры!T$64</f>
        <v>0</v>
      </c>
      <c r="U79" s="138">
        <f ca="1">Проект!U635 / Параметры!U$64</f>
        <v>0</v>
      </c>
      <c r="V79" s="138">
        <f ca="1">Проект!V635 / Параметры!V$64</f>
        <v>0</v>
      </c>
      <c r="W79" s="138">
        <f ca="1">Проект!W635 / Параметры!W$64</f>
        <v>0</v>
      </c>
      <c r="X79" s="138">
        <f ca="1">Проект!X635 / Параметры!X$64</f>
        <v>0</v>
      </c>
      <c r="Y79" s="138">
        <f ca="1">Проект!Y635 / Параметры!Y$64</f>
        <v>0</v>
      </c>
      <c r="Z79" s="138">
        <f ca="1">Проект!Z635 / Параметры!Z$64</f>
        <v>0</v>
      </c>
      <c r="AA79" s="138">
        <f ca="1">Проект!AA635 / Параметры!AA$64</f>
        <v>0</v>
      </c>
      <c r="AB79" s="138">
        <f ca="1">Проект!AB635 / Параметры!AB$64</f>
        <v>0</v>
      </c>
      <c r="AC79" s="138">
        <f ca="1">Проект!AC635 / Параметры!AC$64</f>
        <v>0</v>
      </c>
      <c r="AD79" s="138">
        <f ca="1">Проект!AD635 / Параметры!AD$64</f>
        <v>0</v>
      </c>
      <c r="AE79" s="138">
        <f ca="1">Проект!AE635 / Параметры!AE$64</f>
        <v>0</v>
      </c>
      <c r="AF79" s="138">
        <f ca="1">Проект!AF635 / Параметры!AF$64</f>
        <v>0</v>
      </c>
      <c r="AG79" s="138">
        <f ca="1">Проект!AG635 / Параметры!AG$64</f>
        <v>0</v>
      </c>
      <c r="AH79" s="138">
        <f ca="1">Проект!AH635 / Параметры!AH$64</f>
        <v>0</v>
      </c>
      <c r="AI79" s="138">
        <f ca="1">Проект!AI635 / Параметры!AI$64</f>
        <v>0</v>
      </c>
      <c r="AJ79" s="138">
        <f ca="1">Проект!AJ635 / Параметры!AJ$64</f>
        <v>0</v>
      </c>
      <c r="AK79" s="138">
        <f ca="1">Проект!AK635 / Параметры!AK$64</f>
        <v>0</v>
      </c>
      <c r="AL79" s="138">
        <f ca="1">Проект!AL635 / Параметры!AL$64</f>
        <v>0</v>
      </c>
      <c r="AM79" s="138">
        <f ca="1">Проект!AM635 / Параметры!AM$64</f>
        <v>0</v>
      </c>
      <c r="AN79" s="138">
        <f ca="1">Проект!AN635 / Параметры!AN$64</f>
        <v>0</v>
      </c>
      <c r="AO79" s="138">
        <f ca="1">Проект!AO635 / Параметры!AO$64</f>
        <v>0</v>
      </c>
      <c r="AP79" s="138">
        <f ca="1">Проект!AP635 / Параметры!AP$64</f>
        <v>0</v>
      </c>
      <c r="AQ79" s="138">
        <f ca="1">Проект!AQ635 / Параметры!AQ$64</f>
        <v>0</v>
      </c>
      <c r="AR79" s="138">
        <f ca="1">Проект!AR635 / Параметры!AR$64</f>
        <v>0</v>
      </c>
      <c r="AS79" s="138">
        <f ca="1">Проект!AS635 / Параметры!AS$64</f>
        <v>0</v>
      </c>
      <c r="AT79" s="138">
        <f ca="1">Проект!AT635 / Параметры!AT$64</f>
        <v>0</v>
      </c>
      <c r="AU79" s="138">
        <f ca="1">Проект!AU635 / Параметры!AU$64</f>
        <v>0</v>
      </c>
      <c r="AV79" s="138">
        <f ca="1">Проект!AV635 / Параметры!AV$64</f>
        <v>0</v>
      </c>
    </row>
    <row r="80" spans="1:50" x14ac:dyDescent="0.2">
      <c r="A80" s="99" t="str">
        <f ca="1">Language!A1244</f>
        <v>Запасы материалов и комплектующих</v>
      </c>
      <c r="C80" s="130" t="str">
        <f ca="1">Параметры!$C$64</f>
        <v>тыс. руб.</v>
      </c>
      <c r="D80" s="57"/>
      <c r="E80" s="243" t="s">
        <v>1486</v>
      </c>
      <c r="F80" s="57" t="s">
        <v>754</v>
      </c>
      <c r="G80" s="138">
        <f ca="1">Проект!G629 / Параметры!G$64</f>
        <v>474092</v>
      </c>
      <c r="H80" s="138">
        <f ca="1">Проект!H629 / Параметры!H$64</f>
        <v>474092</v>
      </c>
      <c r="I80" s="138">
        <f ca="1">Проект!I629 / Параметры!I$64</f>
        <v>474092</v>
      </c>
      <c r="J80" s="138">
        <f ca="1">Проект!J629 / Параметры!J$64</f>
        <v>474092</v>
      </c>
      <c r="K80" s="138">
        <f ca="1">Проект!K629 / Параметры!K$64</f>
        <v>474092</v>
      </c>
      <c r="L80" s="138">
        <f ca="1">Проект!L629 / Параметры!L$64</f>
        <v>474092</v>
      </c>
      <c r="M80" s="138">
        <f ca="1">Проект!M629 / Параметры!M$64</f>
        <v>474092</v>
      </c>
      <c r="N80" s="138">
        <f ca="1">Проект!N629 / Параметры!N$64</f>
        <v>474092</v>
      </c>
      <c r="O80" s="138">
        <f ca="1">Проект!O629 / Параметры!O$64</f>
        <v>474092</v>
      </c>
      <c r="P80" s="138">
        <f ca="1">Проект!P629 / Параметры!P$64</f>
        <v>474092</v>
      </c>
      <c r="Q80" s="138">
        <f ca="1">Проект!Q629 / Параметры!Q$64</f>
        <v>474092</v>
      </c>
      <c r="R80" s="138">
        <f ca="1">Проект!R629 / Параметры!R$64</f>
        <v>474092</v>
      </c>
      <c r="S80" s="138">
        <f ca="1">Проект!S629 / Параметры!S$64</f>
        <v>474092</v>
      </c>
      <c r="T80" s="138">
        <f ca="1">Проект!T629 / Параметры!T$64</f>
        <v>474092</v>
      </c>
      <c r="U80" s="138">
        <f ca="1">Проект!U629 / Параметры!U$64</f>
        <v>474092</v>
      </c>
      <c r="V80" s="138">
        <f ca="1">Проект!V629 / Параметры!V$64</f>
        <v>474092</v>
      </c>
      <c r="W80" s="138">
        <f ca="1">Проект!W629 / Параметры!W$64</f>
        <v>474092</v>
      </c>
      <c r="X80" s="138">
        <f ca="1">Проект!X629 / Параметры!X$64</f>
        <v>474092</v>
      </c>
      <c r="Y80" s="138">
        <f ca="1">Проект!Y629 / Параметры!Y$64</f>
        <v>474092</v>
      </c>
      <c r="Z80" s="138">
        <f ca="1">Проект!Z629 / Параметры!Z$64</f>
        <v>474092</v>
      </c>
      <c r="AA80" s="138">
        <f ca="1">Проект!AA629 / Параметры!AA$64</f>
        <v>474092</v>
      </c>
      <c r="AB80" s="138">
        <f ca="1">Проект!AB629 / Параметры!AB$64</f>
        <v>474092</v>
      </c>
      <c r="AC80" s="138">
        <f ca="1">Проект!AC629 / Параметры!AC$64</f>
        <v>474092</v>
      </c>
      <c r="AD80" s="138">
        <f ca="1">Проект!AD629 / Параметры!AD$64</f>
        <v>474092</v>
      </c>
      <c r="AE80" s="138">
        <f ca="1">Проект!AE629 / Параметры!AE$64</f>
        <v>474092</v>
      </c>
      <c r="AF80" s="138">
        <f ca="1">Проект!AF629 / Параметры!AF$64</f>
        <v>474092</v>
      </c>
      <c r="AG80" s="138">
        <f ca="1">Проект!AG629 / Параметры!AG$64</f>
        <v>474092</v>
      </c>
      <c r="AH80" s="138">
        <f ca="1">Проект!AH629 / Параметры!AH$64</f>
        <v>474092</v>
      </c>
      <c r="AI80" s="138">
        <f ca="1">Проект!AI629 / Параметры!AI$64</f>
        <v>474092</v>
      </c>
      <c r="AJ80" s="138">
        <f ca="1">Проект!AJ629 / Параметры!AJ$64</f>
        <v>474092</v>
      </c>
      <c r="AK80" s="138">
        <f ca="1">Проект!AK629 / Параметры!AK$64</f>
        <v>474092</v>
      </c>
      <c r="AL80" s="138">
        <f ca="1">Проект!AL629 / Параметры!AL$64</f>
        <v>474092</v>
      </c>
      <c r="AM80" s="138">
        <f ca="1">Проект!AM629 / Параметры!AM$64</f>
        <v>474092</v>
      </c>
      <c r="AN80" s="138">
        <f ca="1">Проект!AN629 / Параметры!AN$64</f>
        <v>474092</v>
      </c>
      <c r="AO80" s="138">
        <f ca="1">Проект!AO629 / Параметры!AO$64</f>
        <v>474092</v>
      </c>
      <c r="AP80" s="138">
        <f ca="1">Проект!AP629 / Параметры!AP$64</f>
        <v>474092</v>
      </c>
      <c r="AQ80" s="138">
        <f ca="1">Проект!AQ629 / Параметры!AQ$64</f>
        <v>474092</v>
      </c>
      <c r="AR80" s="138">
        <f ca="1">Проект!AR629 / Параметры!AR$64</f>
        <v>474092</v>
      </c>
      <c r="AS80" s="138">
        <f ca="1">Проект!AS629 / Параметры!AS$64</f>
        <v>474092</v>
      </c>
      <c r="AT80" s="138">
        <f ca="1">Проект!AT629 / Параметры!AT$64</f>
        <v>474092</v>
      </c>
      <c r="AU80" s="138">
        <f ca="1">Проект!AU629 / Параметры!AU$64</f>
        <v>474092</v>
      </c>
      <c r="AV80" s="138">
        <f ca="1">Проект!AV629 / Параметры!AV$64</f>
        <v>474092</v>
      </c>
    </row>
    <row r="81" spans="1:48" x14ac:dyDescent="0.2">
      <c r="A81" s="99" t="str">
        <f ca="1">Language!A1245</f>
        <v>НДС на приобретенные товары</v>
      </c>
      <c r="C81" s="130" t="str">
        <f ca="1">Параметры!$C$64</f>
        <v>тыс. руб.</v>
      </c>
      <c r="D81" s="57"/>
      <c r="E81" s="243" t="s">
        <v>1487</v>
      </c>
      <c r="F81" s="57" t="s">
        <v>754</v>
      </c>
      <c r="G81" s="138">
        <f ca="1">(Проект!G973+Проект!G974)/Параметры!G$64</f>
        <v>-40862.86440677967</v>
      </c>
      <c r="H81" s="138">
        <f ca="1">(Проект!H973+Проект!H974)/Параметры!H$64</f>
        <v>-21374.050847457635</v>
      </c>
      <c r="I81" s="138">
        <f ca="1">(Проект!I973+Проект!I974)/Параметры!I$64</f>
        <v>-7224.2203389830538</v>
      </c>
      <c r="J81" s="138">
        <f ca="1">(Проект!J973+Проект!J974)/Параметры!J$64</f>
        <v>5287</v>
      </c>
      <c r="K81" s="138">
        <f ca="1">(Проект!K973+Проект!K974)/Параметры!K$64</f>
        <v>5287</v>
      </c>
      <c r="L81" s="138">
        <f ca="1">(Проект!L973+Проект!L974)/Параметры!L$64</f>
        <v>5287</v>
      </c>
      <c r="M81" s="138">
        <f ca="1">(Проект!M973+Проект!M974)/Параметры!M$64</f>
        <v>5287</v>
      </c>
      <c r="N81" s="138">
        <f ca="1">(Проект!N973+Проект!N974)/Параметры!N$64</f>
        <v>5287</v>
      </c>
      <c r="O81" s="138">
        <f ca="1">(Проект!O973+Проект!O974)/Параметры!O$64</f>
        <v>5287</v>
      </c>
      <c r="P81" s="138">
        <f ca="1">(Проект!P973+Проект!P974)/Параметры!P$64</f>
        <v>5287</v>
      </c>
      <c r="Q81" s="138">
        <f ca="1">(Проект!Q973+Проект!Q974)/Параметры!Q$64</f>
        <v>5287</v>
      </c>
      <c r="R81" s="138">
        <f ca="1">(Проект!R973+Проект!R974)/Параметры!R$64</f>
        <v>5287</v>
      </c>
      <c r="S81" s="138">
        <f ca="1">(Проект!S973+Проект!S974)/Параметры!S$64</f>
        <v>5287</v>
      </c>
      <c r="T81" s="138">
        <f ca="1">(Проект!T973+Проект!T974)/Параметры!T$64</f>
        <v>5287</v>
      </c>
      <c r="U81" s="138">
        <f ca="1">(Проект!U973+Проект!U974)/Параметры!U$64</f>
        <v>5287</v>
      </c>
      <c r="V81" s="138">
        <f ca="1">(Проект!V973+Проект!V974)/Параметры!V$64</f>
        <v>5287</v>
      </c>
      <c r="W81" s="138">
        <f ca="1">(Проект!W973+Проект!W974)/Параметры!W$64</f>
        <v>5287</v>
      </c>
      <c r="X81" s="138">
        <f ca="1">(Проект!X973+Проект!X974)/Параметры!X$64</f>
        <v>5287</v>
      </c>
      <c r="Y81" s="138">
        <f ca="1">(Проект!Y973+Проект!Y974)/Параметры!Y$64</f>
        <v>5287</v>
      </c>
      <c r="Z81" s="138">
        <f ca="1">(Проект!Z973+Проект!Z974)/Параметры!Z$64</f>
        <v>5287</v>
      </c>
      <c r="AA81" s="138">
        <f ca="1">(Проект!AA973+Проект!AA974)/Параметры!AA$64</f>
        <v>5287</v>
      </c>
      <c r="AB81" s="138">
        <f ca="1">(Проект!AB973+Проект!AB974)/Параметры!AB$64</f>
        <v>5287</v>
      </c>
      <c r="AC81" s="138">
        <f ca="1">(Проект!AC973+Проект!AC974)/Параметры!AC$64</f>
        <v>5287</v>
      </c>
      <c r="AD81" s="138">
        <f ca="1">(Проект!AD973+Проект!AD974)/Параметры!AD$64</f>
        <v>5287</v>
      </c>
      <c r="AE81" s="138">
        <f ca="1">(Проект!AE973+Проект!AE974)/Параметры!AE$64</f>
        <v>5287</v>
      </c>
      <c r="AF81" s="138">
        <f ca="1">(Проект!AF973+Проект!AF974)/Параметры!AF$64</f>
        <v>5287</v>
      </c>
      <c r="AG81" s="138">
        <f ca="1">(Проект!AG973+Проект!AG974)/Параметры!AG$64</f>
        <v>5287</v>
      </c>
      <c r="AH81" s="138">
        <f ca="1">(Проект!AH973+Проект!AH974)/Параметры!AH$64</f>
        <v>5287</v>
      </c>
      <c r="AI81" s="138">
        <f ca="1">(Проект!AI973+Проект!AI974)/Параметры!AI$64</f>
        <v>5287</v>
      </c>
      <c r="AJ81" s="138">
        <f ca="1">(Проект!AJ973+Проект!AJ974)/Параметры!AJ$64</f>
        <v>5287</v>
      </c>
      <c r="AK81" s="138">
        <f ca="1">(Проект!AK973+Проект!AK974)/Параметры!AK$64</f>
        <v>5287</v>
      </c>
      <c r="AL81" s="138">
        <f ca="1">(Проект!AL973+Проект!AL974)/Параметры!AL$64</f>
        <v>5287</v>
      </c>
      <c r="AM81" s="138">
        <f ca="1">(Проект!AM973+Проект!AM974)/Параметры!AM$64</f>
        <v>5287</v>
      </c>
      <c r="AN81" s="138">
        <f ca="1">(Проект!AN973+Проект!AN974)/Параметры!AN$64</f>
        <v>5287</v>
      </c>
      <c r="AO81" s="138">
        <f ca="1">(Проект!AO973+Проект!AO974)/Параметры!AO$64</f>
        <v>5287</v>
      </c>
      <c r="AP81" s="138">
        <f ca="1">(Проект!AP973+Проект!AP974)/Параметры!AP$64</f>
        <v>5287</v>
      </c>
      <c r="AQ81" s="138">
        <f ca="1">(Проект!AQ973+Проект!AQ974)/Параметры!AQ$64</f>
        <v>5287</v>
      </c>
      <c r="AR81" s="138">
        <f ca="1">(Проект!AR973+Проект!AR974)/Параметры!AR$64</f>
        <v>5287</v>
      </c>
      <c r="AS81" s="138">
        <f ca="1">(Проект!AS973+Проект!AS974)/Параметры!AS$64</f>
        <v>5287</v>
      </c>
      <c r="AT81" s="138">
        <f ca="1">(Проект!AT973+Проект!AT974)/Параметры!AT$64</f>
        <v>5287</v>
      </c>
      <c r="AU81" s="138">
        <f ca="1">(Проект!AU973+Проект!AU974)/Параметры!AU$64</f>
        <v>5287</v>
      </c>
      <c r="AV81" s="138">
        <f ca="1">(Проект!AV973+Проект!AV974)/Параметры!AV$64</f>
        <v>5287</v>
      </c>
    </row>
    <row r="82" spans="1:48" x14ac:dyDescent="0.2">
      <c r="A82" s="99" t="str">
        <f ca="1">Language!A1246</f>
        <v>Краткосрочные финансовые вложения</v>
      </c>
      <c r="C82" s="130" t="str">
        <f ca="1">Параметры!$C$64</f>
        <v>тыс. руб.</v>
      </c>
      <c r="D82" s="57"/>
      <c r="E82" s="243" t="s">
        <v>1488</v>
      </c>
      <c r="F82" s="57" t="s">
        <v>754</v>
      </c>
      <c r="G82" s="138">
        <f>(Старт!G97+Проект!G855) / Параметры!G$64</f>
        <v>0</v>
      </c>
      <c r="H82" s="138">
        <f>(Старт!H97+Проект!H855) / Параметры!H$64</f>
        <v>0</v>
      </c>
      <c r="I82" s="138">
        <f>(Старт!I97+Проект!I855) / Параметры!I$64</f>
        <v>0</v>
      </c>
      <c r="J82" s="138">
        <f>(Старт!J97+Проект!J855) / Параметры!J$64</f>
        <v>0</v>
      </c>
      <c r="K82" s="138">
        <f>(Старт!K97+Проект!K855) / Параметры!K$64</f>
        <v>0</v>
      </c>
      <c r="L82" s="138">
        <f>(Старт!L97+Проект!L855) / Параметры!L$64</f>
        <v>0</v>
      </c>
      <c r="M82" s="138">
        <f>(Старт!M97+Проект!M855) / Параметры!M$64</f>
        <v>0</v>
      </c>
      <c r="N82" s="138">
        <f>(Старт!N97+Проект!N855) / Параметры!N$64</f>
        <v>0</v>
      </c>
      <c r="O82" s="138">
        <f>(Старт!O97+Проект!O855) / Параметры!O$64</f>
        <v>0</v>
      </c>
      <c r="P82" s="138">
        <f>(Старт!P97+Проект!P855) / Параметры!P$64</f>
        <v>0</v>
      </c>
      <c r="Q82" s="138">
        <f>(Старт!Q97+Проект!Q855) / Параметры!Q$64</f>
        <v>0</v>
      </c>
      <c r="R82" s="138">
        <f>(Старт!R97+Проект!R855) / Параметры!R$64</f>
        <v>0</v>
      </c>
      <c r="S82" s="138">
        <f>(Старт!S97+Проект!S855) / Параметры!S$64</f>
        <v>0</v>
      </c>
      <c r="T82" s="138">
        <f>(Старт!T97+Проект!T855) / Параметры!T$64</f>
        <v>0</v>
      </c>
      <c r="U82" s="138">
        <f>(Старт!U97+Проект!U855) / Параметры!U$64</f>
        <v>0</v>
      </c>
      <c r="V82" s="138">
        <f>(Старт!V97+Проект!V855) / Параметры!V$64</f>
        <v>0</v>
      </c>
      <c r="W82" s="138">
        <f>(Старт!W97+Проект!W855) / Параметры!W$64</f>
        <v>0</v>
      </c>
      <c r="X82" s="138">
        <f>(Старт!X97+Проект!X855) / Параметры!X$64</f>
        <v>0</v>
      </c>
      <c r="Y82" s="138">
        <f>(Старт!Y97+Проект!Y855) / Параметры!Y$64</f>
        <v>0</v>
      </c>
      <c r="Z82" s="138">
        <f>(Старт!Z97+Проект!Z855) / Параметры!Z$64</f>
        <v>0</v>
      </c>
      <c r="AA82" s="138">
        <f>(Старт!AA97+Проект!AA855) / Параметры!AA$64</f>
        <v>0</v>
      </c>
      <c r="AB82" s="138">
        <f>(Старт!AB97+Проект!AB855) / Параметры!AB$64</f>
        <v>0</v>
      </c>
      <c r="AC82" s="138">
        <f>(Старт!AC97+Проект!AC855) / Параметры!AC$64</f>
        <v>0</v>
      </c>
      <c r="AD82" s="138">
        <f>(Старт!AD97+Проект!AD855) / Параметры!AD$64</f>
        <v>0</v>
      </c>
      <c r="AE82" s="138">
        <f>(Старт!AE97+Проект!AE855) / Параметры!AE$64</f>
        <v>0</v>
      </c>
      <c r="AF82" s="138">
        <f>(Старт!AF97+Проект!AF855) / Параметры!AF$64</f>
        <v>0</v>
      </c>
      <c r="AG82" s="138">
        <f>(Старт!AG97+Проект!AG855) / Параметры!AG$64</f>
        <v>0</v>
      </c>
      <c r="AH82" s="138">
        <f>(Старт!AH97+Проект!AH855) / Параметры!AH$64</f>
        <v>0</v>
      </c>
      <c r="AI82" s="138">
        <f>(Старт!AI97+Проект!AI855) / Параметры!AI$64</f>
        <v>0</v>
      </c>
      <c r="AJ82" s="138">
        <f>(Старт!AJ97+Проект!AJ855) / Параметры!AJ$64</f>
        <v>0</v>
      </c>
      <c r="AK82" s="138">
        <f>(Старт!AK97+Проект!AK855) / Параметры!AK$64</f>
        <v>0</v>
      </c>
      <c r="AL82" s="138">
        <f>(Старт!AL97+Проект!AL855) / Параметры!AL$64</f>
        <v>0</v>
      </c>
      <c r="AM82" s="138">
        <f>(Старт!AM97+Проект!AM855) / Параметры!AM$64</f>
        <v>0</v>
      </c>
      <c r="AN82" s="138">
        <f>(Старт!AN97+Проект!AN855) / Параметры!AN$64</f>
        <v>0</v>
      </c>
      <c r="AO82" s="138">
        <f>(Старт!AO97+Проект!AO855) / Параметры!AO$64</f>
        <v>0</v>
      </c>
      <c r="AP82" s="138">
        <f>(Старт!AP97+Проект!AP855) / Параметры!AP$64</f>
        <v>0</v>
      </c>
      <c r="AQ82" s="138">
        <f>(Старт!AQ97+Проект!AQ855) / Параметры!AQ$64</f>
        <v>0</v>
      </c>
      <c r="AR82" s="138">
        <f>(Старт!AR97+Проект!AR855) / Параметры!AR$64</f>
        <v>0</v>
      </c>
      <c r="AS82" s="138">
        <f>(Старт!AS97+Проект!AS855) / Параметры!AS$64</f>
        <v>0</v>
      </c>
      <c r="AT82" s="138">
        <f>(Старт!AT97+Проект!AT855) / Параметры!AT$64</f>
        <v>0</v>
      </c>
      <c r="AU82" s="138">
        <f>(Старт!AU97+Проект!AU855) / Параметры!AU$64</f>
        <v>0</v>
      </c>
      <c r="AV82" s="138">
        <f>(Старт!AV97+Проект!AV855) / Параметры!AV$64</f>
        <v>0</v>
      </c>
    </row>
    <row r="83" spans="1:48" x14ac:dyDescent="0.2">
      <c r="A83" s="99" t="str">
        <f ca="1">Language!A1247</f>
        <v>Прочие оборотные активы</v>
      </c>
      <c r="C83" s="130" t="str">
        <f ca="1">Параметры!$C$64</f>
        <v>тыс. руб.</v>
      </c>
      <c r="D83" s="57"/>
      <c r="E83" s="243" t="s">
        <v>1489</v>
      </c>
      <c r="F83" s="57" t="s">
        <v>754</v>
      </c>
      <c r="G83" s="138">
        <f>IF(G$2=1,Старт!$B14/Параметры!G$64,F83*Параметры!F$64/Параметры!G$64)</f>
        <v>475</v>
      </c>
      <c r="H83" s="138">
        <f>IF(H$2=1,Старт!$B14/Параметры!H$64,G83*Параметры!G$64/Параметры!H$64)</f>
        <v>475</v>
      </c>
      <c r="I83" s="138">
        <f>IF(I$2=1,Старт!$B14/Параметры!I$64,H83*Параметры!H$64/Параметры!I$64)</f>
        <v>475</v>
      </c>
      <c r="J83" s="138">
        <f>IF(J$2=1,Старт!$B14/Параметры!J$64,I83*Параметры!I$64/Параметры!J$64)</f>
        <v>475</v>
      </c>
      <c r="K83" s="138">
        <f>IF(K$2=1,Старт!$B14/Параметры!K$64,J83*Параметры!J$64/Параметры!K$64)</f>
        <v>475</v>
      </c>
      <c r="L83" s="138">
        <f>IF(L$2=1,Старт!$B14/Параметры!L$64,K83*Параметры!K$64/Параметры!L$64)</f>
        <v>475</v>
      </c>
      <c r="M83" s="138">
        <f>IF(M$2=1,Старт!$B14/Параметры!M$64,L83*Параметры!L$64/Параметры!M$64)</f>
        <v>475</v>
      </c>
      <c r="N83" s="138">
        <f>IF(N$2=1,Старт!$B14/Параметры!N$64,M83*Параметры!M$64/Параметры!N$64)</f>
        <v>475</v>
      </c>
      <c r="O83" s="138">
        <f>IF(O$2=1,Старт!$B14/Параметры!O$64,N83*Параметры!N$64/Параметры!O$64)</f>
        <v>475</v>
      </c>
      <c r="P83" s="138">
        <f>IF(P$2=1,Старт!$B14/Параметры!P$64,O83*Параметры!O$64/Параметры!P$64)</f>
        <v>475</v>
      </c>
      <c r="Q83" s="138">
        <f>IF(Q$2=1,Старт!$B14/Параметры!Q$64,P83*Параметры!P$64/Параметры!Q$64)</f>
        <v>475</v>
      </c>
      <c r="R83" s="138">
        <f>IF(R$2=1,Старт!$B14/Параметры!R$64,Q83*Параметры!Q$64/Параметры!R$64)</f>
        <v>475</v>
      </c>
      <c r="S83" s="138">
        <f>IF(S$2=1,Старт!$B14/Параметры!S$64,R83*Параметры!R$64/Параметры!S$64)</f>
        <v>475</v>
      </c>
      <c r="T83" s="138">
        <f>IF(T$2=1,Старт!$B14/Параметры!T$64,S83*Параметры!S$64/Параметры!T$64)</f>
        <v>475</v>
      </c>
      <c r="U83" s="138">
        <f>IF(U$2=1,Старт!$B14/Параметры!U$64,T83*Параметры!T$64/Параметры!U$64)</f>
        <v>475</v>
      </c>
      <c r="V83" s="138">
        <f>IF(V$2=1,Старт!$B14/Параметры!V$64,U83*Параметры!U$64/Параметры!V$64)</f>
        <v>475</v>
      </c>
      <c r="W83" s="138">
        <f>IF(W$2=1,Старт!$B14/Параметры!W$64,V83*Параметры!V$64/Параметры!W$64)</f>
        <v>475</v>
      </c>
      <c r="X83" s="138">
        <f>IF(X$2=1,Старт!$B14/Параметры!X$64,W83*Параметры!W$64/Параметры!X$64)</f>
        <v>475</v>
      </c>
      <c r="Y83" s="138">
        <f>IF(Y$2=1,Старт!$B14/Параметры!Y$64,X83*Параметры!X$64/Параметры!Y$64)</f>
        <v>475</v>
      </c>
      <c r="Z83" s="138">
        <f>IF(Z$2=1,Старт!$B14/Параметры!Z$64,Y83*Параметры!Y$64/Параметры!Z$64)</f>
        <v>475</v>
      </c>
      <c r="AA83" s="138">
        <f>IF(AA$2=1,Старт!$B14/Параметры!AA$64,Z83*Параметры!Z$64/Параметры!AA$64)</f>
        <v>475</v>
      </c>
      <c r="AB83" s="138">
        <f>IF(AB$2=1,Старт!$B14/Параметры!AB$64,AA83*Параметры!AA$64/Параметры!AB$64)</f>
        <v>475</v>
      </c>
      <c r="AC83" s="138">
        <f>IF(AC$2=1,Старт!$B14/Параметры!AC$64,AB83*Параметры!AB$64/Параметры!AC$64)</f>
        <v>475</v>
      </c>
      <c r="AD83" s="138">
        <f>IF(AD$2=1,Старт!$B14/Параметры!AD$64,AC83*Параметры!AC$64/Параметры!AD$64)</f>
        <v>475</v>
      </c>
      <c r="AE83" s="138">
        <f>IF(AE$2=1,Старт!$B14/Параметры!AE$64,AD83*Параметры!AD$64/Параметры!AE$64)</f>
        <v>475</v>
      </c>
      <c r="AF83" s="138">
        <f>IF(AF$2=1,Старт!$B14/Параметры!AF$64,AE83*Параметры!AE$64/Параметры!AF$64)</f>
        <v>475</v>
      </c>
      <c r="AG83" s="138">
        <f>IF(AG$2=1,Старт!$B14/Параметры!AG$64,AF83*Параметры!AF$64/Параметры!AG$64)</f>
        <v>475</v>
      </c>
      <c r="AH83" s="138">
        <f>IF(AH$2=1,Старт!$B14/Параметры!AH$64,AG83*Параметры!AG$64/Параметры!AH$64)</f>
        <v>475</v>
      </c>
      <c r="AI83" s="138">
        <f>IF(AI$2=1,Старт!$B14/Параметры!AI$64,AH83*Параметры!AH$64/Параметры!AI$64)</f>
        <v>475</v>
      </c>
      <c r="AJ83" s="138">
        <f>IF(AJ$2=1,Старт!$B14/Параметры!AJ$64,AI83*Параметры!AI$64/Параметры!AJ$64)</f>
        <v>475</v>
      </c>
      <c r="AK83" s="138">
        <f>IF(AK$2=1,Старт!$B14/Параметры!AK$64,AJ83*Параметры!AJ$64/Параметры!AK$64)</f>
        <v>475</v>
      </c>
      <c r="AL83" s="138">
        <f>IF(AL$2=1,Старт!$B14/Параметры!AL$64,AK83*Параметры!AK$64/Параметры!AL$64)</f>
        <v>475</v>
      </c>
      <c r="AM83" s="138">
        <f>IF(AM$2=1,Старт!$B14/Параметры!AM$64,AL83*Параметры!AL$64/Параметры!AM$64)</f>
        <v>475</v>
      </c>
      <c r="AN83" s="138">
        <f>IF(AN$2=1,Старт!$B14/Параметры!AN$64,AM83*Параметры!AM$64/Параметры!AN$64)</f>
        <v>475</v>
      </c>
      <c r="AO83" s="138">
        <f>IF(AO$2=1,Старт!$B14/Параметры!AO$64,AN83*Параметры!AN$64/Параметры!AO$64)</f>
        <v>475</v>
      </c>
      <c r="AP83" s="138">
        <f>IF(AP$2=1,Старт!$B14/Параметры!AP$64,AO83*Параметры!AO$64/Параметры!AP$64)</f>
        <v>475</v>
      </c>
      <c r="AQ83" s="138">
        <f>IF(AQ$2=1,Старт!$B14/Параметры!AQ$64,AP83*Параметры!AP$64/Параметры!AQ$64)</f>
        <v>475</v>
      </c>
      <c r="AR83" s="138">
        <f>IF(AR$2=1,Старт!$B14/Параметры!AR$64,AQ83*Параметры!AQ$64/Параметры!AR$64)</f>
        <v>475</v>
      </c>
      <c r="AS83" s="138">
        <f>IF(AS$2=1,Старт!$B14/Параметры!AS$64,AR83*Параметры!AR$64/Параметры!AS$64)</f>
        <v>475</v>
      </c>
      <c r="AT83" s="138">
        <f>IF(AT$2=1,Старт!$B14/Параметры!AT$64,AS83*Параметры!AS$64/Параметры!AT$64)</f>
        <v>475</v>
      </c>
      <c r="AU83" s="138">
        <f>IF(AU$2=1,Старт!$B14/Параметры!AU$64,AT83*Параметры!AT$64/Параметры!AU$64)</f>
        <v>475</v>
      </c>
      <c r="AV83" s="138">
        <f>IF(AV$2=1,Старт!$B14/Параметры!AV$64,AU83*Параметры!AU$64/Параметры!AV$64)</f>
        <v>475</v>
      </c>
    </row>
    <row r="84" spans="1:48" x14ac:dyDescent="0.2">
      <c r="A84" s="125" t="str">
        <f ca="1">Language!A1248</f>
        <v>Суммарные оборотные активы</v>
      </c>
      <c r="B84" s="244"/>
      <c r="C84" s="127" t="str">
        <f ca="1">Параметры!$C$64</f>
        <v>тыс. руб.</v>
      </c>
      <c r="D84" s="128"/>
      <c r="E84" s="245" t="s">
        <v>1490</v>
      </c>
      <c r="F84" s="128" t="s">
        <v>754</v>
      </c>
      <c r="G84" s="246">
        <f ca="1">SUM(G75:G83)</f>
        <v>654763.83191021159</v>
      </c>
      <c r="H84" s="246">
        <f t="shared" ref="H84:K84" ca="1" si="208">SUM(H75:H83)</f>
        <v>623934.11480288033</v>
      </c>
      <c r="I84" s="246">
        <f t="shared" ca="1" si="208"/>
        <v>704006.75422253832</v>
      </c>
      <c r="J84" s="246">
        <f t="shared" ca="1" si="208"/>
        <v>784984.81460128864</v>
      </c>
      <c r="K84" s="246">
        <f t="shared" ca="1" si="208"/>
        <v>1007822.2666214192</v>
      </c>
      <c r="L84" s="246">
        <f t="shared" ref="L84:M84" ca="1" si="209">SUM(L75:L83)</f>
        <v>1074227.0559217064</v>
      </c>
      <c r="M84" s="246">
        <f t="shared" ca="1" si="209"/>
        <v>1123261.9031650894</v>
      </c>
      <c r="N84" s="246">
        <f t="shared" ref="N84:O84" ca="1" si="210">SUM(N75:N83)</f>
        <v>1214181.1645868798</v>
      </c>
      <c r="O84" s="246">
        <f t="shared" ca="1" si="210"/>
        <v>1500902.6859660067</v>
      </c>
      <c r="P84" s="246">
        <f t="shared" ref="P84:Q84" ca="1" si="211">SUM(P75:P83)</f>
        <v>1609484.6020983888</v>
      </c>
      <c r="Q84" s="246">
        <f t="shared" ca="1" si="211"/>
        <v>1703819.6497593338</v>
      </c>
      <c r="R84" s="246">
        <f t="shared" ref="R84:S84" ca="1" si="212">SUM(R75:R83)</f>
        <v>1832175.5983650719</v>
      </c>
      <c r="S84" s="246">
        <f t="shared" ca="1" si="212"/>
        <v>2156941.6474871496</v>
      </c>
      <c r="T84" s="246">
        <f t="shared" ref="T84:U84" ca="1" si="213">SUM(T75:T83)</f>
        <v>2281405.6717291242</v>
      </c>
      <c r="U84" s="246">
        <f t="shared" ca="1" si="213"/>
        <v>2343422.4036926357</v>
      </c>
      <c r="V84" s="246">
        <f t="shared" ref="V84:W84" ca="1" si="214">SUM(V75:V83)</f>
        <v>2413123.055294984</v>
      </c>
      <c r="W84" s="246">
        <f t="shared" ca="1" si="214"/>
        <v>2601649.7154757259</v>
      </c>
      <c r="X84" s="246">
        <f t="shared" ref="X84:Y84" ca="1" si="215">SUM(X75:X83)</f>
        <v>2606234.4849920943</v>
      </c>
      <c r="Y84" s="246">
        <f t="shared" ca="1" si="215"/>
        <v>2663691.4423745116</v>
      </c>
      <c r="Z84" s="246">
        <f t="shared" ref="Z84:AA84" ca="1" si="216">SUM(Z75:Z83)</f>
        <v>2731093.0915826899</v>
      </c>
      <c r="AA84" s="246">
        <f t="shared" ca="1" si="216"/>
        <v>2924377.6585168075</v>
      </c>
      <c r="AB84" s="246">
        <f t="shared" ref="AB84:AC84" ca="1" si="217">SUM(AB75:AB83)</f>
        <v>2922610.3873426872</v>
      </c>
      <c r="AC84" s="246">
        <f t="shared" ca="1" si="217"/>
        <v>2981351.2487622527</v>
      </c>
      <c r="AD84" s="246">
        <f t="shared" ref="AD84:AE84" ca="1" si="218">SUM(AD75:AD83)</f>
        <v>3048321.3466690448</v>
      </c>
      <c r="AE84" s="246">
        <f t="shared" ca="1" si="218"/>
        <v>3248624.9643099564</v>
      </c>
      <c r="AF84" s="246">
        <f t="shared" ref="AF84:AG84" ca="1" si="219">SUM(AF75:AF83)</f>
        <v>3242069.293773789</v>
      </c>
      <c r="AG84" s="246">
        <f t="shared" ca="1" si="219"/>
        <v>3296113.2271273937</v>
      </c>
      <c r="AH84" s="246">
        <f t="shared" ref="AH84:AI84" ca="1" si="220">SUM(AH75:AH83)</f>
        <v>3360733.6868396099</v>
      </c>
      <c r="AI84" s="246">
        <f t="shared" ca="1" si="220"/>
        <v>3566593.7606121665</v>
      </c>
      <c r="AJ84" s="246">
        <f t="shared" ref="AJ84:AK84" ca="1" si="221">SUM(AJ75:AJ83)</f>
        <v>3553087.6879111649</v>
      </c>
      <c r="AK84" s="246">
        <f t="shared" ca="1" si="221"/>
        <v>3601885.4304227233</v>
      </c>
      <c r="AL84" s="246">
        <f t="shared" ref="AL84:AM84" ca="1" si="222">SUM(AL75:AL83)</f>
        <v>3662749.871940149</v>
      </c>
      <c r="AM84" s="246">
        <f t="shared" ca="1" si="222"/>
        <v>4090813.9784720237</v>
      </c>
      <c r="AN84" s="246">
        <f t="shared" ref="AN84:AO84" ca="1" si="223">SUM(AN75:AN83)</f>
        <v>4290515.7765325392</v>
      </c>
      <c r="AO84" s="246">
        <f t="shared" ca="1" si="223"/>
        <v>4457453.6962860422</v>
      </c>
      <c r="AP84" s="246">
        <f t="shared" ref="AP84:AQ84" ca="1" si="224">SUM(AP75:AP83)</f>
        <v>4673441.530556513</v>
      </c>
      <c r="AQ84" s="246">
        <f t="shared" ca="1" si="224"/>
        <v>5168409.5940378988</v>
      </c>
      <c r="AR84" s="246">
        <f t="shared" ref="AR84:AS84" ca="1" si="225">SUM(AR75:AR83)</f>
        <v>5379619.5657399725</v>
      </c>
      <c r="AS84" s="246">
        <f t="shared" ca="1" si="225"/>
        <v>5529075.7966066711</v>
      </c>
      <c r="AT84" s="246">
        <f t="shared" ref="AT84:AU84" ca="1" si="226">SUM(AT75:AT83)</f>
        <v>5730992.9545276361</v>
      </c>
      <c r="AU84" s="246">
        <f t="shared" ca="1" si="226"/>
        <v>6228232.5221366677</v>
      </c>
      <c r="AV84" s="246">
        <f t="shared" ref="AV84" ca="1" si="227">SUM(AV75:AV83)</f>
        <v>6424286.0590484515</v>
      </c>
    </row>
    <row r="85" spans="1:48" x14ac:dyDescent="0.2">
      <c r="A85" s="65"/>
      <c r="D85" s="57"/>
      <c r="E85" s="243"/>
      <c r="F85" s="57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</row>
    <row r="86" spans="1:48" x14ac:dyDescent="0.2">
      <c r="A86" s="99" t="str">
        <f ca="1">Language!A1249</f>
        <v>Земельные участки</v>
      </c>
      <c r="C86" s="130" t="str">
        <f ca="1">Параметры!$C$64</f>
        <v>тыс. руб.</v>
      </c>
      <c r="D86" s="57"/>
      <c r="E86" s="243" t="s">
        <v>1491</v>
      </c>
      <c r="F86" s="57" t="s">
        <v>754</v>
      </c>
      <c r="G86" s="138">
        <f>(Старт!G65+Проект!G773) / Параметры!G$64</f>
        <v>48823</v>
      </c>
      <c r="H86" s="138">
        <f>(Старт!H65+Проект!H773) / Параметры!H$64</f>
        <v>48823</v>
      </c>
      <c r="I86" s="138">
        <f>(Старт!I65+Проект!I773) / Параметры!I$64</f>
        <v>48823</v>
      </c>
      <c r="J86" s="138">
        <f>(Старт!J65+Проект!J773) / Параметры!J$64</f>
        <v>48823</v>
      </c>
      <c r="K86" s="138">
        <f>(Старт!K65+Проект!K773) / Параметры!K$64</f>
        <v>48823</v>
      </c>
      <c r="L86" s="138">
        <f>(Старт!L65+Проект!L773) / Параметры!L$64</f>
        <v>48823</v>
      </c>
      <c r="M86" s="138">
        <f>(Старт!M65+Проект!M773) / Параметры!M$64</f>
        <v>48823</v>
      </c>
      <c r="N86" s="138">
        <f>(Старт!N65+Проект!N773) / Параметры!N$64</f>
        <v>48823</v>
      </c>
      <c r="O86" s="138">
        <f>(Старт!O65+Проект!O773) / Параметры!O$64</f>
        <v>48823</v>
      </c>
      <c r="P86" s="138">
        <f>(Старт!P65+Проект!P773) / Параметры!P$64</f>
        <v>48823</v>
      </c>
      <c r="Q86" s="138">
        <f>(Старт!Q65+Проект!Q773) / Параметры!Q$64</f>
        <v>48823</v>
      </c>
      <c r="R86" s="138">
        <f>(Старт!R65+Проект!R773) / Параметры!R$64</f>
        <v>48823</v>
      </c>
      <c r="S86" s="138">
        <f>(Старт!S65+Проект!S773) / Параметры!S$64</f>
        <v>48823</v>
      </c>
      <c r="T86" s="138">
        <f>(Старт!T65+Проект!T773) / Параметры!T$64</f>
        <v>48823</v>
      </c>
      <c r="U86" s="138">
        <f>(Старт!U65+Проект!U773) / Параметры!U$64</f>
        <v>48823</v>
      </c>
      <c r="V86" s="138">
        <f>(Старт!V65+Проект!V773) / Параметры!V$64</f>
        <v>48823</v>
      </c>
      <c r="W86" s="138">
        <f>(Старт!W65+Проект!W773) / Параметры!W$64</f>
        <v>48823</v>
      </c>
      <c r="X86" s="138">
        <f>(Старт!X65+Проект!X773) / Параметры!X$64</f>
        <v>48823</v>
      </c>
      <c r="Y86" s="138">
        <f>(Старт!Y65+Проект!Y773) / Параметры!Y$64</f>
        <v>48823</v>
      </c>
      <c r="Z86" s="138">
        <f>(Старт!Z65+Проект!Z773) / Параметры!Z$64</f>
        <v>48823</v>
      </c>
      <c r="AA86" s="138">
        <f>(Старт!AA65+Проект!AA773) / Параметры!AA$64</f>
        <v>48823</v>
      </c>
      <c r="AB86" s="138">
        <f>(Старт!AB65+Проект!AB773) / Параметры!AB$64</f>
        <v>48823</v>
      </c>
      <c r="AC86" s="138">
        <f>(Старт!AC65+Проект!AC773) / Параметры!AC$64</f>
        <v>48823</v>
      </c>
      <c r="AD86" s="138">
        <f>(Старт!AD65+Проект!AD773) / Параметры!AD$64</f>
        <v>48823</v>
      </c>
      <c r="AE86" s="138">
        <f>(Старт!AE65+Проект!AE773) / Параметры!AE$64</f>
        <v>48823</v>
      </c>
      <c r="AF86" s="138">
        <f>(Старт!AF65+Проект!AF773) / Параметры!AF$64</f>
        <v>48823</v>
      </c>
      <c r="AG86" s="138">
        <f>(Старт!AG65+Проект!AG773) / Параметры!AG$64</f>
        <v>48823</v>
      </c>
      <c r="AH86" s="138">
        <f>(Старт!AH65+Проект!AH773) / Параметры!AH$64</f>
        <v>48823</v>
      </c>
      <c r="AI86" s="138">
        <f>(Старт!AI65+Проект!AI773) / Параметры!AI$64</f>
        <v>48823</v>
      </c>
      <c r="AJ86" s="138">
        <f>(Старт!AJ65+Проект!AJ773) / Параметры!AJ$64</f>
        <v>48823</v>
      </c>
      <c r="AK86" s="138">
        <f>(Старт!AK65+Проект!AK773) / Параметры!AK$64</f>
        <v>48823</v>
      </c>
      <c r="AL86" s="138">
        <f>(Старт!AL65+Проект!AL773) / Параметры!AL$64</f>
        <v>48823</v>
      </c>
      <c r="AM86" s="138">
        <f>(Старт!AM65+Проект!AM773) / Параметры!AM$64</f>
        <v>48823</v>
      </c>
      <c r="AN86" s="138">
        <f>(Старт!AN65+Проект!AN773) / Параметры!AN$64</f>
        <v>48823</v>
      </c>
      <c r="AO86" s="138">
        <f>(Старт!AO65+Проект!AO773) / Параметры!AO$64</f>
        <v>48823</v>
      </c>
      <c r="AP86" s="138">
        <f>(Старт!AP65+Проект!AP773) / Параметры!AP$64</f>
        <v>48823</v>
      </c>
      <c r="AQ86" s="138">
        <f>(Старт!AQ65+Проект!AQ773) / Параметры!AQ$64</f>
        <v>48823</v>
      </c>
      <c r="AR86" s="138">
        <f>(Старт!AR65+Проект!AR773) / Параметры!AR$64</f>
        <v>48823</v>
      </c>
      <c r="AS86" s="138">
        <f>(Старт!AS65+Проект!AS773) / Параметры!AS$64</f>
        <v>48823</v>
      </c>
      <c r="AT86" s="138">
        <f>(Старт!AT65+Проект!AT773) / Параметры!AT$64</f>
        <v>48823</v>
      </c>
      <c r="AU86" s="138">
        <f>(Старт!AU65+Проект!AU773) / Параметры!AU$64</f>
        <v>48823</v>
      </c>
      <c r="AV86" s="138">
        <f>(Старт!AV65+Проект!AV773) / Параметры!AV$64</f>
        <v>48823</v>
      </c>
    </row>
    <row r="87" spans="1:48" x14ac:dyDescent="0.2">
      <c r="A87" s="99" t="str">
        <f ca="1">Language!A1250</f>
        <v>Здания и сооружения</v>
      </c>
      <c r="C87" s="130" t="str">
        <f ca="1">Параметры!$C$64</f>
        <v>тыс. руб.</v>
      </c>
      <c r="D87" s="57"/>
      <c r="E87" s="243" t="s">
        <v>1492</v>
      </c>
      <c r="F87" s="57" t="s">
        <v>754</v>
      </c>
      <c r="G87" s="138">
        <f ca="1">(Старт!G72+Проект!G781) / Параметры!G$64</f>
        <v>2515935.4025423727</v>
      </c>
      <c r="H87" s="138">
        <f ca="1">(Старт!H72+Проект!H781) / Параметры!H$64</f>
        <v>2445879.5</v>
      </c>
      <c r="I87" s="138">
        <f ca="1">(Старт!I72+Проект!I781) / Параметры!I$64</f>
        <v>2375823.5974576273</v>
      </c>
      <c r="J87" s="138">
        <f ca="1">(Старт!J72+Проект!J781) / Параметры!J$64</f>
        <v>2305767.6949152541</v>
      </c>
      <c r="K87" s="138">
        <f ca="1">(Старт!K72+Проект!K781) / Параметры!K$64</f>
        <v>2235711.7923728814</v>
      </c>
      <c r="L87" s="138">
        <f ca="1">(Старт!L72+Проект!L781) / Параметры!L$64</f>
        <v>2165655.8898305083</v>
      </c>
      <c r="M87" s="138">
        <f ca="1">(Старт!M72+Проект!M781) / Параметры!M$64</f>
        <v>2095599.9872881356</v>
      </c>
      <c r="N87" s="138">
        <f ca="1">(Старт!N72+Проект!N781) / Параметры!N$64</f>
        <v>2025544.0847457626</v>
      </c>
      <c r="O87" s="138">
        <f ca="1">(Старт!O72+Проект!O781) / Параметры!O$64</f>
        <v>1955488.1822033899</v>
      </c>
      <c r="P87" s="138">
        <f ca="1">(Старт!P72+Проект!P781) / Параметры!P$64</f>
        <v>1885432.279661017</v>
      </c>
      <c r="Q87" s="138">
        <f ca="1">(Старт!Q72+Проект!Q781) / Параметры!Q$64</f>
        <v>1815376.3771186441</v>
      </c>
      <c r="R87" s="138">
        <f ca="1">(Старт!R72+Проект!R781) / Параметры!R$64</f>
        <v>1745320.4745762711</v>
      </c>
      <c r="S87" s="138">
        <f ca="1">(Старт!S72+Проект!S781) / Параметры!S$64</f>
        <v>1675264.5720338984</v>
      </c>
      <c r="T87" s="138">
        <f ca="1">(Старт!T72+Проект!T781) / Параметры!T$64</f>
        <v>1605208.6694915255</v>
      </c>
      <c r="U87" s="138">
        <f ca="1">(Старт!U72+Проект!U781) / Параметры!U$64</f>
        <v>1535152.7669491526</v>
      </c>
      <c r="V87" s="138">
        <f ca="1">(Старт!V72+Проект!V781) / Параметры!V$64</f>
        <v>1465096.8644067796</v>
      </c>
      <c r="W87" s="138">
        <f ca="1">(Старт!W72+Проект!W781) / Параметры!W$64</f>
        <v>1395040.9618644067</v>
      </c>
      <c r="X87" s="138">
        <f ca="1">(Старт!X72+Проект!X781) / Параметры!X$64</f>
        <v>1324985.059322034</v>
      </c>
      <c r="Y87" s="138">
        <f ca="1">(Старт!Y72+Проект!Y781) / Параметры!Y$64</f>
        <v>1254929.1567796611</v>
      </c>
      <c r="Z87" s="138">
        <f ca="1">(Старт!Z72+Проект!Z781) / Параметры!Z$64</f>
        <v>1184873.2542372881</v>
      </c>
      <c r="AA87" s="138">
        <f ca="1">(Старт!AA72+Проект!AA781) / Параметры!AA$64</f>
        <v>1114817.3516949152</v>
      </c>
      <c r="AB87" s="138">
        <f ca="1">(Старт!AB72+Проект!AB781) / Параметры!AB$64</f>
        <v>1044761.4491525424</v>
      </c>
      <c r="AC87" s="138">
        <f ca="1">(Старт!AC72+Проект!AC781) / Параметры!AC$64</f>
        <v>974705.54661016946</v>
      </c>
      <c r="AD87" s="138">
        <f ca="1">(Старт!AD72+Проект!AD781) / Параметры!AD$64</f>
        <v>904649.64406779665</v>
      </c>
      <c r="AE87" s="138">
        <f ca="1">(Старт!AE72+Проект!AE781) / Параметры!AE$64</f>
        <v>834593.74152542371</v>
      </c>
      <c r="AF87" s="138">
        <f ca="1">(Старт!AF72+Проект!AF781) / Параметры!AF$64</f>
        <v>764537.8389830509</v>
      </c>
      <c r="AG87" s="138">
        <f ca="1">(Старт!AG72+Проект!AG781) / Параметры!AG$64</f>
        <v>694481.93644067796</v>
      </c>
      <c r="AH87" s="138">
        <f ca="1">(Старт!AH72+Проект!AH781) / Параметры!AH$64</f>
        <v>624426.03389830515</v>
      </c>
      <c r="AI87" s="138">
        <f ca="1">(Старт!AI72+Проект!AI781) / Параметры!AI$64</f>
        <v>554370.13135593222</v>
      </c>
      <c r="AJ87" s="138">
        <f ca="1">(Старт!AJ72+Проект!AJ781) / Параметры!AJ$64</f>
        <v>484314.22881355934</v>
      </c>
      <c r="AK87" s="138">
        <f ca="1">(Старт!AK72+Проект!AK781) / Параметры!AK$64</f>
        <v>414258.32627118647</v>
      </c>
      <c r="AL87" s="138">
        <f ca="1">(Старт!AL72+Проект!AL781) / Параметры!AL$64</f>
        <v>344202.42372881353</v>
      </c>
      <c r="AM87" s="138">
        <f ca="1">(Старт!AM72+Проект!AM781) / Параметры!AM$64</f>
        <v>274146.52118644072</v>
      </c>
      <c r="AN87" s="138">
        <f ca="1">(Старт!AN72+Проект!AN781) / Параметры!AN$64</f>
        <v>204090.61864406778</v>
      </c>
      <c r="AO87" s="138">
        <f ca="1">(Старт!AO72+Проект!AO781) / Параметры!AO$64</f>
        <v>134034.71610169491</v>
      </c>
      <c r="AP87" s="138">
        <f ca="1">(Старт!AP72+Проект!AP781) / Параметры!AP$64</f>
        <v>63978.813559322036</v>
      </c>
      <c r="AQ87" s="138">
        <f ca="1">(Старт!AQ72+Проект!AQ781) / Параметры!AQ$64</f>
        <v>63217.161016949161</v>
      </c>
      <c r="AR87" s="138">
        <f ca="1">(Старт!AR72+Проект!AR781) / Параметры!AR$64</f>
        <v>62455.508474576272</v>
      </c>
      <c r="AS87" s="138">
        <f ca="1">(Старт!AS72+Проект!AS781) / Параметры!AS$64</f>
        <v>61693.855932203398</v>
      </c>
      <c r="AT87" s="138">
        <f ca="1">(Старт!AT72+Проект!AT781) / Параметры!AT$64</f>
        <v>60932.203389830509</v>
      </c>
      <c r="AU87" s="138">
        <f ca="1">(Старт!AU72+Проект!AU781) / Параметры!AU$64</f>
        <v>60170.550847457635</v>
      </c>
      <c r="AV87" s="138">
        <f ca="1">(Старт!AV72+Проект!AV781) / Параметры!AV$64</f>
        <v>59408.898305084746</v>
      </c>
    </row>
    <row r="88" spans="1:48" x14ac:dyDescent="0.2">
      <c r="A88" s="99" t="str">
        <f ca="1">Language!A1251</f>
        <v>Оборудование и прочие активы</v>
      </c>
      <c r="C88" s="130" t="str">
        <f ca="1">Параметры!$C$64</f>
        <v>тыс. руб.</v>
      </c>
      <c r="D88" s="57"/>
      <c r="E88" s="243" t="s">
        <v>1493</v>
      </c>
      <c r="F88" s="57" t="s">
        <v>754</v>
      </c>
      <c r="G88" s="138">
        <f ca="1">(Старт!G79+Проект!G796+Проект!G833+Проект!G943) / Параметры!G$64</f>
        <v>242755.16949152545</v>
      </c>
      <c r="H88" s="138">
        <f ca="1">(Старт!H79+Проект!H796+Проект!H833+Проект!H943) / Параметры!H$64</f>
        <v>236530.67796610171</v>
      </c>
      <c r="I88" s="138">
        <f ca="1">(Старт!I79+Проект!I796+Проект!I833+Проект!I943) / Параметры!I$64</f>
        <v>230306.18644067796</v>
      </c>
      <c r="J88" s="138">
        <f ca="1">(Старт!J79+Проект!J796+Проект!J833+Проект!J943) / Параметры!J$64</f>
        <v>224081.69491525425</v>
      </c>
      <c r="K88" s="138">
        <f ca="1">(Старт!K79+Проект!K796+Проект!K833+Проект!K943) / Параметры!K$64</f>
        <v>217857.20338983051</v>
      </c>
      <c r="L88" s="138">
        <f ca="1">(Старт!L79+Проект!L796+Проект!L833+Проект!L943) / Параметры!L$64</f>
        <v>211632.7118644068</v>
      </c>
      <c r="M88" s="138">
        <f ca="1">(Старт!M79+Проект!M796+Проект!M833+Проект!M943) / Параметры!M$64</f>
        <v>205408.22033898305</v>
      </c>
      <c r="N88" s="138">
        <f ca="1">(Старт!N79+Проект!N796+Проект!N833+Проект!N943) / Параметры!N$64</f>
        <v>199183.72881355934</v>
      </c>
      <c r="O88" s="138">
        <f ca="1">(Старт!O79+Проект!O796+Проект!O833+Проект!O943) / Параметры!O$64</f>
        <v>192959.2372881356</v>
      </c>
      <c r="P88" s="138">
        <f ca="1">(Старт!P79+Проект!P796+Проект!P833+Проект!P943) / Параметры!P$64</f>
        <v>186734.74576271189</v>
      </c>
      <c r="Q88" s="138">
        <f ca="1">(Старт!Q79+Проект!Q796+Проект!Q833+Проект!Q943) / Параметры!Q$64</f>
        <v>180510.25423728814</v>
      </c>
      <c r="R88" s="138">
        <f ca="1">(Старт!R79+Проект!R796+Проект!R833+Проект!R943) / Параметры!R$64</f>
        <v>174285.76271186443</v>
      </c>
      <c r="S88" s="138">
        <f ca="1">(Старт!S79+Проект!S796+Проект!S833+Проект!S943) / Параметры!S$64</f>
        <v>168061.27118644069</v>
      </c>
      <c r="T88" s="138">
        <f ca="1">(Старт!T79+Проект!T796+Проект!T833+Проект!T943) / Параметры!T$64</f>
        <v>161836.77966101698</v>
      </c>
      <c r="U88" s="138">
        <f ca="1">(Старт!U79+Проект!U796+Проект!U833+Проект!U943) / Параметры!U$64</f>
        <v>155612.28813559323</v>
      </c>
      <c r="V88" s="138">
        <f ca="1">(Старт!V79+Проект!V796+Проект!V833+Проект!V943) / Параметры!V$64</f>
        <v>149387.79661016952</v>
      </c>
      <c r="W88" s="138">
        <f ca="1">(Старт!W79+Проект!W796+Проект!W833+Проект!W943) / Параметры!W$64</f>
        <v>143163.30508474578</v>
      </c>
      <c r="X88" s="138">
        <f ca="1">(Старт!X79+Проект!X796+Проект!X833+Проект!X943) / Параметры!X$64</f>
        <v>136938.81355932206</v>
      </c>
      <c r="Y88" s="138">
        <f ca="1">(Старт!Y79+Проект!Y796+Проект!Y833+Проект!Y943) / Параметры!Y$64</f>
        <v>130714.32203389832</v>
      </c>
      <c r="Z88" s="138">
        <f ca="1">(Старт!Z79+Проект!Z796+Проект!Z833+Проект!Z943) / Параметры!Z$64</f>
        <v>124489.83050847461</v>
      </c>
      <c r="AA88" s="138">
        <f ca="1">(Старт!AA79+Проект!AA796+Проект!AA833+Проект!AA943) / Параметры!AA$64</f>
        <v>118265.33898305087</v>
      </c>
      <c r="AB88" s="138">
        <f ca="1">(Старт!AB79+Проект!AB796+Проект!AB833+Проект!AB943) / Параметры!AB$64</f>
        <v>112040.84745762715</v>
      </c>
      <c r="AC88" s="138">
        <f ca="1">(Старт!AC79+Проект!AC796+Проект!AC833+Проект!AC943) / Параметры!AC$64</f>
        <v>105816.35593220341</v>
      </c>
      <c r="AD88" s="138">
        <f ca="1">(Старт!AD79+Проект!AD796+Проект!AD833+Проект!AD943) / Параметры!AD$64</f>
        <v>99591.864406779685</v>
      </c>
      <c r="AE88" s="138">
        <f ca="1">(Старт!AE79+Проект!AE796+Проект!AE833+Проект!AE943) / Параметры!AE$64</f>
        <v>93367.372881355957</v>
      </c>
      <c r="AF88" s="138">
        <f ca="1">(Старт!AF79+Проект!AF796+Проект!AF833+Проект!AF943) / Параметры!AF$64</f>
        <v>87142.88135593223</v>
      </c>
      <c r="AG88" s="138">
        <f ca="1">(Старт!AG79+Проект!AG796+Проект!AG833+Проект!AG943) / Параметры!AG$64</f>
        <v>80918.389830508502</v>
      </c>
      <c r="AH88" s="138">
        <f ca="1">(Старт!AH79+Проект!AH796+Проект!AH833+Проект!AH943) / Параметры!AH$64</f>
        <v>74693.898305084775</v>
      </c>
      <c r="AI88" s="138">
        <f ca="1">(Старт!AI79+Проект!AI796+Проект!AI833+Проект!AI943) / Параметры!AI$64</f>
        <v>68469.406779661047</v>
      </c>
      <c r="AJ88" s="138">
        <f ca="1">(Старт!AJ79+Проект!AJ796+Проект!AJ833+Проект!AJ943) / Параметры!AJ$64</f>
        <v>62244.915254237319</v>
      </c>
      <c r="AK88" s="138">
        <f ca="1">(Старт!AK79+Проект!AK796+Проект!AK833+Проект!AK943) / Параметры!AK$64</f>
        <v>56020.423728813592</v>
      </c>
      <c r="AL88" s="138">
        <f ca="1">(Старт!AL79+Проект!AL796+Проект!AL833+Проект!AL943) / Параметры!AL$64</f>
        <v>49795.932203389864</v>
      </c>
      <c r="AM88" s="138">
        <f ca="1">(Старт!AM79+Проект!AM796+Проект!AM833+Проект!AM943) / Параметры!AM$64</f>
        <v>43571.440677966137</v>
      </c>
      <c r="AN88" s="138">
        <f ca="1">(Старт!AN79+Проект!AN796+Проект!AN833+Проект!AN943) / Параметры!AN$64</f>
        <v>37346.949152542409</v>
      </c>
      <c r="AO88" s="138">
        <f ca="1">(Старт!AO79+Проект!AO796+Проект!AO833+Проект!AO943) / Параметры!AO$64</f>
        <v>31122.457627118682</v>
      </c>
      <c r="AP88" s="138">
        <f ca="1">(Старт!AP79+Проект!AP796+Проект!AP833+Проект!AP943) / Параметры!AP$64</f>
        <v>24897.966101694954</v>
      </c>
      <c r="AQ88" s="138">
        <f ca="1">(Старт!AQ79+Проект!AQ796+Проект!AQ833+Проект!AQ943) / Параметры!AQ$64</f>
        <v>18673.474576271226</v>
      </c>
      <c r="AR88" s="138">
        <f ca="1">(Старт!AR79+Проект!AR796+Проект!AR833+Проект!AR943) / Параметры!AR$64</f>
        <v>12448.983050847499</v>
      </c>
      <c r="AS88" s="138">
        <f ca="1">(Старт!AS79+Проект!AS796+Проект!AS833+Проект!AS943) / Параметры!AS$64</f>
        <v>6224.4915254237712</v>
      </c>
      <c r="AT88" s="138">
        <f ca="1">(Старт!AT79+Проект!AT796+Проект!AT833+Проект!AT943) / Параметры!AT$64</f>
        <v>4.3655745685100555E-11</v>
      </c>
      <c r="AU88" s="138">
        <f ca="1">(Старт!AU79+Проект!AU796+Проект!AU833+Проект!AU943) / Параметры!AU$64</f>
        <v>4.3655745685100555E-11</v>
      </c>
      <c r="AV88" s="138">
        <f ca="1">(Старт!AV79+Проект!AV796+Проект!AV833+Проект!AV943) / Параметры!AV$64</f>
        <v>4.3655745685100555E-11</v>
      </c>
    </row>
    <row r="89" spans="1:48" x14ac:dyDescent="0.2">
      <c r="A89" s="99" t="str">
        <f ca="1">Language!A1252</f>
        <v>Нематериальные активы</v>
      </c>
      <c r="C89" s="130" t="str">
        <f ca="1">Параметры!$C$64</f>
        <v>тыс. руб.</v>
      </c>
      <c r="D89" s="57"/>
      <c r="E89" s="243" t="s">
        <v>1494</v>
      </c>
      <c r="F89" s="57" t="s">
        <v>754</v>
      </c>
      <c r="G89" s="138">
        <f>(Старт!G86+Проект!G810) / Параметры!G$64</f>
        <v>300.3</v>
      </c>
      <c r="H89" s="138">
        <f>(Старт!H86+Проект!H810) / Параметры!H$64</f>
        <v>292.60000000000002</v>
      </c>
      <c r="I89" s="138">
        <f>(Старт!I86+Проект!I810) / Параметры!I$64</f>
        <v>284.89999999999998</v>
      </c>
      <c r="J89" s="138">
        <f>(Старт!J86+Проект!J810) / Параметры!J$64</f>
        <v>277.2</v>
      </c>
      <c r="K89" s="138">
        <f>(Старт!K86+Проект!K810) / Параметры!K$64</f>
        <v>269.5</v>
      </c>
      <c r="L89" s="138">
        <f>(Старт!L86+Проект!L810) / Параметры!L$64</f>
        <v>261.8</v>
      </c>
      <c r="M89" s="138">
        <f>(Старт!M86+Проект!M810) / Параметры!M$64</f>
        <v>254.1</v>
      </c>
      <c r="N89" s="138">
        <f>(Старт!N86+Проект!N810) / Параметры!N$64</f>
        <v>246.39999999999998</v>
      </c>
      <c r="O89" s="138">
        <f>(Старт!O86+Проект!O810) / Параметры!O$64</f>
        <v>238.7</v>
      </c>
      <c r="P89" s="138">
        <f>(Старт!P86+Проект!P810) / Параметры!P$64</f>
        <v>231</v>
      </c>
      <c r="Q89" s="138">
        <f>(Старт!Q86+Проект!Q810) / Параметры!Q$64</f>
        <v>223.29999999999998</v>
      </c>
      <c r="R89" s="138">
        <f>(Старт!R86+Проект!R810) / Параметры!R$64</f>
        <v>215.59999999999997</v>
      </c>
      <c r="S89" s="138">
        <f>(Старт!S86+Проект!S810) / Параметры!S$64</f>
        <v>207.89999999999998</v>
      </c>
      <c r="T89" s="138">
        <f>(Старт!T86+Проект!T810) / Параметры!T$64</f>
        <v>200.2</v>
      </c>
      <c r="U89" s="138">
        <f>(Старт!U86+Проект!U810) / Параметры!U$64</f>
        <v>192.49999999999997</v>
      </c>
      <c r="V89" s="138">
        <f>(Старт!V86+Проект!V810) / Параметры!V$64</f>
        <v>184.79999999999995</v>
      </c>
      <c r="W89" s="138">
        <f>(Старт!W86+Проект!W810) / Параметры!W$64</f>
        <v>177.09999999999997</v>
      </c>
      <c r="X89" s="138">
        <f>(Старт!X86+Проект!X810) / Параметры!X$64</f>
        <v>169.39999999999998</v>
      </c>
      <c r="Y89" s="138">
        <f>(Старт!Y86+Проект!Y810) / Параметры!Y$64</f>
        <v>161.69999999999999</v>
      </c>
      <c r="Z89" s="138">
        <f>(Старт!Z86+Проект!Z810) / Параметры!Z$64</f>
        <v>154</v>
      </c>
      <c r="AA89" s="138">
        <f>(Старт!AA86+Проект!AA810) / Параметры!AA$64</f>
        <v>146.30000000000001</v>
      </c>
      <c r="AB89" s="138">
        <f>(Старт!AB86+Проект!AB810) / Параметры!AB$64</f>
        <v>138.60000000000002</v>
      </c>
      <c r="AC89" s="138">
        <f>(Старт!AC86+Проект!AC810) / Параметры!AC$64</f>
        <v>130.90000000000003</v>
      </c>
      <c r="AD89" s="138">
        <f>(Старт!AD86+Проект!AD810) / Параметры!AD$64</f>
        <v>123.20000000000005</v>
      </c>
      <c r="AE89" s="138">
        <f>(Старт!AE86+Проект!AE810) / Параметры!AE$64</f>
        <v>115.50000000000006</v>
      </c>
      <c r="AF89" s="138">
        <f>(Старт!AF86+Проект!AF810) / Параметры!AF$64</f>
        <v>107.80000000000007</v>
      </c>
      <c r="AG89" s="138">
        <f>(Старт!AG86+Проект!AG810) / Параметры!AG$64</f>
        <v>100.10000000000008</v>
      </c>
      <c r="AH89" s="138">
        <f>(Старт!AH86+Проект!AH810) / Параметры!AH$64</f>
        <v>92.400000000000091</v>
      </c>
      <c r="AI89" s="138">
        <f>(Старт!AI86+Проект!AI810) / Параметры!AI$64</f>
        <v>84.700000000000102</v>
      </c>
      <c r="AJ89" s="138">
        <f>(Старт!AJ86+Проект!AJ810) / Параметры!AJ$64</f>
        <v>77.000000000000114</v>
      </c>
      <c r="AK89" s="138">
        <f>(Старт!AK86+Проект!AK810) / Параметры!AK$64</f>
        <v>69.300000000000125</v>
      </c>
      <c r="AL89" s="138">
        <f>(Старт!AL86+Проект!AL810) / Параметры!AL$64</f>
        <v>61.600000000000136</v>
      </c>
      <c r="AM89" s="138">
        <f>(Старт!AM86+Проект!AM810) / Параметры!AM$64</f>
        <v>53.900000000000148</v>
      </c>
      <c r="AN89" s="138">
        <f>(Старт!AN86+Проект!AN810) / Параметры!AN$64</f>
        <v>46.200000000000159</v>
      </c>
      <c r="AO89" s="138">
        <f>(Старт!AO86+Проект!AO810) / Параметры!AO$64</f>
        <v>38.500000000000171</v>
      </c>
      <c r="AP89" s="138">
        <f>(Старт!AP86+Проект!AP810) / Параметры!AP$64</f>
        <v>30.800000000000182</v>
      </c>
      <c r="AQ89" s="138">
        <f>(Старт!AQ86+Проект!AQ810) / Параметры!AQ$64</f>
        <v>23.100000000000193</v>
      </c>
      <c r="AR89" s="138">
        <f>(Старт!AR86+Проект!AR810) / Параметры!AR$64</f>
        <v>15.400000000000205</v>
      </c>
      <c r="AS89" s="138">
        <f>(Старт!AS86+Проект!AS810) / Параметры!AS$64</f>
        <v>7.700000000000216</v>
      </c>
      <c r="AT89" s="138">
        <f>(Старт!AT86+Проект!AT810) / Параметры!AT$64</f>
        <v>0</v>
      </c>
      <c r="AU89" s="138">
        <f>(Старт!AU86+Проект!AU810) / Параметры!AU$64</f>
        <v>0</v>
      </c>
      <c r="AV89" s="138">
        <f>(Старт!AV86+Проект!AV810) / Параметры!AV$64</f>
        <v>0</v>
      </c>
    </row>
    <row r="90" spans="1:48" x14ac:dyDescent="0.2">
      <c r="A90" s="99" t="str">
        <f ca="1">Language!A1253</f>
        <v>Долгосрочные финансовые вложения</v>
      </c>
      <c r="C90" s="130" t="str">
        <f ca="1">Параметры!$C$64</f>
        <v>тыс. руб.</v>
      </c>
      <c r="D90" s="57"/>
      <c r="E90" s="243" t="s">
        <v>1495</v>
      </c>
      <c r="F90" s="57" t="s">
        <v>754</v>
      </c>
      <c r="G90" s="138">
        <f>(Старт!G93+Проект!G847) / Параметры!G$64</f>
        <v>0</v>
      </c>
      <c r="H90" s="138">
        <f>(Старт!H93+Проект!H847) / Параметры!H$64</f>
        <v>0</v>
      </c>
      <c r="I90" s="138">
        <f>(Старт!I93+Проект!I847) / Параметры!I$64</f>
        <v>0</v>
      </c>
      <c r="J90" s="138">
        <f>(Старт!J93+Проект!J847) / Параметры!J$64</f>
        <v>0</v>
      </c>
      <c r="K90" s="138">
        <f>(Старт!K93+Проект!K847) / Параметры!K$64</f>
        <v>0</v>
      </c>
      <c r="L90" s="138">
        <f>(Старт!L93+Проект!L847) / Параметры!L$64</f>
        <v>0</v>
      </c>
      <c r="M90" s="138">
        <f>(Старт!M93+Проект!M847) / Параметры!M$64</f>
        <v>0</v>
      </c>
      <c r="N90" s="138">
        <f>(Старт!N93+Проект!N847) / Параметры!N$64</f>
        <v>0</v>
      </c>
      <c r="O90" s="138">
        <f>(Старт!O93+Проект!O847) / Параметры!O$64</f>
        <v>0</v>
      </c>
      <c r="P90" s="138">
        <f>(Старт!P93+Проект!P847) / Параметры!P$64</f>
        <v>0</v>
      </c>
      <c r="Q90" s="138">
        <f>(Старт!Q93+Проект!Q847) / Параметры!Q$64</f>
        <v>0</v>
      </c>
      <c r="R90" s="138">
        <f>(Старт!R93+Проект!R847) / Параметры!R$64</f>
        <v>0</v>
      </c>
      <c r="S90" s="138">
        <f>(Старт!S93+Проект!S847) / Параметры!S$64</f>
        <v>0</v>
      </c>
      <c r="T90" s="138">
        <f>(Старт!T93+Проект!T847) / Параметры!T$64</f>
        <v>0</v>
      </c>
      <c r="U90" s="138">
        <f>(Старт!U93+Проект!U847) / Параметры!U$64</f>
        <v>0</v>
      </c>
      <c r="V90" s="138">
        <f>(Старт!V93+Проект!V847) / Параметры!V$64</f>
        <v>0</v>
      </c>
      <c r="W90" s="138">
        <f>(Старт!W93+Проект!W847) / Параметры!W$64</f>
        <v>0</v>
      </c>
      <c r="X90" s="138">
        <f>(Старт!X93+Проект!X847) / Параметры!X$64</f>
        <v>0</v>
      </c>
      <c r="Y90" s="138">
        <f>(Старт!Y93+Проект!Y847) / Параметры!Y$64</f>
        <v>0</v>
      </c>
      <c r="Z90" s="138">
        <f>(Старт!Z93+Проект!Z847) / Параметры!Z$64</f>
        <v>0</v>
      </c>
      <c r="AA90" s="138">
        <f>(Старт!AA93+Проект!AA847) / Параметры!AA$64</f>
        <v>0</v>
      </c>
      <c r="AB90" s="138">
        <f>(Старт!AB93+Проект!AB847) / Параметры!AB$64</f>
        <v>0</v>
      </c>
      <c r="AC90" s="138">
        <f>(Старт!AC93+Проект!AC847) / Параметры!AC$64</f>
        <v>0</v>
      </c>
      <c r="AD90" s="138">
        <f>(Старт!AD93+Проект!AD847) / Параметры!AD$64</f>
        <v>0</v>
      </c>
      <c r="AE90" s="138">
        <f>(Старт!AE93+Проект!AE847) / Параметры!AE$64</f>
        <v>0</v>
      </c>
      <c r="AF90" s="138">
        <f>(Старт!AF93+Проект!AF847) / Параметры!AF$64</f>
        <v>0</v>
      </c>
      <c r="AG90" s="138">
        <f>(Старт!AG93+Проект!AG847) / Параметры!AG$64</f>
        <v>0</v>
      </c>
      <c r="AH90" s="138">
        <f>(Старт!AH93+Проект!AH847) / Параметры!AH$64</f>
        <v>0</v>
      </c>
      <c r="AI90" s="138">
        <f>(Старт!AI93+Проект!AI847) / Параметры!AI$64</f>
        <v>0</v>
      </c>
      <c r="AJ90" s="138">
        <f>(Старт!AJ93+Проект!AJ847) / Параметры!AJ$64</f>
        <v>0</v>
      </c>
      <c r="AK90" s="138">
        <f>(Старт!AK93+Проект!AK847) / Параметры!AK$64</f>
        <v>0</v>
      </c>
      <c r="AL90" s="138">
        <f>(Старт!AL93+Проект!AL847) / Параметры!AL$64</f>
        <v>0</v>
      </c>
      <c r="AM90" s="138">
        <f>(Старт!AM93+Проект!AM847) / Параметры!AM$64</f>
        <v>0</v>
      </c>
      <c r="AN90" s="138">
        <f>(Старт!AN93+Проект!AN847) / Параметры!AN$64</f>
        <v>0</v>
      </c>
      <c r="AO90" s="138">
        <f>(Старт!AO93+Проект!AO847) / Параметры!AO$64</f>
        <v>0</v>
      </c>
      <c r="AP90" s="138">
        <f>(Старт!AP93+Проект!AP847) / Параметры!AP$64</f>
        <v>0</v>
      </c>
      <c r="AQ90" s="138">
        <f>(Старт!AQ93+Проект!AQ847) / Параметры!AQ$64</f>
        <v>0</v>
      </c>
      <c r="AR90" s="138">
        <f>(Старт!AR93+Проект!AR847) / Параметры!AR$64</f>
        <v>0</v>
      </c>
      <c r="AS90" s="138">
        <f>(Старт!AS93+Проект!AS847) / Параметры!AS$64</f>
        <v>0</v>
      </c>
      <c r="AT90" s="138">
        <f>(Старт!AT93+Проект!AT847) / Параметры!AT$64</f>
        <v>0</v>
      </c>
      <c r="AU90" s="138">
        <f>(Старт!AU93+Проект!AU847) / Параметры!AU$64</f>
        <v>0</v>
      </c>
      <c r="AV90" s="138">
        <f>(Старт!AV93+Проект!AV847) / Параметры!AV$64</f>
        <v>0</v>
      </c>
    </row>
    <row r="91" spans="1:48" x14ac:dyDescent="0.2">
      <c r="A91" s="99" t="str">
        <f ca="1">Language!A1254</f>
        <v>Незавершенные капиталовложения</v>
      </c>
      <c r="C91" s="130" t="str">
        <f ca="1">Параметры!$C$64</f>
        <v>тыс. руб.</v>
      </c>
      <c r="D91" s="57"/>
      <c r="E91" s="243" t="s">
        <v>1496</v>
      </c>
      <c r="F91" s="57" t="s">
        <v>754</v>
      </c>
      <c r="G91" s="138">
        <f>(Старт!G62+Проект!G771+Проект!G778+Проект!G793+Проект!G807+Проект!G942) / Параметры!G$64</f>
        <v>121527</v>
      </c>
      <c r="H91" s="138">
        <f>(Старт!H62+Проект!H771+Проект!H778+Проект!H793+Проект!H807+Проект!H942) / Параметры!H$64</f>
        <v>121527</v>
      </c>
      <c r="I91" s="138">
        <f>(Старт!I62+Проект!I771+Проект!I778+Проект!I793+Проект!I807+Проект!I942) / Параметры!I$64</f>
        <v>121527</v>
      </c>
      <c r="J91" s="138">
        <f>(Старт!J62+Проект!J771+Проект!J778+Проект!J793+Проект!J807+Проект!J942) / Параметры!J$64</f>
        <v>121527</v>
      </c>
      <c r="K91" s="138">
        <f>(Старт!K62+Проект!K771+Проект!K778+Проект!K793+Проект!K807+Проект!K942) / Параметры!K$64</f>
        <v>121527</v>
      </c>
      <c r="L91" s="138">
        <f>(Старт!L62+Проект!L771+Проект!L778+Проект!L793+Проект!L807+Проект!L942) / Параметры!L$64</f>
        <v>121527</v>
      </c>
      <c r="M91" s="138">
        <f>(Старт!M62+Проект!M771+Проект!M778+Проект!M793+Проект!M807+Проект!M942) / Параметры!M$64</f>
        <v>121527</v>
      </c>
      <c r="N91" s="138">
        <f>(Старт!N62+Проект!N771+Проект!N778+Проект!N793+Проект!N807+Проект!N942) / Параметры!N$64</f>
        <v>121527</v>
      </c>
      <c r="O91" s="138">
        <f>(Старт!O62+Проект!O771+Проект!O778+Проект!O793+Проект!O807+Проект!O942) / Параметры!O$64</f>
        <v>121527</v>
      </c>
      <c r="P91" s="138">
        <f>(Старт!P62+Проект!P771+Проект!P778+Проект!P793+Проект!P807+Проект!P942) / Параметры!P$64</f>
        <v>121527</v>
      </c>
      <c r="Q91" s="138">
        <f>(Старт!Q62+Проект!Q771+Проект!Q778+Проект!Q793+Проект!Q807+Проект!Q942) / Параметры!Q$64</f>
        <v>121527</v>
      </c>
      <c r="R91" s="138">
        <f>(Старт!R62+Проект!R771+Проект!R778+Проект!R793+Проект!R807+Проект!R942) / Параметры!R$64</f>
        <v>121527</v>
      </c>
      <c r="S91" s="138">
        <f>(Старт!S62+Проект!S771+Проект!S778+Проект!S793+Проект!S807+Проект!S942) / Параметры!S$64</f>
        <v>121527</v>
      </c>
      <c r="T91" s="138">
        <f>(Старт!T62+Проект!T771+Проект!T778+Проект!T793+Проект!T807+Проект!T942) / Параметры!T$64</f>
        <v>121527</v>
      </c>
      <c r="U91" s="138">
        <f>(Старт!U62+Проект!U771+Проект!U778+Проект!U793+Проект!U807+Проект!U942) / Параметры!U$64</f>
        <v>121527</v>
      </c>
      <c r="V91" s="138">
        <f>(Старт!V62+Проект!V771+Проект!V778+Проект!V793+Проект!V807+Проект!V942) / Параметры!V$64</f>
        <v>121527</v>
      </c>
      <c r="W91" s="138">
        <f>(Старт!W62+Проект!W771+Проект!W778+Проект!W793+Проект!W807+Проект!W942) / Параметры!W$64</f>
        <v>121527</v>
      </c>
      <c r="X91" s="138">
        <f>(Старт!X62+Проект!X771+Проект!X778+Проект!X793+Проект!X807+Проект!X942) / Параметры!X$64</f>
        <v>121527</v>
      </c>
      <c r="Y91" s="138">
        <f>(Старт!Y62+Проект!Y771+Проект!Y778+Проект!Y793+Проект!Y807+Проект!Y942) / Параметры!Y$64</f>
        <v>121527</v>
      </c>
      <c r="Z91" s="138">
        <f>(Старт!Z62+Проект!Z771+Проект!Z778+Проект!Z793+Проект!Z807+Проект!Z942) / Параметры!Z$64</f>
        <v>121527</v>
      </c>
      <c r="AA91" s="138">
        <f>(Старт!AA62+Проект!AA771+Проект!AA778+Проект!AA793+Проект!AA807+Проект!AA942) / Параметры!AA$64</f>
        <v>121527</v>
      </c>
      <c r="AB91" s="138">
        <f>(Старт!AB62+Проект!AB771+Проект!AB778+Проект!AB793+Проект!AB807+Проект!AB942) / Параметры!AB$64</f>
        <v>121527</v>
      </c>
      <c r="AC91" s="138">
        <f>(Старт!AC62+Проект!AC771+Проект!AC778+Проект!AC793+Проект!AC807+Проект!AC942) / Параметры!AC$64</f>
        <v>121527</v>
      </c>
      <c r="AD91" s="138">
        <f>(Старт!AD62+Проект!AD771+Проект!AD778+Проект!AD793+Проект!AD807+Проект!AD942) / Параметры!AD$64</f>
        <v>121527</v>
      </c>
      <c r="AE91" s="138">
        <f>(Старт!AE62+Проект!AE771+Проект!AE778+Проект!AE793+Проект!AE807+Проект!AE942) / Параметры!AE$64</f>
        <v>121527</v>
      </c>
      <c r="AF91" s="138">
        <f>(Старт!AF62+Проект!AF771+Проект!AF778+Проект!AF793+Проект!AF807+Проект!AF942) / Параметры!AF$64</f>
        <v>121527</v>
      </c>
      <c r="AG91" s="138">
        <f>(Старт!AG62+Проект!AG771+Проект!AG778+Проект!AG793+Проект!AG807+Проект!AG942) / Параметры!AG$64</f>
        <v>121527</v>
      </c>
      <c r="AH91" s="138">
        <f>(Старт!AH62+Проект!AH771+Проект!AH778+Проект!AH793+Проект!AH807+Проект!AH942) / Параметры!AH$64</f>
        <v>121527</v>
      </c>
      <c r="AI91" s="138">
        <f>(Старт!AI62+Проект!AI771+Проект!AI778+Проект!AI793+Проект!AI807+Проект!AI942) / Параметры!AI$64</f>
        <v>121527</v>
      </c>
      <c r="AJ91" s="138">
        <f>(Старт!AJ62+Проект!AJ771+Проект!AJ778+Проект!AJ793+Проект!AJ807+Проект!AJ942) / Параметры!AJ$64</f>
        <v>121527</v>
      </c>
      <c r="AK91" s="138">
        <f>(Старт!AK62+Проект!AK771+Проект!AK778+Проект!AK793+Проект!AK807+Проект!AK942) / Параметры!AK$64</f>
        <v>121527</v>
      </c>
      <c r="AL91" s="138">
        <f>(Старт!AL62+Проект!AL771+Проект!AL778+Проект!AL793+Проект!AL807+Проект!AL942) / Параметры!AL$64</f>
        <v>121527</v>
      </c>
      <c r="AM91" s="138">
        <f>(Старт!AM62+Проект!AM771+Проект!AM778+Проект!AM793+Проект!AM807+Проект!AM942) / Параметры!AM$64</f>
        <v>121527</v>
      </c>
      <c r="AN91" s="138">
        <f>(Старт!AN62+Проект!AN771+Проект!AN778+Проект!AN793+Проект!AN807+Проект!AN942) / Параметры!AN$64</f>
        <v>121527</v>
      </c>
      <c r="AO91" s="138">
        <f>(Старт!AO62+Проект!AO771+Проект!AO778+Проект!AO793+Проект!AO807+Проект!AO942) / Параметры!AO$64</f>
        <v>121527</v>
      </c>
      <c r="AP91" s="138">
        <f>(Старт!AP62+Проект!AP771+Проект!AP778+Проект!AP793+Проект!AP807+Проект!AP942) / Параметры!AP$64</f>
        <v>121527</v>
      </c>
      <c r="AQ91" s="138">
        <f>(Старт!AQ62+Проект!AQ771+Проект!AQ778+Проект!AQ793+Проект!AQ807+Проект!AQ942) / Параметры!AQ$64</f>
        <v>121527</v>
      </c>
      <c r="AR91" s="138">
        <f>(Старт!AR62+Проект!AR771+Проект!AR778+Проект!AR793+Проект!AR807+Проект!AR942) / Параметры!AR$64</f>
        <v>121527</v>
      </c>
      <c r="AS91" s="138">
        <f>(Старт!AS62+Проект!AS771+Проект!AS778+Проект!AS793+Проект!AS807+Проект!AS942) / Параметры!AS$64</f>
        <v>121527</v>
      </c>
      <c r="AT91" s="138">
        <f>(Старт!AT62+Проект!AT771+Проект!AT778+Проект!AT793+Проект!AT807+Проект!AT942) / Параметры!AT$64</f>
        <v>121527</v>
      </c>
      <c r="AU91" s="138">
        <f>(Старт!AU62+Проект!AU771+Проект!AU778+Проект!AU793+Проект!AU807+Проект!AU942) / Параметры!AU$64</f>
        <v>121527</v>
      </c>
      <c r="AV91" s="138">
        <f>(Старт!AV62+Проект!AV771+Проект!AV778+Проект!AV793+Проект!AV807+Проект!AV942) / Параметры!AV$64</f>
        <v>121527</v>
      </c>
    </row>
    <row r="92" spans="1:48" x14ac:dyDescent="0.2">
      <c r="A92" s="99" t="str">
        <f ca="1">Language!A1255</f>
        <v>Прочие внеоборотные активы</v>
      </c>
      <c r="C92" s="130" t="str">
        <f ca="1">Параметры!$C$64</f>
        <v>тыс. руб.</v>
      </c>
      <c r="D92" s="57"/>
      <c r="E92" s="243" t="s">
        <v>1497</v>
      </c>
      <c r="F92" s="57" t="s">
        <v>754</v>
      </c>
      <c r="G92" s="138">
        <f>IF(G$2=1,Старт!$B23/Параметры!G$64,F92*Параметры!F$64/Параметры!G$64)</f>
        <v>0</v>
      </c>
      <c r="H92" s="138">
        <f>IF(H$2=1,Старт!$B23/Параметры!H$64,G92*Параметры!G$64/Параметры!H$64)</f>
        <v>0</v>
      </c>
      <c r="I92" s="138">
        <f>IF(I$2=1,Старт!$B23/Параметры!I$64,H92*Параметры!H$64/Параметры!I$64)</f>
        <v>0</v>
      </c>
      <c r="J92" s="138">
        <f>IF(J$2=1,Старт!$B23/Параметры!J$64,I92*Параметры!I$64/Параметры!J$64)</f>
        <v>0</v>
      </c>
      <c r="K92" s="138">
        <f>IF(K$2=1,Старт!$B23/Параметры!K$64,J92*Параметры!J$64/Параметры!K$64)</f>
        <v>0</v>
      </c>
      <c r="L92" s="138">
        <f>IF(L$2=1,Старт!$B23/Параметры!L$64,K92*Параметры!K$64/Параметры!L$64)</f>
        <v>0</v>
      </c>
      <c r="M92" s="138">
        <f>IF(M$2=1,Старт!$B23/Параметры!M$64,L92*Параметры!L$64/Параметры!M$64)</f>
        <v>0</v>
      </c>
      <c r="N92" s="138">
        <f>IF(N$2=1,Старт!$B23/Параметры!N$64,M92*Параметры!M$64/Параметры!N$64)</f>
        <v>0</v>
      </c>
      <c r="O92" s="138">
        <f>IF(O$2=1,Старт!$B23/Параметры!O$64,N92*Параметры!N$64/Параметры!O$64)</f>
        <v>0</v>
      </c>
      <c r="P92" s="138">
        <f>IF(P$2=1,Старт!$B23/Параметры!P$64,O92*Параметры!O$64/Параметры!P$64)</f>
        <v>0</v>
      </c>
      <c r="Q92" s="138">
        <f>IF(Q$2=1,Старт!$B23/Параметры!Q$64,P92*Параметры!P$64/Параметры!Q$64)</f>
        <v>0</v>
      </c>
      <c r="R92" s="138">
        <f>IF(R$2=1,Старт!$B23/Параметры!R$64,Q92*Параметры!Q$64/Параметры!R$64)</f>
        <v>0</v>
      </c>
      <c r="S92" s="138">
        <f>IF(S$2=1,Старт!$B23/Параметры!S$64,R92*Параметры!R$64/Параметры!S$64)</f>
        <v>0</v>
      </c>
      <c r="T92" s="138">
        <f>IF(T$2=1,Старт!$B23/Параметры!T$64,S92*Параметры!S$64/Параметры!T$64)</f>
        <v>0</v>
      </c>
      <c r="U92" s="138">
        <f>IF(U$2=1,Старт!$B23/Параметры!U$64,T92*Параметры!T$64/Параметры!U$64)</f>
        <v>0</v>
      </c>
      <c r="V92" s="138">
        <f>IF(V$2=1,Старт!$B23/Параметры!V$64,U92*Параметры!U$64/Параметры!V$64)</f>
        <v>0</v>
      </c>
      <c r="W92" s="138">
        <f>IF(W$2=1,Старт!$B23/Параметры!W$64,V92*Параметры!V$64/Параметры!W$64)</f>
        <v>0</v>
      </c>
      <c r="X92" s="138">
        <f>IF(X$2=1,Старт!$B23/Параметры!X$64,W92*Параметры!W$64/Параметры!X$64)</f>
        <v>0</v>
      </c>
      <c r="Y92" s="138">
        <f>IF(Y$2=1,Старт!$B23/Параметры!Y$64,X92*Параметры!X$64/Параметры!Y$64)</f>
        <v>0</v>
      </c>
      <c r="Z92" s="138">
        <f>IF(Z$2=1,Старт!$B23/Параметры!Z$64,Y92*Параметры!Y$64/Параметры!Z$64)</f>
        <v>0</v>
      </c>
      <c r="AA92" s="138">
        <f>IF(AA$2=1,Старт!$B23/Параметры!AA$64,Z92*Параметры!Z$64/Параметры!AA$64)</f>
        <v>0</v>
      </c>
      <c r="AB92" s="138">
        <f>IF(AB$2=1,Старт!$B23/Параметры!AB$64,AA92*Параметры!AA$64/Параметры!AB$64)</f>
        <v>0</v>
      </c>
      <c r="AC92" s="138">
        <f>IF(AC$2=1,Старт!$B23/Параметры!AC$64,AB92*Параметры!AB$64/Параметры!AC$64)</f>
        <v>0</v>
      </c>
      <c r="AD92" s="138">
        <f>IF(AD$2=1,Старт!$B23/Параметры!AD$64,AC92*Параметры!AC$64/Параметры!AD$64)</f>
        <v>0</v>
      </c>
      <c r="AE92" s="138">
        <f>IF(AE$2=1,Старт!$B23/Параметры!AE$64,AD92*Параметры!AD$64/Параметры!AE$64)</f>
        <v>0</v>
      </c>
      <c r="AF92" s="138">
        <f>IF(AF$2=1,Старт!$B23/Параметры!AF$64,AE92*Параметры!AE$64/Параметры!AF$64)</f>
        <v>0</v>
      </c>
      <c r="AG92" s="138">
        <f>IF(AG$2=1,Старт!$B23/Параметры!AG$64,AF92*Параметры!AF$64/Параметры!AG$64)</f>
        <v>0</v>
      </c>
      <c r="AH92" s="138">
        <f>IF(AH$2=1,Старт!$B23/Параметры!AH$64,AG92*Параметры!AG$64/Параметры!AH$64)</f>
        <v>0</v>
      </c>
      <c r="AI92" s="138">
        <f>IF(AI$2=1,Старт!$B23/Параметры!AI$64,AH92*Параметры!AH$64/Параметры!AI$64)</f>
        <v>0</v>
      </c>
      <c r="AJ92" s="138">
        <f>IF(AJ$2=1,Старт!$B23/Параметры!AJ$64,AI92*Параметры!AI$64/Параметры!AJ$64)</f>
        <v>0</v>
      </c>
      <c r="AK92" s="138">
        <f>IF(AK$2=1,Старт!$B23/Параметры!AK$64,AJ92*Параметры!AJ$64/Параметры!AK$64)</f>
        <v>0</v>
      </c>
      <c r="AL92" s="138">
        <f>IF(AL$2=1,Старт!$B23/Параметры!AL$64,AK92*Параметры!AK$64/Параметры!AL$64)</f>
        <v>0</v>
      </c>
      <c r="AM92" s="138">
        <f>IF(AM$2=1,Старт!$B23/Параметры!AM$64,AL92*Параметры!AL$64/Параметры!AM$64)</f>
        <v>0</v>
      </c>
      <c r="AN92" s="138">
        <f>IF(AN$2=1,Старт!$B23/Параметры!AN$64,AM92*Параметры!AM$64/Параметры!AN$64)</f>
        <v>0</v>
      </c>
      <c r="AO92" s="138">
        <f>IF(AO$2=1,Старт!$B23/Параметры!AO$64,AN92*Параметры!AN$64/Параметры!AO$64)</f>
        <v>0</v>
      </c>
      <c r="AP92" s="138">
        <f>IF(AP$2=1,Старт!$B23/Параметры!AP$64,AO92*Параметры!AO$64/Параметры!AP$64)</f>
        <v>0</v>
      </c>
      <c r="AQ92" s="138">
        <f>IF(AQ$2=1,Старт!$B23/Параметры!AQ$64,AP92*Параметры!AP$64/Параметры!AQ$64)</f>
        <v>0</v>
      </c>
      <c r="AR92" s="138">
        <f>IF(AR$2=1,Старт!$B23/Параметры!AR$64,AQ92*Параметры!AQ$64/Параметры!AR$64)</f>
        <v>0</v>
      </c>
      <c r="AS92" s="138">
        <f>IF(AS$2=1,Старт!$B23/Параметры!AS$64,AR92*Параметры!AR$64/Параметры!AS$64)</f>
        <v>0</v>
      </c>
      <c r="AT92" s="138">
        <f>IF(AT$2=1,Старт!$B23/Параметры!AT$64,AS92*Параметры!AS$64/Параметры!AT$64)</f>
        <v>0</v>
      </c>
      <c r="AU92" s="138">
        <f>IF(AU$2=1,Старт!$B23/Параметры!AU$64,AT92*Параметры!AT$64/Параметры!AU$64)</f>
        <v>0</v>
      </c>
      <c r="AV92" s="138">
        <f>IF(AV$2=1,Старт!$B23/Параметры!AV$64,AU92*Параметры!AU$64/Параметры!AV$64)</f>
        <v>0</v>
      </c>
    </row>
    <row r="93" spans="1:48" x14ac:dyDescent="0.2">
      <c r="A93" s="125" t="str">
        <f ca="1">Language!A1256</f>
        <v>Суммарные внеоборотные активы</v>
      </c>
      <c r="B93" s="244"/>
      <c r="C93" s="127" t="str">
        <f ca="1">Параметры!$C$64</f>
        <v>тыс. руб.</v>
      </c>
      <c r="D93" s="128"/>
      <c r="E93" s="245" t="s">
        <v>1498</v>
      </c>
      <c r="F93" s="128" t="s">
        <v>754</v>
      </c>
      <c r="G93" s="246">
        <f ca="1">SUM(G86:G92)</f>
        <v>2929340.8720338978</v>
      </c>
      <c r="H93" s="246">
        <f t="shared" ref="H93:K93" ca="1" si="228">SUM(H86:H92)</f>
        <v>2853052.7779661017</v>
      </c>
      <c r="I93" s="246">
        <f t="shared" ca="1" si="228"/>
        <v>2776764.6838983051</v>
      </c>
      <c r="J93" s="246">
        <f t="shared" ca="1" si="228"/>
        <v>2700476.5898305085</v>
      </c>
      <c r="K93" s="246">
        <f t="shared" ca="1" si="228"/>
        <v>2624188.4957627119</v>
      </c>
      <c r="L93" s="246">
        <f t="shared" ref="L93:M93" ca="1" si="229">SUM(L86:L92)</f>
        <v>2547900.4016949148</v>
      </c>
      <c r="M93" s="246">
        <f t="shared" ca="1" si="229"/>
        <v>2471612.3076271187</v>
      </c>
      <c r="N93" s="246">
        <f t="shared" ref="N93:O93" ca="1" si="230">SUM(N86:N92)</f>
        <v>2395324.2135593221</v>
      </c>
      <c r="O93" s="246">
        <f t="shared" ca="1" si="230"/>
        <v>2319036.1194915259</v>
      </c>
      <c r="P93" s="246">
        <f t="shared" ref="P93:Q93" ca="1" si="231">SUM(P86:P92)</f>
        <v>2242748.0254237289</v>
      </c>
      <c r="Q93" s="246">
        <f t="shared" ca="1" si="231"/>
        <v>2166459.9313559323</v>
      </c>
      <c r="R93" s="246">
        <f t="shared" ref="R93:S93" ca="1" si="232">SUM(R86:R92)</f>
        <v>2090171.8372881357</v>
      </c>
      <c r="S93" s="246">
        <f t="shared" ca="1" si="232"/>
        <v>2013883.7432203391</v>
      </c>
      <c r="T93" s="246">
        <f t="shared" ref="T93:U93" ca="1" si="233">SUM(T86:T92)</f>
        <v>1937595.6491525425</v>
      </c>
      <c r="U93" s="246">
        <f t="shared" ca="1" si="233"/>
        <v>1861307.5550847459</v>
      </c>
      <c r="V93" s="246">
        <f t="shared" ref="V93:W93" ca="1" si="234">SUM(V86:V92)</f>
        <v>1785019.4610169493</v>
      </c>
      <c r="W93" s="246">
        <f t="shared" ca="1" si="234"/>
        <v>1708731.3669491527</v>
      </c>
      <c r="X93" s="246">
        <f t="shared" ref="X93:Y93" ca="1" si="235">SUM(X86:X92)</f>
        <v>1632443.2728813561</v>
      </c>
      <c r="Y93" s="246">
        <f t="shared" ca="1" si="235"/>
        <v>1556155.1788135592</v>
      </c>
      <c r="Z93" s="246">
        <f t="shared" ref="Z93:AA93" ca="1" si="236">SUM(Z86:Z92)</f>
        <v>1479867.0847457629</v>
      </c>
      <c r="AA93" s="246">
        <f t="shared" ca="1" si="236"/>
        <v>1403578.990677966</v>
      </c>
      <c r="AB93" s="246">
        <f t="shared" ref="AB93:AC93" ca="1" si="237">SUM(AB86:AB92)</f>
        <v>1327290.8966101694</v>
      </c>
      <c r="AC93" s="246">
        <f t="shared" ca="1" si="237"/>
        <v>1251002.8025423728</v>
      </c>
      <c r="AD93" s="246">
        <f t="shared" ref="AD93:AE93" ca="1" si="238">SUM(AD86:AD92)</f>
        <v>1174714.7084745762</v>
      </c>
      <c r="AE93" s="246">
        <f t="shared" ca="1" si="238"/>
        <v>1098426.6144067796</v>
      </c>
      <c r="AF93" s="246">
        <f t="shared" ref="AF93:AG93" ca="1" si="239">SUM(AF86:AF92)</f>
        <v>1022138.5203389832</v>
      </c>
      <c r="AG93" s="246">
        <f t="shared" ca="1" si="239"/>
        <v>945850.42627118644</v>
      </c>
      <c r="AH93" s="246">
        <f t="shared" ref="AH93:AI93" ca="1" si="240">SUM(AH86:AH92)</f>
        <v>869562.33220338996</v>
      </c>
      <c r="AI93" s="246">
        <f t="shared" ca="1" si="240"/>
        <v>793274.23813559324</v>
      </c>
      <c r="AJ93" s="246">
        <f t="shared" ref="AJ93:AK93" ca="1" si="241">SUM(AJ86:AJ92)</f>
        <v>716986.14406779665</v>
      </c>
      <c r="AK93" s="246">
        <f t="shared" ca="1" si="241"/>
        <v>640698.05000000005</v>
      </c>
      <c r="AL93" s="246">
        <f t="shared" ref="AL93:AM93" ca="1" si="242">SUM(AL86:AL92)</f>
        <v>564409.95593220345</v>
      </c>
      <c r="AM93" s="246">
        <f t="shared" ca="1" si="242"/>
        <v>488121.86186440685</v>
      </c>
      <c r="AN93" s="246">
        <f t="shared" ref="AN93:AO93" ca="1" si="243">SUM(AN86:AN92)</f>
        <v>411833.76779661019</v>
      </c>
      <c r="AO93" s="246">
        <f t="shared" ca="1" si="243"/>
        <v>335545.67372881359</v>
      </c>
      <c r="AP93" s="246">
        <f t="shared" ref="AP93:AQ93" ca="1" si="244">SUM(AP86:AP92)</f>
        <v>259257.57966101699</v>
      </c>
      <c r="AQ93" s="246">
        <f t="shared" ca="1" si="244"/>
        <v>252263.73559322039</v>
      </c>
      <c r="AR93" s="246">
        <f t="shared" ref="AR93:AS93" ca="1" si="245">SUM(AR86:AR92)</f>
        <v>245269.89152542377</v>
      </c>
      <c r="AS93" s="246">
        <f t="shared" ca="1" si="245"/>
        <v>238276.04745762717</v>
      </c>
      <c r="AT93" s="246">
        <f t="shared" ref="AT93:AU93" ca="1" si="246">SUM(AT86:AT92)</f>
        <v>231282.20338983054</v>
      </c>
      <c r="AU93" s="246">
        <f t="shared" ca="1" si="246"/>
        <v>230520.55084745766</v>
      </c>
      <c r="AV93" s="246">
        <f t="shared" ref="AV93" ca="1" si="247">SUM(AV86:AV92)</f>
        <v>229758.89830508479</v>
      </c>
    </row>
    <row r="94" spans="1:48" x14ac:dyDescent="0.2">
      <c r="A94" s="65"/>
      <c r="D94" s="57"/>
      <c r="E94" s="243"/>
      <c r="F94" s="57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</row>
    <row r="95" spans="1:48" x14ac:dyDescent="0.2">
      <c r="A95" s="131" t="str">
        <f ca="1">Language!A1257</f>
        <v>ИТОГО АКТИВОВ</v>
      </c>
      <c r="B95" s="248"/>
      <c r="C95" s="133" t="str">
        <f ca="1">Параметры!$C$64</f>
        <v>тыс. руб.</v>
      </c>
      <c r="D95" s="68"/>
      <c r="E95" s="250" t="s">
        <v>1499</v>
      </c>
      <c r="F95" s="68" t="s">
        <v>754</v>
      </c>
      <c r="G95" s="251">
        <f ca="1">G84+G93</f>
        <v>3584104.7039441094</v>
      </c>
      <c r="H95" s="251">
        <f t="shared" ref="H95:K95" ca="1" si="248">H84+H93</f>
        <v>3476986.8927689819</v>
      </c>
      <c r="I95" s="251">
        <f t="shared" ca="1" si="248"/>
        <v>3480771.4381208434</v>
      </c>
      <c r="J95" s="251">
        <f t="shared" ca="1" si="248"/>
        <v>3485461.4044317971</v>
      </c>
      <c r="K95" s="251">
        <f t="shared" ca="1" si="248"/>
        <v>3632010.7623841311</v>
      </c>
      <c r="L95" s="251">
        <f t="shared" ref="L95:M95" ca="1" si="249">L84+L93</f>
        <v>3622127.4576166212</v>
      </c>
      <c r="M95" s="251">
        <f t="shared" ca="1" si="249"/>
        <v>3594874.2107922081</v>
      </c>
      <c r="N95" s="251">
        <f t="shared" ref="N95:O95" ca="1" si="250">N84+N93</f>
        <v>3609505.3781462018</v>
      </c>
      <c r="O95" s="251">
        <f t="shared" ca="1" si="250"/>
        <v>3819938.8054575324</v>
      </c>
      <c r="P95" s="251">
        <f t="shared" ref="P95:Q95" ca="1" si="251">P84+P93</f>
        <v>3852232.6275221175</v>
      </c>
      <c r="Q95" s="251">
        <f t="shared" ca="1" si="251"/>
        <v>3870279.5811152663</v>
      </c>
      <c r="R95" s="251">
        <f t="shared" ref="R95:S95" ca="1" si="252">R84+R93</f>
        <v>3922347.4356532078</v>
      </c>
      <c r="S95" s="251">
        <f t="shared" ca="1" si="252"/>
        <v>4170825.3907074886</v>
      </c>
      <c r="T95" s="251">
        <f t="shared" ref="T95:U95" ca="1" si="253">T84+T93</f>
        <v>4219001.3208816666</v>
      </c>
      <c r="U95" s="251">
        <f t="shared" ca="1" si="253"/>
        <v>4204729.9587773811</v>
      </c>
      <c r="V95" s="251">
        <f t="shared" ref="V95:W95" ca="1" si="254">V84+V93</f>
        <v>4198142.5163119333</v>
      </c>
      <c r="W95" s="251">
        <f t="shared" ca="1" si="254"/>
        <v>4310381.0824248791</v>
      </c>
      <c r="X95" s="251">
        <f t="shared" ref="X95:Y95" ca="1" si="255">X84+X93</f>
        <v>4238677.7578734504</v>
      </c>
      <c r="Y95" s="251">
        <f t="shared" ca="1" si="255"/>
        <v>4219846.6211880706</v>
      </c>
      <c r="Z95" s="251">
        <f t="shared" ref="Z95:AA95" ca="1" si="256">Z84+Z93</f>
        <v>4210960.1763284523</v>
      </c>
      <c r="AA95" s="251">
        <f t="shared" ca="1" si="256"/>
        <v>4327956.6491947733</v>
      </c>
      <c r="AB95" s="251">
        <f t="shared" ref="AB95:AC95" ca="1" si="257">AB84+AB93</f>
        <v>4249901.2839528564</v>
      </c>
      <c r="AC95" s="251">
        <f t="shared" ca="1" si="257"/>
        <v>4232354.0513046253</v>
      </c>
      <c r="AD95" s="251">
        <f t="shared" ref="AD95:AE95" ca="1" si="258">AD84+AD93</f>
        <v>4223036.0551436208</v>
      </c>
      <c r="AE95" s="251">
        <f t="shared" ca="1" si="258"/>
        <v>4347051.5787167363</v>
      </c>
      <c r="AF95" s="251">
        <f t="shared" ref="AF95:AG95" ca="1" si="259">AF84+AF93</f>
        <v>4264207.8141127722</v>
      </c>
      <c r="AG95" s="251">
        <f t="shared" ca="1" si="259"/>
        <v>4241963.6533985799</v>
      </c>
      <c r="AH95" s="251">
        <f t="shared" ref="AH95:AI95" ca="1" si="260">AH84+AH93</f>
        <v>4230296.0190429995</v>
      </c>
      <c r="AI95" s="251">
        <f t="shared" ca="1" si="260"/>
        <v>4359867.9987477595</v>
      </c>
      <c r="AJ95" s="251">
        <f t="shared" ref="AJ95:AK95" ca="1" si="261">AJ84+AJ93</f>
        <v>4270073.8319789618</v>
      </c>
      <c r="AK95" s="251">
        <f t="shared" ca="1" si="261"/>
        <v>4242583.4804227231</v>
      </c>
      <c r="AL95" s="251">
        <f t="shared" ref="AL95:AM95" ca="1" si="262">AL84+AL93</f>
        <v>4227159.8278723527</v>
      </c>
      <c r="AM95" s="251">
        <f t="shared" ca="1" si="262"/>
        <v>4578935.8403364308</v>
      </c>
      <c r="AN95" s="251">
        <f t="shared" ref="AN95:AO95" ca="1" si="263">AN84+AN93</f>
        <v>4702349.5443291496</v>
      </c>
      <c r="AO95" s="251">
        <f t="shared" ca="1" si="263"/>
        <v>4792999.3700148556</v>
      </c>
      <c r="AP95" s="251">
        <f t="shared" ref="AP95:AQ95" ca="1" si="264">AP84+AP93</f>
        <v>4932699.1102175303</v>
      </c>
      <c r="AQ95" s="251">
        <f t="shared" ca="1" si="264"/>
        <v>5420673.329631119</v>
      </c>
      <c r="AR95" s="251">
        <f t="shared" ref="AR95:AS95" ca="1" si="265">AR84+AR93</f>
        <v>5624889.4572653966</v>
      </c>
      <c r="AS95" s="251">
        <f t="shared" ca="1" si="265"/>
        <v>5767351.8440642981</v>
      </c>
      <c r="AT95" s="251">
        <f t="shared" ref="AT95:AU95" ca="1" si="266">AT84+AT93</f>
        <v>5962275.1579174669</v>
      </c>
      <c r="AU95" s="251">
        <f t="shared" ca="1" si="266"/>
        <v>6458753.0729841255</v>
      </c>
      <c r="AV95" s="251">
        <f t="shared" ref="AV95" ca="1" si="267">AV84+AV93</f>
        <v>6654044.957353536</v>
      </c>
    </row>
    <row r="96" spans="1:48" x14ac:dyDescent="0.2">
      <c r="A96" s="65"/>
      <c r="D96" s="57"/>
      <c r="E96" s="243"/>
      <c r="F96" s="57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</row>
    <row r="97" spans="1:48" x14ac:dyDescent="0.2">
      <c r="A97" s="99" t="str">
        <f ca="1">Language!A1258</f>
        <v>Кредиторская задолженность перед поставщиками</v>
      </c>
      <c r="C97" s="130" t="str">
        <f ca="1">Параметры!$C$64</f>
        <v>тыс. руб.</v>
      </c>
      <c r="D97" s="57"/>
      <c r="E97" s="243" t="s">
        <v>1500</v>
      </c>
      <c r="F97" s="57" t="s">
        <v>754</v>
      </c>
      <c r="G97" s="138">
        <f ca="1">Проект!G647 / Параметры!G$64</f>
        <v>60339</v>
      </c>
      <c r="H97" s="138">
        <f ca="1">Проект!H647 / Параметры!H$64</f>
        <v>60339</v>
      </c>
      <c r="I97" s="138">
        <f ca="1">Проект!I647 / Параметры!I$64</f>
        <v>60339</v>
      </c>
      <c r="J97" s="138">
        <f ca="1">Проект!J647 / Параметры!J$64</f>
        <v>60339</v>
      </c>
      <c r="K97" s="138">
        <f ca="1">Проект!K647 / Параметры!K$64</f>
        <v>60339</v>
      </c>
      <c r="L97" s="138">
        <f ca="1">Проект!L647 / Параметры!L$64</f>
        <v>60339</v>
      </c>
      <c r="M97" s="138">
        <f ca="1">Проект!M647 / Параметры!M$64</f>
        <v>60339</v>
      </c>
      <c r="N97" s="138">
        <f ca="1">Проект!N647 / Параметры!N$64</f>
        <v>60339</v>
      </c>
      <c r="O97" s="138">
        <f ca="1">Проект!O647 / Параметры!O$64</f>
        <v>60339</v>
      </c>
      <c r="P97" s="138">
        <f ca="1">Проект!P647 / Параметры!P$64</f>
        <v>60339</v>
      </c>
      <c r="Q97" s="138">
        <f ca="1">Проект!Q647 / Параметры!Q$64</f>
        <v>60339</v>
      </c>
      <c r="R97" s="138">
        <f ca="1">Проект!R647 / Параметры!R$64</f>
        <v>60339</v>
      </c>
      <c r="S97" s="138">
        <f ca="1">Проект!S647 / Параметры!S$64</f>
        <v>60339</v>
      </c>
      <c r="T97" s="138">
        <f ca="1">Проект!T647 / Параметры!T$64</f>
        <v>60339</v>
      </c>
      <c r="U97" s="138">
        <f ca="1">Проект!U647 / Параметры!U$64</f>
        <v>60339</v>
      </c>
      <c r="V97" s="138">
        <f ca="1">Проект!V647 / Параметры!V$64</f>
        <v>60339</v>
      </c>
      <c r="W97" s="138">
        <f ca="1">Проект!W647 / Параметры!W$64</f>
        <v>60339</v>
      </c>
      <c r="X97" s="138">
        <f ca="1">Проект!X647 / Параметры!X$64</f>
        <v>60339</v>
      </c>
      <c r="Y97" s="138">
        <f ca="1">Проект!Y647 / Параметры!Y$64</f>
        <v>60339</v>
      </c>
      <c r="Z97" s="138">
        <f ca="1">Проект!Z647 / Параметры!Z$64</f>
        <v>60339</v>
      </c>
      <c r="AA97" s="138">
        <f ca="1">Проект!AA647 / Параметры!AA$64</f>
        <v>60339</v>
      </c>
      <c r="AB97" s="138">
        <f ca="1">Проект!AB647 / Параметры!AB$64</f>
        <v>60339</v>
      </c>
      <c r="AC97" s="138">
        <f ca="1">Проект!AC647 / Параметры!AC$64</f>
        <v>60339</v>
      </c>
      <c r="AD97" s="138">
        <f ca="1">Проект!AD647 / Параметры!AD$64</f>
        <v>60339</v>
      </c>
      <c r="AE97" s="138">
        <f ca="1">Проект!AE647 / Параметры!AE$64</f>
        <v>60339</v>
      </c>
      <c r="AF97" s="138">
        <f ca="1">Проект!AF647 / Параметры!AF$64</f>
        <v>60339</v>
      </c>
      <c r="AG97" s="138">
        <f ca="1">Проект!AG647 / Параметры!AG$64</f>
        <v>60339</v>
      </c>
      <c r="AH97" s="138">
        <f ca="1">Проект!AH647 / Параметры!AH$64</f>
        <v>60339</v>
      </c>
      <c r="AI97" s="138">
        <f ca="1">Проект!AI647 / Параметры!AI$64</f>
        <v>60339</v>
      </c>
      <c r="AJ97" s="138">
        <f ca="1">Проект!AJ647 / Параметры!AJ$64</f>
        <v>60339</v>
      </c>
      <c r="AK97" s="138">
        <f ca="1">Проект!AK647 / Параметры!AK$64</f>
        <v>60339</v>
      </c>
      <c r="AL97" s="138">
        <f ca="1">Проект!AL647 / Параметры!AL$64</f>
        <v>60339</v>
      </c>
      <c r="AM97" s="138">
        <f ca="1">Проект!AM647 / Параметры!AM$64</f>
        <v>60339</v>
      </c>
      <c r="AN97" s="138">
        <f ca="1">Проект!AN647 / Параметры!AN$64</f>
        <v>60339</v>
      </c>
      <c r="AO97" s="138">
        <f ca="1">Проект!AO647 / Параметры!AO$64</f>
        <v>60339</v>
      </c>
      <c r="AP97" s="138">
        <f ca="1">Проект!AP647 / Параметры!AP$64</f>
        <v>60339</v>
      </c>
      <c r="AQ97" s="138">
        <f ca="1">Проект!AQ647 / Параметры!AQ$64</f>
        <v>60339</v>
      </c>
      <c r="AR97" s="138">
        <f ca="1">Проект!AR647 / Параметры!AR$64</f>
        <v>60339</v>
      </c>
      <c r="AS97" s="138">
        <f ca="1">Проект!AS647 / Параметры!AS$64</f>
        <v>60339</v>
      </c>
      <c r="AT97" s="138">
        <f ca="1">Проект!AT647 / Параметры!AT$64</f>
        <v>60339</v>
      </c>
      <c r="AU97" s="138">
        <f ca="1">Проект!AU647 / Параметры!AU$64</f>
        <v>60339</v>
      </c>
      <c r="AV97" s="138">
        <f ca="1">Проект!AV647 / Параметры!AV$64</f>
        <v>60339</v>
      </c>
    </row>
    <row r="98" spans="1:48" x14ac:dyDescent="0.2">
      <c r="A98" s="99" t="str">
        <f ca="1">Language!A1259</f>
        <v>Кредиторская задолженность за внеоборотные активы</v>
      </c>
      <c r="C98" s="130" t="str">
        <f ca="1">Параметры!$C$64</f>
        <v>тыс. руб.</v>
      </c>
      <c r="D98" s="57"/>
      <c r="E98" s="243" t="s">
        <v>1501</v>
      </c>
      <c r="F98" s="57" t="s">
        <v>754</v>
      </c>
      <c r="G98" s="138">
        <f>Проект!G670 / Параметры!G$64</f>
        <v>256388.13559322039</v>
      </c>
      <c r="H98" s="138">
        <f>Проект!H670 / Параметры!H$64</f>
        <v>148116.94915254239</v>
      </c>
      <c r="I98" s="138">
        <f>Проект!I670 / Параметры!I$64</f>
        <v>69506.779661016961</v>
      </c>
      <c r="J98" s="138">
        <f>Проект!J670 / Параметры!J$64</f>
        <v>0</v>
      </c>
      <c r="K98" s="138">
        <f>Проект!K670 / Параметры!K$64</f>
        <v>0</v>
      </c>
      <c r="L98" s="138">
        <f>Проект!L670 / Параметры!L$64</f>
        <v>0</v>
      </c>
      <c r="M98" s="138">
        <f>Проект!M670 / Параметры!M$64</f>
        <v>0</v>
      </c>
      <c r="N98" s="138">
        <f>Проект!N670 / Параметры!N$64</f>
        <v>0</v>
      </c>
      <c r="O98" s="138">
        <f>Проект!O670 / Параметры!O$64</f>
        <v>0</v>
      </c>
      <c r="P98" s="138">
        <f>Проект!P670 / Параметры!P$64</f>
        <v>0</v>
      </c>
      <c r="Q98" s="138">
        <f>Проект!Q670 / Параметры!Q$64</f>
        <v>0</v>
      </c>
      <c r="R98" s="138">
        <f>Проект!R670 / Параметры!R$64</f>
        <v>0</v>
      </c>
      <c r="S98" s="138">
        <f>Проект!S670 / Параметры!S$64</f>
        <v>0</v>
      </c>
      <c r="T98" s="138">
        <f>Проект!T670 / Параметры!T$64</f>
        <v>0</v>
      </c>
      <c r="U98" s="138">
        <f>Проект!U670 / Параметры!U$64</f>
        <v>0</v>
      </c>
      <c r="V98" s="138">
        <f>Проект!V670 / Параметры!V$64</f>
        <v>0</v>
      </c>
      <c r="W98" s="138">
        <f>Проект!W670 / Параметры!W$64</f>
        <v>0</v>
      </c>
      <c r="X98" s="138">
        <f>Проект!X670 / Параметры!X$64</f>
        <v>0</v>
      </c>
      <c r="Y98" s="138">
        <f>Проект!Y670 / Параметры!Y$64</f>
        <v>0</v>
      </c>
      <c r="Z98" s="138">
        <f>Проект!Z670 / Параметры!Z$64</f>
        <v>0</v>
      </c>
      <c r="AA98" s="138">
        <f>Проект!AA670 / Параметры!AA$64</f>
        <v>0</v>
      </c>
      <c r="AB98" s="138">
        <f>Проект!AB670 / Параметры!AB$64</f>
        <v>0</v>
      </c>
      <c r="AC98" s="138">
        <f>Проект!AC670 / Параметры!AC$64</f>
        <v>0</v>
      </c>
      <c r="AD98" s="138">
        <f>Проект!AD670 / Параметры!AD$64</f>
        <v>0</v>
      </c>
      <c r="AE98" s="138">
        <f>Проект!AE670 / Параметры!AE$64</f>
        <v>0</v>
      </c>
      <c r="AF98" s="138">
        <f>Проект!AF670 / Параметры!AF$64</f>
        <v>0</v>
      </c>
      <c r="AG98" s="138">
        <f>Проект!AG670 / Параметры!AG$64</f>
        <v>0</v>
      </c>
      <c r="AH98" s="138">
        <f>Проект!AH670 / Параметры!AH$64</f>
        <v>0</v>
      </c>
      <c r="AI98" s="138">
        <f>Проект!AI670 / Параметры!AI$64</f>
        <v>0</v>
      </c>
      <c r="AJ98" s="138">
        <f>Проект!AJ670 / Параметры!AJ$64</f>
        <v>0</v>
      </c>
      <c r="AK98" s="138">
        <f>Проект!AK670 / Параметры!AK$64</f>
        <v>0</v>
      </c>
      <c r="AL98" s="138">
        <f>Проект!AL670 / Параметры!AL$64</f>
        <v>0</v>
      </c>
      <c r="AM98" s="138">
        <f>Проект!AM670 / Параметры!AM$64</f>
        <v>0</v>
      </c>
      <c r="AN98" s="138">
        <f>Проект!AN670 / Параметры!AN$64</f>
        <v>0</v>
      </c>
      <c r="AO98" s="138">
        <f>Проект!AO670 / Параметры!AO$64</f>
        <v>0</v>
      </c>
      <c r="AP98" s="138">
        <f>Проект!AP670 / Параметры!AP$64</f>
        <v>0</v>
      </c>
      <c r="AQ98" s="138">
        <f>Проект!AQ670 / Параметры!AQ$64</f>
        <v>0</v>
      </c>
      <c r="AR98" s="138">
        <f>Проект!AR670 / Параметры!AR$64</f>
        <v>0</v>
      </c>
      <c r="AS98" s="138">
        <f>Проект!AS670 / Параметры!AS$64</f>
        <v>0</v>
      </c>
      <c r="AT98" s="138">
        <f>Проект!AT670 / Параметры!AT$64</f>
        <v>0</v>
      </c>
      <c r="AU98" s="138">
        <f>Проект!AU670 / Параметры!AU$64</f>
        <v>0</v>
      </c>
      <c r="AV98" s="138">
        <f>Проект!AV670 / Параметры!AV$64</f>
        <v>0</v>
      </c>
    </row>
    <row r="99" spans="1:48" x14ac:dyDescent="0.2">
      <c r="A99" s="99" t="str">
        <f ca="1">Language!A1260</f>
        <v>Расчеты с бюджетом и внебюджетными фондами</v>
      </c>
      <c r="C99" s="130" t="str">
        <f ca="1">Параметры!$C$64</f>
        <v>тыс. руб.</v>
      </c>
      <c r="D99" s="57"/>
      <c r="E99" s="243" t="s">
        <v>1502</v>
      </c>
      <c r="F99" s="57" t="s">
        <v>754</v>
      </c>
      <c r="G99" s="138">
        <f ca="1">Проект!G665/ Параметры!G$64</f>
        <v>-14507.259502076282</v>
      </c>
      <c r="H99" s="138">
        <f ca="1">Проект!H665/ Параметры!H$64</f>
        <v>2438.084831703894</v>
      </c>
      <c r="I99" s="138">
        <f ca="1">Проект!I665/ Параметры!I$64</f>
        <v>2139.3027987164146</v>
      </c>
      <c r="J99" s="138">
        <f ca="1">Проект!J665/ Параметры!J$64</f>
        <v>4046.7838209169704</v>
      </c>
      <c r="K99" s="138">
        <f ca="1">Проект!K665/ Параметры!K$64</f>
        <v>9364.5218375162585</v>
      </c>
      <c r="L99" s="138">
        <f ca="1">Проект!L665/ Параметры!L$64</f>
        <v>4621.0198891219197</v>
      </c>
      <c r="M99" s="138">
        <f ca="1">Проект!M665/ Параметры!M$64</f>
        <v>3497.9353061670677</v>
      </c>
      <c r="N99" s="138">
        <f ca="1">Проект!N665/ Параметры!N$64</f>
        <v>5444.3099830866486</v>
      </c>
      <c r="O99" s="138">
        <f ca="1">Проект!O665/ Параметры!O$64</f>
        <v>11500.36143160629</v>
      </c>
      <c r="P99" s="138">
        <f ca="1">Проект!P665/ Параметры!P$64</f>
        <v>6087.1371933902919</v>
      </c>
      <c r="Q99" s="138">
        <f ca="1">Проект!Q665/ Параметры!Q$64</f>
        <v>4736.1571041898806</v>
      </c>
      <c r="R99" s="138">
        <f ca="1">Проект!R665/ Параметры!R$64</f>
        <v>6566.3426810423889</v>
      </c>
      <c r="S99" s="138">
        <f ca="1">Проект!S665/ Параметры!S$64</f>
        <v>12745.727032314702</v>
      </c>
      <c r="T99" s="138">
        <f ca="1">Проект!T665/ Параметры!T$64</f>
        <v>6760.4635622989381</v>
      </c>
      <c r="U99" s="138">
        <f ca="1">Проект!U665/ Параметры!U$64</f>
        <v>5464.4469090148768</v>
      </c>
      <c r="V99" s="138">
        <f ca="1">Проект!V665/ Параметры!V$64</f>
        <v>7410.9605745940917</v>
      </c>
      <c r="W99" s="138">
        <f ca="1">Проект!W665/ Параметры!W$64</f>
        <v>13967.720569840485</v>
      </c>
      <c r="X99" s="138">
        <f ca="1">Проект!X665/ Параметры!X$64</f>
        <v>7630.0509065457281</v>
      </c>
      <c r="Y99" s="138">
        <f ca="1">Проект!Y665/ Параметры!Y$64</f>
        <v>5746.9592955004755</v>
      </c>
      <c r="Z99" s="138">
        <f ca="1">Проект!Z665/ Параметры!Z$64</f>
        <v>7809.5982571140885</v>
      </c>
      <c r="AA99" s="138">
        <f ca="1">Проект!AA665/ Параметры!AA$64</f>
        <v>14759.08856237958</v>
      </c>
      <c r="AB99" s="138">
        <f ca="1">Проект!AB665/ Параметры!AB$64</f>
        <v>8040.4735204943354</v>
      </c>
      <c r="AC99" s="138">
        <f ca="1">Проект!AC665/ Параметры!AC$64</f>
        <v>6315.8582212234533</v>
      </c>
      <c r="AD99" s="138">
        <f ca="1">Проект!AD665/ Параметры!AD$64</f>
        <v>8505.5436560570761</v>
      </c>
      <c r="AE99" s="138">
        <f ca="1">Проект!AE665/ Параметры!AE$64</f>
        <v>15875.339764756534</v>
      </c>
      <c r="AF99" s="138">
        <f ca="1">Проект!AF665/ Параметры!AF$64</f>
        <v>8756.9931630781994</v>
      </c>
      <c r="AG99" s="138">
        <f ca="1">Проект!AG665/ Параметры!AG$64</f>
        <v>6759.9987701770242</v>
      </c>
      <c r="AH99" s="138">
        <f ca="1">Проект!AH665/ Параметры!AH$64</f>
        <v>9082.0219052756038</v>
      </c>
      <c r="AI99" s="138">
        <f ca="1">Проект!AI665/ Параметры!AI$64</f>
        <v>16894.976391294258</v>
      </c>
      <c r="AJ99" s="138">
        <f ca="1">Проект!AJ665/ Параметры!AJ$64</f>
        <v>9350.5138469059657</v>
      </c>
      <c r="AK99" s="138">
        <f ca="1">Проект!AK665/ Параметры!AK$64</f>
        <v>7130.7414010650937</v>
      </c>
      <c r="AL99" s="138">
        <f ca="1">Проект!AL665/ Параметры!AL$64</f>
        <v>9591.5744336801599</v>
      </c>
      <c r="AM99" s="138">
        <f ca="1">Проект!AM665/ Параметры!AM$64</f>
        <v>17872.78719273629</v>
      </c>
      <c r="AN99" s="138">
        <f ca="1">Проект!AN665/ Параметры!AN$64</f>
        <v>9875.13028389178</v>
      </c>
      <c r="AO99" s="138">
        <f ca="1">Проект!AO665/ Параметры!AO$64</f>
        <v>7543.4708858420963</v>
      </c>
      <c r="AP99" s="138">
        <f ca="1">Проект!AP665/ Параметры!AP$64</f>
        <v>10151.732105239695</v>
      </c>
      <c r="AQ99" s="138">
        <f ca="1">Проект!AQ665/ Параметры!AQ$64</f>
        <v>18929.592580076547</v>
      </c>
      <c r="AR99" s="138">
        <f ca="1">Проект!AR665/ Параметры!AR$64</f>
        <v>10451.847904593122</v>
      </c>
      <c r="AS99" s="138">
        <f ca="1">Проект!AS665/ Параметры!AS$64</f>
        <v>7108.5386787233801</v>
      </c>
      <c r="AT99" s="138">
        <f ca="1">Проект!AT665/ Параметры!AT$64</f>
        <v>9860.2719391023784</v>
      </c>
      <c r="AU99" s="138">
        <f ca="1">Проект!AU665/ Параметры!AU$64</f>
        <v>19151.589303471796</v>
      </c>
      <c r="AV99" s="138">
        <f ca="1">Проект!AV665/ Параметры!AV$64</f>
        <v>10151.771297455078</v>
      </c>
    </row>
    <row r="100" spans="1:48" x14ac:dyDescent="0.2">
      <c r="A100" s="99" t="str">
        <f ca="1">Language!A1261</f>
        <v>Расчеты с персоналом</v>
      </c>
      <c r="C100" s="130" t="str">
        <f ca="1">Параметры!$C$64</f>
        <v>тыс. руб.</v>
      </c>
      <c r="D100" s="57"/>
      <c r="E100" s="243" t="s">
        <v>1503</v>
      </c>
      <c r="F100" s="57" t="s">
        <v>754</v>
      </c>
      <c r="G100" s="138">
        <f ca="1">Проект!G659 / Параметры!G$64</f>
        <v>3570</v>
      </c>
      <c r="H100" s="138">
        <f ca="1">Проект!H659 / Параметры!H$64</f>
        <v>3622.3856308221139</v>
      </c>
      <c r="I100" s="138">
        <f ca="1">Проект!I659 / Параметры!I$64</f>
        <v>4410.6479523988328</v>
      </c>
      <c r="J100" s="138">
        <f ca="1">Проект!J659 / Параметры!J$64</f>
        <v>4475.3691219564435</v>
      </c>
      <c r="K100" s="138">
        <f ca="1">Проект!K659 / Параметры!K$64</f>
        <v>4541.04</v>
      </c>
      <c r="L100" s="138">
        <f ca="1">Проект!L659 / Параметры!L$64</f>
        <v>4607.6745224057286</v>
      </c>
      <c r="M100" s="138">
        <f ca="1">Проект!M659 / Параметры!M$64</f>
        <v>5156.5663561133397</v>
      </c>
      <c r="N100" s="138">
        <f ca="1">Проект!N659 / Параметры!N$64</f>
        <v>5232.2330175814304</v>
      </c>
      <c r="O100" s="138">
        <f ca="1">Проект!O659 / Параметры!O$64</f>
        <v>5309.01</v>
      </c>
      <c r="P100" s="138">
        <f ca="1">Проект!P659 / Параметры!P$64</f>
        <v>5386.9135960478743</v>
      </c>
      <c r="Q100" s="138">
        <f ca="1">Проект!Q659 / Параметры!Q$64</f>
        <v>5465.9603374801391</v>
      </c>
      <c r="R100" s="138">
        <f ca="1">Проект!R659 / Параметры!R$64</f>
        <v>5546.1669986363167</v>
      </c>
      <c r="S100" s="138">
        <f ca="1">Проект!S659 / Параметры!S$64</f>
        <v>5627.5506000000005</v>
      </c>
      <c r="T100" s="138">
        <f ca="1">Проект!T659 / Параметры!T$64</f>
        <v>5710.1284118107469</v>
      </c>
      <c r="U100" s="138">
        <f ca="1">Проект!U659 / Параметры!U$64</f>
        <v>5793.9179577289487</v>
      </c>
      <c r="V100" s="138">
        <f ca="1">Проект!V659 / Параметры!V$64</f>
        <v>5878.9370185544949</v>
      </c>
      <c r="W100" s="138">
        <f ca="1">Проект!W659 / Параметры!W$64</f>
        <v>5965.2036360000002</v>
      </c>
      <c r="X100" s="138">
        <f ca="1">Проект!X659 / Параметры!X$64</f>
        <v>6052.7361165193915</v>
      </c>
      <c r="Y100" s="138">
        <f ca="1">Проект!Y659 / Параметры!Y$64</f>
        <v>6141.5530351926855</v>
      </c>
      <c r="Z100" s="138">
        <f ca="1">Проект!Z659 / Параметры!Z$64</f>
        <v>6231.6732396677671</v>
      </c>
      <c r="AA100" s="138">
        <f ca="1">Проект!AA659 / Параметры!AA$64</f>
        <v>6323.1158541600016</v>
      </c>
      <c r="AB100" s="138">
        <f ca="1">Проект!AB659 / Параметры!AB$64</f>
        <v>6415.9002835105557</v>
      </c>
      <c r="AC100" s="138">
        <f ca="1">Проект!AC659 / Параметры!AC$64</f>
        <v>6510.0462173042479</v>
      </c>
      <c r="AD100" s="138">
        <f ca="1">Проект!AD659 / Параметры!AD$64</f>
        <v>6605.5736340478325</v>
      </c>
      <c r="AE100" s="138">
        <f ca="1">Проект!AE659 / Параметры!AE$64</f>
        <v>6702.502805409601</v>
      </c>
      <c r="AF100" s="138">
        <f ca="1">Проект!AF659 / Параметры!AF$64</f>
        <v>6800.8543005211895</v>
      </c>
      <c r="AG100" s="138">
        <f ca="1">Проект!AG659 / Параметры!AG$64</f>
        <v>6900.6489903425017</v>
      </c>
      <c r="AH100" s="138">
        <f ca="1">Проект!AH659 / Параметры!AH$64</f>
        <v>7001.9080520907028</v>
      </c>
      <c r="AI100" s="138">
        <f ca="1">Проект!AI659 / Параметры!AI$64</f>
        <v>7104.6529737341798</v>
      </c>
      <c r="AJ100" s="138">
        <f ca="1">Проект!AJ659 / Параметры!AJ$64</f>
        <v>7208.905558552462</v>
      </c>
      <c r="AK100" s="138">
        <f ca="1">Проект!AK659 / Параметры!AK$64</f>
        <v>7314.6879297630539</v>
      </c>
      <c r="AL100" s="138">
        <f ca="1">Проект!AL659 / Параметры!AL$64</f>
        <v>7422.022535216146</v>
      </c>
      <c r="AM100" s="138">
        <f ca="1">Проект!AM659 / Параметры!AM$64</f>
        <v>7530.9321521582306</v>
      </c>
      <c r="AN100" s="138">
        <f ca="1">Проект!AN659 / Параметры!AN$64</f>
        <v>7641.4398920656104</v>
      </c>
      <c r="AO100" s="138">
        <f ca="1">Проект!AO659 / Параметры!AO$64</f>
        <v>7753.5692055488371</v>
      </c>
      <c r="AP100" s="138">
        <f ca="1">Проект!AP659 / Параметры!AP$64</f>
        <v>7867.3438873291143</v>
      </c>
      <c r="AQ100" s="138">
        <f ca="1">Проект!AQ659 / Параметры!AQ$64</f>
        <v>7982.7880812877247</v>
      </c>
      <c r="AR100" s="138">
        <f ca="1">Проект!AR659 / Параметры!AR$64</f>
        <v>8099.9262855895486</v>
      </c>
      <c r="AS100" s="138">
        <f ca="1">Проект!AS659 / Параметры!AS$64</f>
        <v>8218.7833578817699</v>
      </c>
      <c r="AT100" s="138">
        <f ca="1">Проект!AT659 / Параметры!AT$64</f>
        <v>8339.3845205688631</v>
      </c>
      <c r="AU100" s="138">
        <f ca="1">Проект!AU659 / Параметры!AU$64</f>
        <v>8461.755366164989</v>
      </c>
      <c r="AV100" s="138">
        <f ca="1">Проект!AV659 / Параметры!AV$64</f>
        <v>8585.9218627249211</v>
      </c>
    </row>
    <row r="101" spans="1:48" x14ac:dyDescent="0.2">
      <c r="A101" s="99" t="str">
        <f ca="1">Language!A1262</f>
        <v>Полученные авансы покупателей</v>
      </c>
      <c r="C101" s="130" t="str">
        <f ca="1">Параметры!$C$64</f>
        <v>тыс. руб.</v>
      </c>
      <c r="D101" s="57"/>
      <c r="E101" s="243" t="s">
        <v>1504</v>
      </c>
      <c r="F101" s="57" t="s">
        <v>754</v>
      </c>
      <c r="G101" s="138">
        <f ca="1">(Проект!G625+Проект!G626) / Параметры!G$64</f>
        <v>0</v>
      </c>
      <c r="H101" s="138">
        <f ca="1">(Проект!H625+Проект!H626) / Параметры!H$64</f>
        <v>0</v>
      </c>
      <c r="I101" s="138">
        <f ca="1">(Проект!I625+Проект!I626) / Параметры!I$64</f>
        <v>0</v>
      </c>
      <c r="J101" s="138">
        <f ca="1">(Проект!J625+Проект!J626) / Параметры!J$64</f>
        <v>0</v>
      </c>
      <c r="K101" s="138">
        <f ca="1">(Проект!K625+Проект!K626) / Параметры!K$64</f>
        <v>0</v>
      </c>
      <c r="L101" s="138">
        <f ca="1">(Проект!L625+Проект!L626) / Параметры!L$64</f>
        <v>0</v>
      </c>
      <c r="M101" s="138">
        <f ca="1">(Проект!M625+Проект!M626) / Параметры!M$64</f>
        <v>0</v>
      </c>
      <c r="N101" s="138">
        <f ca="1">(Проект!N625+Проект!N626) / Параметры!N$64</f>
        <v>0</v>
      </c>
      <c r="O101" s="138">
        <f ca="1">(Проект!O625+Проект!O626) / Параметры!O$64</f>
        <v>0</v>
      </c>
      <c r="P101" s="138">
        <f ca="1">(Проект!P625+Проект!P626) / Параметры!P$64</f>
        <v>0</v>
      </c>
      <c r="Q101" s="138">
        <f ca="1">(Проект!Q625+Проект!Q626) / Параметры!Q$64</f>
        <v>0</v>
      </c>
      <c r="R101" s="138">
        <f ca="1">(Проект!R625+Проект!R626) / Параметры!R$64</f>
        <v>0</v>
      </c>
      <c r="S101" s="138">
        <f ca="1">(Проект!S625+Проект!S626) / Параметры!S$64</f>
        <v>0</v>
      </c>
      <c r="T101" s="138">
        <f ca="1">(Проект!T625+Проект!T626) / Параметры!T$64</f>
        <v>0</v>
      </c>
      <c r="U101" s="138">
        <f ca="1">(Проект!U625+Проект!U626) / Параметры!U$64</f>
        <v>0</v>
      </c>
      <c r="V101" s="138">
        <f ca="1">(Проект!V625+Проект!V626) / Параметры!V$64</f>
        <v>0</v>
      </c>
      <c r="W101" s="138">
        <f ca="1">(Проект!W625+Проект!W626) / Параметры!W$64</f>
        <v>0</v>
      </c>
      <c r="X101" s="138">
        <f ca="1">(Проект!X625+Проект!X626) / Параметры!X$64</f>
        <v>0</v>
      </c>
      <c r="Y101" s="138">
        <f ca="1">(Проект!Y625+Проект!Y626) / Параметры!Y$64</f>
        <v>0</v>
      </c>
      <c r="Z101" s="138">
        <f ca="1">(Проект!Z625+Проект!Z626) / Параметры!Z$64</f>
        <v>0</v>
      </c>
      <c r="AA101" s="138">
        <f ca="1">(Проект!AA625+Проект!AA626) / Параметры!AA$64</f>
        <v>0</v>
      </c>
      <c r="AB101" s="138">
        <f ca="1">(Проект!AB625+Проект!AB626) / Параметры!AB$64</f>
        <v>0</v>
      </c>
      <c r="AC101" s="138">
        <f ca="1">(Проект!AC625+Проект!AC626) / Параметры!AC$64</f>
        <v>0</v>
      </c>
      <c r="AD101" s="138">
        <f ca="1">(Проект!AD625+Проект!AD626) / Параметры!AD$64</f>
        <v>0</v>
      </c>
      <c r="AE101" s="138">
        <f ca="1">(Проект!AE625+Проект!AE626) / Параметры!AE$64</f>
        <v>0</v>
      </c>
      <c r="AF101" s="138">
        <f ca="1">(Проект!AF625+Проект!AF626) / Параметры!AF$64</f>
        <v>0</v>
      </c>
      <c r="AG101" s="138">
        <f ca="1">(Проект!AG625+Проект!AG626) / Параметры!AG$64</f>
        <v>0</v>
      </c>
      <c r="AH101" s="138">
        <f ca="1">(Проект!AH625+Проект!AH626) / Параметры!AH$64</f>
        <v>0</v>
      </c>
      <c r="AI101" s="138">
        <f ca="1">(Проект!AI625+Проект!AI626) / Параметры!AI$64</f>
        <v>0</v>
      </c>
      <c r="AJ101" s="138">
        <f ca="1">(Проект!AJ625+Проект!AJ626) / Параметры!AJ$64</f>
        <v>0</v>
      </c>
      <c r="AK101" s="138">
        <f ca="1">(Проект!AK625+Проект!AK626) / Параметры!AK$64</f>
        <v>0</v>
      </c>
      <c r="AL101" s="138">
        <f ca="1">(Проект!AL625+Проект!AL626) / Параметры!AL$64</f>
        <v>0</v>
      </c>
      <c r="AM101" s="138">
        <f ca="1">(Проект!AM625+Проект!AM626) / Параметры!AM$64</f>
        <v>0</v>
      </c>
      <c r="AN101" s="138">
        <f ca="1">(Проект!AN625+Проект!AN626) / Параметры!AN$64</f>
        <v>0</v>
      </c>
      <c r="AO101" s="138">
        <f ca="1">(Проект!AO625+Проект!AO626) / Параметры!AO$64</f>
        <v>0</v>
      </c>
      <c r="AP101" s="138">
        <f ca="1">(Проект!AP625+Проект!AP626) / Параметры!AP$64</f>
        <v>0</v>
      </c>
      <c r="AQ101" s="138">
        <f ca="1">(Проект!AQ625+Проект!AQ626) / Параметры!AQ$64</f>
        <v>0</v>
      </c>
      <c r="AR101" s="138">
        <f ca="1">(Проект!AR625+Проект!AR626) / Параметры!AR$64</f>
        <v>0</v>
      </c>
      <c r="AS101" s="138">
        <f ca="1">(Проект!AS625+Проект!AS626) / Параметры!AS$64</f>
        <v>0</v>
      </c>
      <c r="AT101" s="138">
        <f ca="1">(Проект!AT625+Проект!AT626) / Параметры!AT$64</f>
        <v>0</v>
      </c>
      <c r="AU101" s="138">
        <f ca="1">(Проект!AU625+Проект!AU626) / Параметры!AU$64</f>
        <v>0</v>
      </c>
      <c r="AV101" s="138">
        <f ca="1">(Проект!AV625+Проект!AV626) / Параметры!AV$64</f>
        <v>0</v>
      </c>
    </row>
    <row r="102" spans="1:48" x14ac:dyDescent="0.2">
      <c r="A102" s="99" t="str">
        <f ca="1">Language!A1263</f>
        <v>Краткосрочные кредиты</v>
      </c>
      <c r="C102" s="130" t="str">
        <f ca="1">Параметры!$C$64</f>
        <v>тыс. руб.</v>
      </c>
      <c r="D102" s="57"/>
      <c r="E102" s="243" t="s">
        <v>1505</v>
      </c>
      <c r="F102" s="57" t="s">
        <v>754</v>
      </c>
      <c r="G102" s="138">
        <f>(Старт!G121+Старт!G125+Проект!G940) / Параметры!G$64</f>
        <v>14528</v>
      </c>
      <c r="H102" s="138">
        <f>(Старт!H121+Старт!H125+Проект!H940) / Параметры!H$64</f>
        <v>14528</v>
      </c>
      <c r="I102" s="138">
        <f>(Старт!I121+Старт!I125+Проект!I940) / Параметры!I$64</f>
        <v>14528</v>
      </c>
      <c r="J102" s="138">
        <f>(Старт!J121+Старт!J125+Проект!J940) / Параметры!J$64</f>
        <v>14528</v>
      </c>
      <c r="K102" s="138">
        <f>(Старт!K121+Старт!K125+Проект!K940) / Параметры!K$64</f>
        <v>14528</v>
      </c>
      <c r="L102" s="138">
        <f>(Старт!L121+Старт!L125+Проект!L940) / Параметры!L$64</f>
        <v>14528</v>
      </c>
      <c r="M102" s="138">
        <f>(Старт!M121+Старт!M125+Проект!M940) / Параметры!M$64</f>
        <v>14528</v>
      </c>
      <c r="N102" s="138">
        <f>(Старт!N121+Старт!N125+Проект!N940) / Параметры!N$64</f>
        <v>14528</v>
      </c>
      <c r="O102" s="138">
        <f>(Старт!O121+Старт!O125+Проект!O940) / Параметры!O$64</f>
        <v>14528</v>
      </c>
      <c r="P102" s="138">
        <f>(Старт!P121+Старт!P125+Проект!P940) / Параметры!P$64</f>
        <v>14528</v>
      </c>
      <c r="Q102" s="138">
        <f>(Старт!Q121+Старт!Q125+Проект!Q940) / Параметры!Q$64</f>
        <v>14528</v>
      </c>
      <c r="R102" s="138">
        <f>(Старт!R121+Старт!R125+Проект!R940) / Параметры!R$64</f>
        <v>14528</v>
      </c>
      <c r="S102" s="138">
        <f>(Старт!S121+Старт!S125+Проект!S940) / Параметры!S$64</f>
        <v>14528</v>
      </c>
      <c r="T102" s="138">
        <f>(Старт!T121+Старт!T125+Проект!T940) / Параметры!T$64</f>
        <v>14528</v>
      </c>
      <c r="U102" s="138">
        <f>(Старт!U121+Старт!U125+Проект!U940) / Параметры!U$64</f>
        <v>14528</v>
      </c>
      <c r="V102" s="138">
        <f>(Старт!V121+Старт!V125+Проект!V940) / Параметры!V$64</f>
        <v>14528</v>
      </c>
      <c r="W102" s="138">
        <f>(Старт!W121+Старт!W125+Проект!W940) / Параметры!W$64</f>
        <v>14528</v>
      </c>
      <c r="X102" s="138">
        <f>(Старт!X121+Старт!X125+Проект!X940) / Параметры!X$64</f>
        <v>14528</v>
      </c>
      <c r="Y102" s="138">
        <f>(Старт!Y121+Старт!Y125+Проект!Y940) / Параметры!Y$64</f>
        <v>14528</v>
      </c>
      <c r="Z102" s="138">
        <f>(Старт!Z121+Старт!Z125+Проект!Z940) / Параметры!Z$64</f>
        <v>14528</v>
      </c>
      <c r="AA102" s="138">
        <f>(Старт!AA121+Старт!AA125+Проект!AA940) / Параметры!AA$64</f>
        <v>14528</v>
      </c>
      <c r="AB102" s="138">
        <f>(Старт!AB121+Старт!AB125+Проект!AB940) / Параметры!AB$64</f>
        <v>14528</v>
      </c>
      <c r="AC102" s="138">
        <f>(Старт!AC121+Старт!AC125+Проект!AC940) / Параметры!AC$64</f>
        <v>14528</v>
      </c>
      <c r="AD102" s="138">
        <f>(Старт!AD121+Старт!AD125+Проект!AD940) / Параметры!AD$64</f>
        <v>14528</v>
      </c>
      <c r="AE102" s="138">
        <f>(Старт!AE121+Старт!AE125+Проект!AE940) / Параметры!AE$64</f>
        <v>14528</v>
      </c>
      <c r="AF102" s="138">
        <f>(Старт!AF121+Старт!AF125+Проект!AF940) / Параметры!AF$64</f>
        <v>14528</v>
      </c>
      <c r="AG102" s="138">
        <f>(Старт!AG121+Старт!AG125+Проект!AG940) / Параметры!AG$64</f>
        <v>14528</v>
      </c>
      <c r="AH102" s="138">
        <f>(Старт!AH121+Старт!AH125+Проект!AH940) / Параметры!AH$64</f>
        <v>14528</v>
      </c>
      <c r="AI102" s="138">
        <f>(Старт!AI121+Старт!AI125+Проект!AI940) / Параметры!AI$64</f>
        <v>14528</v>
      </c>
      <c r="AJ102" s="138">
        <f>(Старт!AJ121+Старт!AJ125+Проект!AJ940) / Параметры!AJ$64</f>
        <v>14528</v>
      </c>
      <c r="AK102" s="138">
        <f>(Старт!AK121+Старт!AK125+Проект!AK940) / Параметры!AK$64</f>
        <v>14528</v>
      </c>
      <c r="AL102" s="138">
        <f>(Старт!AL121+Старт!AL125+Проект!AL940) / Параметры!AL$64</f>
        <v>14528</v>
      </c>
      <c r="AM102" s="138">
        <f>(Старт!AM121+Старт!AM125+Проект!AM940) / Параметры!AM$64</f>
        <v>14528</v>
      </c>
      <c r="AN102" s="138">
        <f>(Старт!AN121+Старт!AN125+Проект!AN940) / Параметры!AN$64</f>
        <v>14528</v>
      </c>
      <c r="AO102" s="138">
        <f>(Старт!AO121+Старт!AO125+Проект!AO940) / Параметры!AO$64</f>
        <v>14528</v>
      </c>
      <c r="AP102" s="138">
        <f>(Старт!AP121+Старт!AP125+Проект!AP940) / Параметры!AP$64</f>
        <v>14528</v>
      </c>
      <c r="AQ102" s="138">
        <f>(Старт!AQ121+Старт!AQ125+Проект!AQ940) / Параметры!AQ$64</f>
        <v>14528</v>
      </c>
      <c r="AR102" s="138">
        <f>(Старт!AR121+Старт!AR125+Проект!AR940) / Параметры!AR$64</f>
        <v>14528</v>
      </c>
      <c r="AS102" s="138">
        <f>(Старт!AS121+Старт!AS125+Проект!AS940) / Параметры!AS$64</f>
        <v>14528</v>
      </c>
      <c r="AT102" s="138">
        <f>(Старт!AT121+Старт!AT125+Проект!AT940) / Параметры!AT$64</f>
        <v>14528</v>
      </c>
      <c r="AU102" s="138">
        <f>(Старт!AU121+Старт!AU125+Проект!AU940) / Параметры!AU$64</f>
        <v>14528</v>
      </c>
      <c r="AV102" s="138">
        <f>(Старт!AV121+Старт!AV125+Проект!AV940) / Параметры!AV$64</f>
        <v>14528</v>
      </c>
    </row>
    <row r="103" spans="1:48" x14ac:dyDescent="0.2">
      <c r="A103" s="99" t="str">
        <f ca="1">Language!A1264</f>
        <v>Прочие краткосрочные обязательства</v>
      </c>
      <c r="C103" s="130" t="str">
        <f ca="1">Параметры!$C$64</f>
        <v>тыс. руб.</v>
      </c>
      <c r="D103" s="57"/>
      <c r="E103" s="243" t="s">
        <v>1506</v>
      </c>
      <c r="F103" s="57" t="s">
        <v>754</v>
      </c>
      <c r="G103" s="138">
        <f>IF(G$2=1,Старт!$B34/Параметры!G$64,F103*Параметры!F$64/Параметры!G$64)</f>
        <v>3929</v>
      </c>
      <c r="H103" s="138">
        <f>IF(H$2=1,Старт!$B34/Параметры!H$64,G103*Параметры!G$64/Параметры!H$64)</f>
        <v>3929</v>
      </c>
      <c r="I103" s="138">
        <f>IF(I$2=1,Старт!$B34/Параметры!I$64,H103*Параметры!H$64/Параметры!I$64)</f>
        <v>3929</v>
      </c>
      <c r="J103" s="138">
        <f>IF(J$2=1,Старт!$B34/Параметры!J$64,I103*Параметры!I$64/Параметры!J$64)</f>
        <v>3929</v>
      </c>
      <c r="K103" s="138">
        <f>IF(K$2=1,Старт!$B34/Параметры!K$64,J103*Параметры!J$64/Параметры!K$64)</f>
        <v>3929</v>
      </c>
      <c r="L103" s="138">
        <f>IF(L$2=1,Старт!$B34/Параметры!L$64,K103*Параметры!K$64/Параметры!L$64)</f>
        <v>3929</v>
      </c>
      <c r="M103" s="138">
        <f>IF(M$2=1,Старт!$B34/Параметры!M$64,L103*Параметры!L$64/Параметры!M$64)</f>
        <v>3929</v>
      </c>
      <c r="N103" s="138">
        <f>IF(N$2=1,Старт!$B34/Параметры!N$64,M103*Параметры!M$64/Параметры!N$64)</f>
        <v>3929</v>
      </c>
      <c r="O103" s="138">
        <f>IF(O$2=1,Старт!$B34/Параметры!O$64,N103*Параметры!N$64/Параметры!O$64)</f>
        <v>3929</v>
      </c>
      <c r="P103" s="138">
        <f>IF(P$2=1,Старт!$B34/Параметры!P$64,O103*Параметры!O$64/Параметры!P$64)</f>
        <v>3929</v>
      </c>
      <c r="Q103" s="138">
        <f>IF(Q$2=1,Старт!$B34/Параметры!Q$64,P103*Параметры!P$64/Параметры!Q$64)</f>
        <v>3929</v>
      </c>
      <c r="R103" s="138">
        <f>IF(R$2=1,Старт!$B34/Параметры!R$64,Q103*Параметры!Q$64/Параметры!R$64)</f>
        <v>3929</v>
      </c>
      <c r="S103" s="138">
        <f>IF(S$2=1,Старт!$B34/Параметры!S$64,R103*Параметры!R$64/Параметры!S$64)</f>
        <v>3929</v>
      </c>
      <c r="T103" s="138">
        <f>IF(T$2=1,Старт!$B34/Параметры!T$64,S103*Параметры!S$64/Параметры!T$64)</f>
        <v>3929</v>
      </c>
      <c r="U103" s="138">
        <f>IF(U$2=1,Старт!$B34/Параметры!U$64,T103*Параметры!T$64/Параметры!U$64)</f>
        <v>3929</v>
      </c>
      <c r="V103" s="138">
        <f>IF(V$2=1,Старт!$B34/Параметры!V$64,U103*Параметры!U$64/Параметры!V$64)</f>
        <v>3929</v>
      </c>
      <c r="W103" s="138">
        <f>IF(W$2=1,Старт!$B34/Параметры!W$64,V103*Параметры!V$64/Параметры!W$64)</f>
        <v>3929</v>
      </c>
      <c r="X103" s="138">
        <f>IF(X$2=1,Старт!$B34/Параметры!X$64,W103*Параметры!W$64/Параметры!X$64)</f>
        <v>3929</v>
      </c>
      <c r="Y103" s="138">
        <f>IF(Y$2=1,Старт!$B34/Параметры!Y$64,X103*Параметры!X$64/Параметры!Y$64)</f>
        <v>3929</v>
      </c>
      <c r="Z103" s="138">
        <f>IF(Z$2=1,Старт!$B34/Параметры!Z$64,Y103*Параметры!Y$64/Параметры!Z$64)</f>
        <v>3929</v>
      </c>
      <c r="AA103" s="138">
        <f>IF(AA$2=1,Старт!$B34/Параметры!AA$64,Z103*Параметры!Z$64/Параметры!AA$64)</f>
        <v>3929</v>
      </c>
      <c r="AB103" s="138">
        <f>IF(AB$2=1,Старт!$B34/Параметры!AB$64,AA103*Параметры!AA$64/Параметры!AB$64)</f>
        <v>3929</v>
      </c>
      <c r="AC103" s="138">
        <f>IF(AC$2=1,Старт!$B34/Параметры!AC$64,AB103*Параметры!AB$64/Параметры!AC$64)</f>
        <v>3929</v>
      </c>
      <c r="AD103" s="138">
        <f>IF(AD$2=1,Старт!$B34/Параметры!AD$64,AC103*Параметры!AC$64/Параметры!AD$64)</f>
        <v>3929</v>
      </c>
      <c r="AE103" s="138">
        <f>IF(AE$2=1,Старт!$B34/Параметры!AE$64,AD103*Параметры!AD$64/Параметры!AE$64)</f>
        <v>3929</v>
      </c>
      <c r="AF103" s="138">
        <f>IF(AF$2=1,Старт!$B34/Параметры!AF$64,AE103*Параметры!AE$64/Параметры!AF$64)</f>
        <v>3929</v>
      </c>
      <c r="AG103" s="138">
        <f>IF(AG$2=1,Старт!$B34/Параметры!AG$64,AF103*Параметры!AF$64/Параметры!AG$64)</f>
        <v>3929</v>
      </c>
      <c r="AH103" s="138">
        <f>IF(AH$2=1,Старт!$B34/Параметры!AH$64,AG103*Параметры!AG$64/Параметры!AH$64)</f>
        <v>3929</v>
      </c>
      <c r="AI103" s="138">
        <f>IF(AI$2=1,Старт!$B34/Параметры!AI$64,AH103*Параметры!AH$64/Параметры!AI$64)</f>
        <v>3929</v>
      </c>
      <c r="AJ103" s="138">
        <f>IF(AJ$2=1,Старт!$B34/Параметры!AJ$64,AI103*Параметры!AI$64/Параметры!AJ$64)</f>
        <v>3929</v>
      </c>
      <c r="AK103" s="138">
        <f>IF(AK$2=1,Старт!$B34/Параметры!AK$64,AJ103*Параметры!AJ$64/Параметры!AK$64)</f>
        <v>3929</v>
      </c>
      <c r="AL103" s="138">
        <f>IF(AL$2=1,Старт!$B34/Параметры!AL$64,AK103*Параметры!AK$64/Параметры!AL$64)</f>
        <v>3929</v>
      </c>
      <c r="AM103" s="138">
        <f>IF(AM$2=1,Старт!$B34/Параметры!AM$64,AL103*Параметры!AL$64/Параметры!AM$64)</f>
        <v>3929</v>
      </c>
      <c r="AN103" s="138">
        <f>IF(AN$2=1,Старт!$B34/Параметры!AN$64,AM103*Параметры!AM$64/Параметры!AN$64)</f>
        <v>3929</v>
      </c>
      <c r="AO103" s="138">
        <f>IF(AO$2=1,Старт!$B34/Параметры!AO$64,AN103*Параметры!AN$64/Параметры!AO$64)</f>
        <v>3929</v>
      </c>
      <c r="AP103" s="138">
        <f>IF(AP$2=1,Старт!$B34/Параметры!AP$64,AO103*Параметры!AO$64/Параметры!AP$64)</f>
        <v>3929</v>
      </c>
      <c r="AQ103" s="138">
        <f>IF(AQ$2=1,Старт!$B34/Параметры!AQ$64,AP103*Параметры!AP$64/Параметры!AQ$64)</f>
        <v>3929</v>
      </c>
      <c r="AR103" s="138">
        <f>IF(AR$2=1,Старт!$B34/Параметры!AR$64,AQ103*Параметры!AQ$64/Параметры!AR$64)</f>
        <v>3929</v>
      </c>
      <c r="AS103" s="138">
        <f>IF(AS$2=1,Старт!$B34/Параметры!AS$64,AR103*Параметры!AR$64/Параметры!AS$64)</f>
        <v>3929</v>
      </c>
      <c r="AT103" s="138">
        <f>IF(AT$2=1,Старт!$B34/Параметры!AT$64,AS103*Параметры!AS$64/Параметры!AT$64)</f>
        <v>3929</v>
      </c>
      <c r="AU103" s="138">
        <f>IF(AU$2=1,Старт!$B34/Параметры!AU$64,AT103*Параметры!AT$64/Параметры!AU$64)</f>
        <v>3929</v>
      </c>
      <c r="AV103" s="138">
        <f>IF(AV$2=1,Старт!$B34/Параметры!AV$64,AU103*Параметры!AU$64/Параметры!AV$64)</f>
        <v>3929</v>
      </c>
    </row>
    <row r="104" spans="1:48" x14ac:dyDescent="0.2">
      <c r="A104" s="125" t="str">
        <f ca="1">Language!A1265</f>
        <v>Суммарные краткосрочные обязательства</v>
      </c>
      <c r="B104" s="244"/>
      <c r="C104" s="127" t="str">
        <f ca="1">Параметры!$C$64</f>
        <v>тыс. руб.</v>
      </c>
      <c r="D104" s="128"/>
      <c r="E104" s="245" t="s">
        <v>1507</v>
      </c>
      <c r="F104" s="128" t="s">
        <v>754</v>
      </c>
      <c r="G104" s="246">
        <f ca="1">SUM(G97:G103)</f>
        <v>324246.87609114405</v>
      </c>
      <c r="H104" s="246">
        <f t="shared" ref="H104:K104" ca="1" si="268">SUM(H97:H103)</f>
        <v>232973.41961506839</v>
      </c>
      <c r="I104" s="246">
        <f t="shared" ca="1" si="268"/>
        <v>154852.73041213222</v>
      </c>
      <c r="J104" s="246">
        <f t="shared" ca="1" si="268"/>
        <v>87318.152942873421</v>
      </c>
      <c r="K104" s="246">
        <f t="shared" ca="1" si="268"/>
        <v>92701.561837516245</v>
      </c>
      <c r="L104" s="246">
        <f t="shared" ref="L104:M104" ca="1" si="269">SUM(L97:L103)</f>
        <v>88024.694411527642</v>
      </c>
      <c r="M104" s="246">
        <f t="shared" ca="1" si="269"/>
        <v>87450.501662280411</v>
      </c>
      <c r="N104" s="246">
        <f t="shared" ref="N104:O104" ca="1" si="270">SUM(N97:N103)</f>
        <v>89472.543000668084</v>
      </c>
      <c r="O104" s="246">
        <f t="shared" ca="1" si="270"/>
        <v>95605.371431606283</v>
      </c>
      <c r="P104" s="246">
        <f t="shared" ref="P104:Q104" ca="1" si="271">SUM(P97:P103)</f>
        <v>90270.050789438159</v>
      </c>
      <c r="Q104" s="246">
        <f t="shared" ca="1" si="271"/>
        <v>88998.117441670023</v>
      </c>
      <c r="R104" s="246">
        <f t="shared" ref="R104:S104" ca="1" si="272">SUM(R97:R103)</f>
        <v>90908.509679678697</v>
      </c>
      <c r="S104" s="246">
        <f t="shared" ca="1" si="272"/>
        <v>97169.277632314697</v>
      </c>
      <c r="T104" s="246">
        <f t="shared" ref="T104:U104" ca="1" si="273">SUM(T97:T103)</f>
        <v>91266.591974109688</v>
      </c>
      <c r="U104" s="246">
        <f t="shared" ca="1" si="273"/>
        <v>90054.364866743825</v>
      </c>
      <c r="V104" s="246">
        <f t="shared" ref="V104:W104" ca="1" si="274">SUM(V97:V103)</f>
        <v>92085.897593148591</v>
      </c>
      <c r="W104" s="246">
        <f t="shared" ca="1" si="274"/>
        <v>98728.924205840493</v>
      </c>
      <c r="X104" s="246">
        <f t="shared" ref="X104:Y104" ca="1" si="275">SUM(X97:X103)</f>
        <v>92478.787023065117</v>
      </c>
      <c r="Y104" s="246">
        <f t="shared" ca="1" si="275"/>
        <v>90684.512330693164</v>
      </c>
      <c r="Z104" s="246">
        <f t="shared" ref="Z104:AA104" ca="1" si="276">SUM(Z97:Z103)</f>
        <v>92837.271496781861</v>
      </c>
      <c r="AA104" s="246">
        <f t="shared" ca="1" si="276"/>
        <v>99878.204416539578</v>
      </c>
      <c r="AB104" s="246">
        <f t="shared" ref="AB104:AC104" ca="1" si="277">SUM(AB97:AB103)</f>
        <v>93252.373804004877</v>
      </c>
      <c r="AC104" s="246">
        <f t="shared" ca="1" si="277"/>
        <v>91621.904438527694</v>
      </c>
      <c r="AD104" s="246">
        <f t="shared" ref="AD104:AE104" ca="1" si="278">SUM(AD97:AD103)</f>
        <v>93907.117290104914</v>
      </c>
      <c r="AE104" s="246">
        <f t="shared" ca="1" si="278"/>
        <v>101373.84257016613</v>
      </c>
      <c r="AF104" s="246">
        <f t="shared" ref="AF104:AG104" ca="1" si="279">SUM(AF97:AF103)</f>
        <v>94353.847463599377</v>
      </c>
      <c r="AG104" s="246">
        <f t="shared" ca="1" si="279"/>
        <v>92456.647760519525</v>
      </c>
      <c r="AH104" s="246">
        <f t="shared" ref="AH104:AI104" ca="1" si="280">SUM(AH97:AH103)</f>
        <v>94879.929957366301</v>
      </c>
      <c r="AI104" s="246">
        <f t="shared" ca="1" si="280"/>
        <v>102795.62936502844</v>
      </c>
      <c r="AJ104" s="246">
        <f t="shared" ref="AJ104:AK104" ca="1" si="281">SUM(AJ97:AJ103)</f>
        <v>95355.419405458422</v>
      </c>
      <c r="AK104" s="246">
        <f t="shared" ca="1" si="281"/>
        <v>93241.429330828149</v>
      </c>
      <c r="AL104" s="246">
        <f t="shared" ref="AL104:AM104" ca="1" si="282">SUM(AL97:AL103)</f>
        <v>95809.596968896309</v>
      </c>
      <c r="AM104" s="246">
        <f t="shared" ca="1" si="282"/>
        <v>104199.71934489452</v>
      </c>
      <c r="AN104" s="246">
        <f t="shared" ref="AN104:AO104" ca="1" si="283">SUM(AN97:AN103)</f>
        <v>96312.570175957386</v>
      </c>
      <c r="AO104" s="246">
        <f t="shared" ca="1" si="283"/>
        <v>94093.040091390925</v>
      </c>
      <c r="AP104" s="246">
        <f t="shared" ref="AP104:AQ104" ca="1" si="284">SUM(AP97:AP103)</f>
        <v>96815.075992568818</v>
      </c>
      <c r="AQ104" s="246">
        <f t="shared" ca="1" si="284"/>
        <v>105708.38066136427</v>
      </c>
      <c r="AR104" s="246">
        <f t="shared" ref="AR104:AS104" ca="1" si="285">SUM(AR97:AR103)</f>
        <v>97347.774190182667</v>
      </c>
      <c r="AS104" s="246">
        <f t="shared" ca="1" si="285"/>
        <v>94123.322036605154</v>
      </c>
      <c r="AT104" s="246">
        <f t="shared" ref="AT104:AU104" ca="1" si="286">SUM(AT97:AT103)</f>
        <v>96995.656459671241</v>
      </c>
      <c r="AU104" s="246">
        <f t="shared" ca="1" si="286"/>
        <v>106409.34466963678</v>
      </c>
      <c r="AV104" s="246">
        <f t="shared" ref="AV104" ca="1" si="287">SUM(AV97:AV103)</f>
        <v>97533.693160180002</v>
      </c>
    </row>
    <row r="105" spans="1:48" x14ac:dyDescent="0.2">
      <c r="A105" s="65"/>
      <c r="D105" s="57"/>
      <c r="E105" s="243"/>
      <c r="F105" s="57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</row>
    <row r="106" spans="1:48" x14ac:dyDescent="0.2">
      <c r="A106" s="99" t="str">
        <f ca="1">Language!A1266</f>
        <v>Долгосрочные кредиты</v>
      </c>
      <c r="C106" s="130" t="str">
        <f ca="1">Параметры!$C$64</f>
        <v>тыс. руб.</v>
      </c>
      <c r="D106" s="57"/>
      <c r="E106" s="243" t="s">
        <v>1508</v>
      </c>
      <c r="F106" s="57" t="s">
        <v>754</v>
      </c>
      <c r="G106" s="138">
        <f>(Старт!G120+Старт!G124+Проект!G939) / Параметры!G$64</f>
        <v>2176632</v>
      </c>
      <c r="H106" s="138">
        <f>(Старт!H120+Старт!H124+Проект!H939) / Параметры!H$64</f>
        <v>2226632</v>
      </c>
      <c r="I106" s="138">
        <f>(Старт!I120+Старт!I124+Проект!I939) / Параметры!I$64</f>
        <v>2376632</v>
      </c>
      <c r="J106" s="138">
        <f>(Старт!J120+Старт!J124+Проект!J939) / Параметры!J$64</f>
        <v>2476632</v>
      </c>
      <c r="K106" s="138">
        <f>(Старт!K120+Старт!K124+Проект!K939) / Параметры!K$64</f>
        <v>2476632</v>
      </c>
      <c r="L106" s="138">
        <f>(Старт!L120+Старт!L124+Проект!L939) / Параметры!L$64</f>
        <v>2476632</v>
      </c>
      <c r="M106" s="138">
        <f>(Старт!M120+Старт!M124+Проект!M939) / Параметры!M$64</f>
        <v>2476632</v>
      </c>
      <c r="N106" s="138">
        <f>(Старт!N120+Старт!N124+Проект!N939) / Параметры!N$64</f>
        <v>2476632</v>
      </c>
      <c r="O106" s="138">
        <f>(Старт!O120+Старт!O124+Проект!O939) / Параметры!O$64</f>
        <v>2476632</v>
      </c>
      <c r="P106" s="138">
        <f>(Старт!P120+Старт!P124+Проект!P939) / Параметры!P$64</f>
        <v>2476632</v>
      </c>
      <c r="Q106" s="138">
        <f>(Старт!Q120+Старт!Q124+Проект!Q939) / Параметры!Q$64</f>
        <v>2476632</v>
      </c>
      <c r="R106" s="138">
        <f>(Старт!R120+Старт!R124+Проект!R939) / Параметры!R$64</f>
        <v>2476632</v>
      </c>
      <c r="S106" s="138">
        <f>(Старт!S120+Старт!S124+Проект!S939) / Параметры!S$64</f>
        <v>2476632</v>
      </c>
      <c r="T106" s="138">
        <f>(Старт!T120+Старт!T124+Проект!T939) / Параметры!T$64</f>
        <v>2476632</v>
      </c>
      <c r="U106" s="138">
        <f>(Старт!U120+Старт!U124+Проект!U939) / Параметры!U$64</f>
        <v>2424692.6045558229</v>
      </c>
      <c r="V106" s="138">
        <f>(Старт!V120+Старт!V124+Проект!V939) / Параметры!V$64</f>
        <v>2344107.5076704742</v>
      </c>
      <c r="W106" s="138">
        <f>(Старт!W120+Старт!W124+Проект!W939) / Параметры!W$64</f>
        <v>2173528.7929135934</v>
      </c>
      <c r="X106" s="138">
        <f>(Старт!X120+Старт!X124+Проект!X939) / Параметры!X$64</f>
        <v>2030770.0515321111</v>
      </c>
      <c r="Y106" s="138">
        <f>(Старт!Y120+Старт!Y124+Проект!Y939) / Параметры!Y$64</f>
        <v>1967797.5190581742</v>
      </c>
      <c r="Z106" s="138">
        <f>(Старт!Z120+Старт!Z124+Проект!Z939) / Параметры!Z$64</f>
        <v>1875755.0416607889</v>
      </c>
      <c r="AA106" s="138">
        <f>(Старт!AA120+Старт!AA124+Проект!AA939) / Параметры!AA$64</f>
        <v>1688250.2179439007</v>
      </c>
      <c r="AB106" s="138">
        <f>(Старт!AB120+Старт!AB124+Проект!AB939) / Параметры!AB$64</f>
        <v>1530164.7949810685</v>
      </c>
      <c r="AC106" s="138">
        <f>(Старт!AC120+Старт!AC124+Проект!AC939) / Параметры!AC$64</f>
        <v>1452673.5146658332</v>
      </c>
      <c r="AD106" s="138">
        <f>(Старт!AD120+Старт!AD124+Проект!AD939) / Параметры!AD$64</f>
        <v>1342193.1972624753</v>
      </c>
      <c r="AE106" s="138">
        <f>(Старт!AE120+Старт!AE124+Проект!AE939) / Параметры!AE$64</f>
        <v>1130287.4031996259</v>
      </c>
      <c r="AF106" s="138">
        <f>(Старт!AF120+Старт!AF124+Проект!AF939) / Параметры!AF$64</f>
        <v>949326.74965150608</v>
      </c>
      <c r="AG106" s="138">
        <f>(Старт!AG120+Старт!AG124+Проект!AG939) / Параметры!AG$64</f>
        <v>855466.92577205668</v>
      </c>
      <c r="AH106" s="138">
        <f>(Старт!AH120+Старт!AH124+Проект!AH939) / Параметры!AH$64</f>
        <v>728268.47901046672</v>
      </c>
      <c r="AI106" s="138">
        <f>(Старт!AI120+Старт!AI124+Проект!AI939) / Параметры!AI$64</f>
        <v>493410.382885403</v>
      </c>
      <c r="AJ106" s="138">
        <f>(Старт!AJ120+Старт!AJ124+Проект!AJ939) / Параметры!AJ$64</f>
        <v>291203.30288769235</v>
      </c>
      <c r="AK106" s="138">
        <f>(Старт!AK120+Старт!AK124+Проект!AK939) / Параметры!AK$64</f>
        <v>182561.15551675158</v>
      </c>
      <c r="AL106" s="138">
        <f>(Старт!AL120+Старт!AL124+Проект!AL939) / Параметры!AL$64</f>
        <v>39327.538617056329</v>
      </c>
      <c r="AM106" s="138">
        <f>(Старт!AM120+Старт!AM124+Проект!AM939) / Параметры!AM$64</f>
        <v>0</v>
      </c>
      <c r="AN106" s="138">
        <f>(Старт!AN120+Старт!AN124+Проект!AN939) / Параметры!AN$64</f>
        <v>0</v>
      </c>
      <c r="AO106" s="138">
        <f>(Старт!AO120+Старт!AO124+Проект!AO939) / Параметры!AO$64</f>
        <v>0</v>
      </c>
      <c r="AP106" s="138">
        <f>(Старт!AP120+Старт!AP124+Проект!AP939) / Параметры!AP$64</f>
        <v>0</v>
      </c>
      <c r="AQ106" s="138">
        <f>(Старт!AQ120+Старт!AQ124+Проект!AQ939) / Параметры!AQ$64</f>
        <v>0</v>
      </c>
      <c r="AR106" s="138">
        <f>(Старт!AR120+Старт!AR124+Проект!AR939) / Параметры!AR$64</f>
        <v>0</v>
      </c>
      <c r="AS106" s="138">
        <f>(Старт!AS120+Старт!AS124+Проект!AS939) / Параметры!AS$64</f>
        <v>0</v>
      </c>
      <c r="AT106" s="138">
        <f>(Старт!AT120+Старт!AT124+Проект!AT939) / Параметры!AT$64</f>
        <v>0</v>
      </c>
      <c r="AU106" s="138">
        <f>(Старт!AU120+Старт!AU124+Проект!AU939) / Параметры!AU$64</f>
        <v>0</v>
      </c>
      <c r="AV106" s="138">
        <f>(Старт!AV120+Старт!AV124+Проект!AV939) / Параметры!AV$64</f>
        <v>0</v>
      </c>
    </row>
    <row r="107" spans="1:48" x14ac:dyDescent="0.2">
      <c r="A107" s="99" t="str">
        <f ca="1">Language!A1267</f>
        <v>Обязательства по финансовой аренде</v>
      </c>
      <c r="C107" s="130" t="str">
        <f ca="1">Параметры!$C$64</f>
        <v>тыс. руб.</v>
      </c>
      <c r="D107" s="57"/>
      <c r="E107" s="243" t="s">
        <v>1509</v>
      </c>
      <c r="F107" s="57" t="s">
        <v>754</v>
      </c>
      <c r="G107" s="138">
        <f>Проект!G836 / Параметры!G$64</f>
        <v>0</v>
      </c>
      <c r="H107" s="138">
        <f>Проект!H836 / Параметры!H$64</f>
        <v>0</v>
      </c>
      <c r="I107" s="138">
        <f>Проект!I836 / Параметры!I$64</f>
        <v>0</v>
      </c>
      <c r="J107" s="138">
        <f>Проект!J836 / Параметры!J$64</f>
        <v>0</v>
      </c>
      <c r="K107" s="138">
        <f>Проект!K836 / Параметры!K$64</f>
        <v>0</v>
      </c>
      <c r="L107" s="138">
        <f>Проект!L836 / Параметры!L$64</f>
        <v>0</v>
      </c>
      <c r="M107" s="138">
        <f>Проект!M836 / Параметры!M$64</f>
        <v>0</v>
      </c>
      <c r="N107" s="138">
        <f>Проект!N836 / Параметры!N$64</f>
        <v>0</v>
      </c>
      <c r="O107" s="138">
        <f>Проект!O836 / Параметры!O$64</f>
        <v>0</v>
      </c>
      <c r="P107" s="138">
        <f>Проект!P836 / Параметры!P$64</f>
        <v>0</v>
      </c>
      <c r="Q107" s="138">
        <f>Проект!Q836 / Параметры!Q$64</f>
        <v>0</v>
      </c>
      <c r="R107" s="138">
        <f>Проект!R836 / Параметры!R$64</f>
        <v>0</v>
      </c>
      <c r="S107" s="138">
        <f>Проект!S836 / Параметры!S$64</f>
        <v>0</v>
      </c>
      <c r="T107" s="138">
        <f>Проект!T836 / Параметры!T$64</f>
        <v>0</v>
      </c>
      <c r="U107" s="138">
        <f>Проект!U836 / Параметры!U$64</f>
        <v>0</v>
      </c>
      <c r="V107" s="138">
        <f>Проект!V836 / Параметры!V$64</f>
        <v>0</v>
      </c>
      <c r="W107" s="138">
        <f>Проект!W836 / Параметры!W$64</f>
        <v>0</v>
      </c>
      <c r="X107" s="138">
        <f>Проект!X836 / Параметры!X$64</f>
        <v>0</v>
      </c>
      <c r="Y107" s="138">
        <f>Проект!Y836 / Параметры!Y$64</f>
        <v>0</v>
      </c>
      <c r="Z107" s="138">
        <f>Проект!Z836 / Параметры!Z$64</f>
        <v>0</v>
      </c>
      <c r="AA107" s="138">
        <f>Проект!AA836 / Параметры!AA$64</f>
        <v>0</v>
      </c>
      <c r="AB107" s="138">
        <f>Проект!AB836 / Параметры!AB$64</f>
        <v>0</v>
      </c>
      <c r="AC107" s="138">
        <f>Проект!AC836 / Параметры!AC$64</f>
        <v>0</v>
      </c>
      <c r="AD107" s="138">
        <f>Проект!AD836 / Параметры!AD$64</f>
        <v>0</v>
      </c>
      <c r="AE107" s="138">
        <f>Проект!AE836 / Параметры!AE$64</f>
        <v>0</v>
      </c>
      <c r="AF107" s="138">
        <f>Проект!AF836 / Параметры!AF$64</f>
        <v>0</v>
      </c>
      <c r="AG107" s="138">
        <f>Проект!AG836 / Параметры!AG$64</f>
        <v>0</v>
      </c>
      <c r="AH107" s="138">
        <f>Проект!AH836 / Параметры!AH$64</f>
        <v>0</v>
      </c>
      <c r="AI107" s="138">
        <f>Проект!AI836 / Параметры!AI$64</f>
        <v>0</v>
      </c>
      <c r="AJ107" s="138">
        <f>Проект!AJ836 / Параметры!AJ$64</f>
        <v>0</v>
      </c>
      <c r="AK107" s="138">
        <f>Проект!AK836 / Параметры!AK$64</f>
        <v>0</v>
      </c>
      <c r="AL107" s="138">
        <f>Проект!AL836 / Параметры!AL$64</f>
        <v>0</v>
      </c>
      <c r="AM107" s="138">
        <f>Проект!AM836 / Параметры!AM$64</f>
        <v>0</v>
      </c>
      <c r="AN107" s="138">
        <f>Проект!AN836 / Параметры!AN$64</f>
        <v>0</v>
      </c>
      <c r="AO107" s="138">
        <f>Проект!AO836 / Параметры!AO$64</f>
        <v>0</v>
      </c>
      <c r="AP107" s="138">
        <f>Проект!AP836 / Параметры!AP$64</f>
        <v>0</v>
      </c>
      <c r="AQ107" s="138">
        <f>Проект!AQ836 / Параметры!AQ$64</f>
        <v>0</v>
      </c>
      <c r="AR107" s="138">
        <f>Проект!AR836 / Параметры!AR$64</f>
        <v>0</v>
      </c>
      <c r="AS107" s="138">
        <f>Проект!AS836 / Параметры!AS$64</f>
        <v>0</v>
      </c>
      <c r="AT107" s="138">
        <f>Проект!AT836 / Параметры!AT$64</f>
        <v>0</v>
      </c>
      <c r="AU107" s="138">
        <f>Проект!AU836 / Параметры!AU$64</f>
        <v>0</v>
      </c>
      <c r="AV107" s="138">
        <f>Проект!AV836 / Параметры!AV$64</f>
        <v>0</v>
      </c>
    </row>
    <row r="108" spans="1:48" x14ac:dyDescent="0.2">
      <c r="A108" s="99" t="str">
        <f ca="1">Language!A1268</f>
        <v>Прочие долгосрочные обязательства</v>
      </c>
      <c r="C108" s="130" t="str">
        <f ca="1">Параметры!$C$64</f>
        <v>тыс. руб.</v>
      </c>
      <c r="D108" s="57"/>
      <c r="E108" s="243" t="s">
        <v>1510</v>
      </c>
      <c r="F108" s="57" t="s">
        <v>754</v>
      </c>
      <c r="G108" s="138">
        <f>IF(G$2=1,Старт!$B38/Параметры!G$64,F108*Параметры!F$64/Параметры!G$64)</f>
        <v>161000</v>
      </c>
      <c r="H108" s="138">
        <f>IF(H$2=1,Старт!$B38/Параметры!H$64,G108*Параметры!G$64/Параметры!H$64)</f>
        <v>161000</v>
      </c>
      <c r="I108" s="138">
        <f>IF(I$2=1,Старт!$B38/Параметры!I$64,H108*Параметры!H$64/Параметры!I$64)</f>
        <v>161000</v>
      </c>
      <c r="J108" s="138">
        <f>IF(J$2=1,Старт!$B38/Параметры!J$64,I108*Параметры!I$64/Параметры!J$64)</f>
        <v>161000</v>
      </c>
      <c r="K108" s="138">
        <f>IF(K$2=1,Старт!$B38/Параметры!K$64,J108*Параметры!J$64/Параметры!K$64)</f>
        <v>161000</v>
      </c>
      <c r="L108" s="138">
        <f>IF(L$2=1,Старт!$B38/Параметры!L$64,K108*Параметры!K$64/Параметры!L$64)</f>
        <v>161000</v>
      </c>
      <c r="M108" s="138">
        <f>IF(M$2=1,Старт!$B38/Параметры!M$64,L108*Параметры!L$64/Параметры!M$64)</f>
        <v>161000</v>
      </c>
      <c r="N108" s="138">
        <f>IF(N$2=1,Старт!$B38/Параметры!N$64,M108*Параметры!M$64/Параметры!N$64)</f>
        <v>161000</v>
      </c>
      <c r="O108" s="138">
        <f>IF(O$2=1,Старт!$B38/Параметры!O$64,N108*Параметры!N$64/Параметры!O$64)</f>
        <v>161000</v>
      </c>
      <c r="P108" s="138">
        <f>IF(P$2=1,Старт!$B38/Параметры!P$64,O108*Параметры!O$64/Параметры!P$64)</f>
        <v>161000</v>
      </c>
      <c r="Q108" s="138">
        <f>IF(Q$2=1,Старт!$B38/Параметры!Q$64,P108*Параметры!P$64/Параметры!Q$64)</f>
        <v>161000</v>
      </c>
      <c r="R108" s="138">
        <f>IF(R$2=1,Старт!$B38/Параметры!R$64,Q108*Параметры!Q$64/Параметры!R$64)</f>
        <v>161000</v>
      </c>
      <c r="S108" s="138">
        <f>IF(S$2=1,Старт!$B38/Параметры!S$64,R108*Параметры!R$64/Параметры!S$64)</f>
        <v>161000</v>
      </c>
      <c r="T108" s="138">
        <f>IF(T$2=1,Старт!$B38/Параметры!T$64,S108*Параметры!S$64/Параметры!T$64)</f>
        <v>161000</v>
      </c>
      <c r="U108" s="138">
        <f>IF(U$2=1,Старт!$B38/Параметры!U$64,T108*Параметры!T$64/Параметры!U$64)</f>
        <v>161000</v>
      </c>
      <c r="V108" s="138">
        <f>IF(V$2=1,Старт!$B38/Параметры!V$64,U108*Параметры!U$64/Параметры!V$64)</f>
        <v>161000</v>
      </c>
      <c r="W108" s="138">
        <f>IF(W$2=1,Старт!$B38/Параметры!W$64,V108*Параметры!V$64/Параметры!W$64)</f>
        <v>161000</v>
      </c>
      <c r="X108" s="138">
        <f>IF(X$2=1,Старт!$B38/Параметры!X$64,W108*Параметры!W$64/Параметры!X$64)</f>
        <v>161000</v>
      </c>
      <c r="Y108" s="138">
        <f>IF(Y$2=1,Старт!$B38/Параметры!Y$64,X108*Параметры!X$64/Параметры!Y$64)</f>
        <v>161000</v>
      </c>
      <c r="Z108" s="138">
        <f>IF(Z$2=1,Старт!$B38/Параметры!Z$64,Y108*Параметры!Y$64/Параметры!Z$64)</f>
        <v>161000</v>
      </c>
      <c r="AA108" s="138">
        <f>IF(AA$2=1,Старт!$B38/Параметры!AA$64,Z108*Параметры!Z$64/Параметры!AA$64)</f>
        <v>161000</v>
      </c>
      <c r="AB108" s="138">
        <f>IF(AB$2=1,Старт!$B38/Параметры!AB$64,AA108*Параметры!AA$64/Параметры!AB$64)</f>
        <v>161000</v>
      </c>
      <c r="AC108" s="138">
        <f>IF(AC$2=1,Старт!$B38/Параметры!AC$64,AB108*Параметры!AB$64/Параметры!AC$64)</f>
        <v>161000</v>
      </c>
      <c r="AD108" s="138">
        <f>IF(AD$2=1,Старт!$B38/Параметры!AD$64,AC108*Параметры!AC$64/Параметры!AD$64)</f>
        <v>161000</v>
      </c>
      <c r="AE108" s="138">
        <f>IF(AE$2=1,Старт!$B38/Параметры!AE$64,AD108*Параметры!AD$64/Параметры!AE$64)</f>
        <v>161000</v>
      </c>
      <c r="AF108" s="138">
        <f>IF(AF$2=1,Старт!$B38/Параметры!AF$64,AE108*Параметры!AE$64/Параметры!AF$64)</f>
        <v>161000</v>
      </c>
      <c r="AG108" s="138">
        <f>IF(AG$2=1,Старт!$B38/Параметры!AG$64,AF108*Параметры!AF$64/Параметры!AG$64)</f>
        <v>161000</v>
      </c>
      <c r="AH108" s="138">
        <f>IF(AH$2=1,Старт!$B38/Параметры!AH$64,AG108*Параметры!AG$64/Параметры!AH$64)</f>
        <v>161000</v>
      </c>
      <c r="AI108" s="138">
        <f>IF(AI$2=1,Старт!$B38/Параметры!AI$64,AH108*Параметры!AH$64/Параметры!AI$64)</f>
        <v>161000</v>
      </c>
      <c r="AJ108" s="138">
        <f>IF(AJ$2=1,Старт!$B38/Параметры!AJ$64,AI108*Параметры!AI$64/Параметры!AJ$64)</f>
        <v>161000</v>
      </c>
      <c r="AK108" s="138">
        <f>IF(AK$2=1,Старт!$B38/Параметры!AK$64,AJ108*Параметры!AJ$64/Параметры!AK$64)</f>
        <v>161000</v>
      </c>
      <c r="AL108" s="138">
        <f>IF(AL$2=1,Старт!$B38/Параметры!AL$64,AK108*Параметры!AK$64/Параметры!AL$64)</f>
        <v>161000</v>
      </c>
      <c r="AM108" s="138">
        <f>IF(AM$2=1,Старт!$B38/Параметры!AM$64,AL108*Параметры!AL$64/Параметры!AM$64)</f>
        <v>161000</v>
      </c>
      <c r="AN108" s="138">
        <f>IF(AN$2=1,Старт!$B38/Параметры!AN$64,AM108*Параметры!AM$64/Параметры!AN$64)</f>
        <v>161000</v>
      </c>
      <c r="AO108" s="138">
        <f>IF(AO$2=1,Старт!$B38/Параметры!AO$64,AN108*Параметры!AN$64/Параметры!AO$64)</f>
        <v>161000</v>
      </c>
      <c r="AP108" s="138">
        <f>IF(AP$2=1,Старт!$B38/Параметры!AP$64,AO108*Параметры!AO$64/Параметры!AP$64)</f>
        <v>161000</v>
      </c>
      <c r="AQ108" s="138">
        <f>IF(AQ$2=1,Старт!$B38/Параметры!AQ$64,AP108*Параметры!AP$64/Параметры!AQ$64)</f>
        <v>161000</v>
      </c>
      <c r="AR108" s="138">
        <f>IF(AR$2=1,Старт!$B38/Параметры!AR$64,AQ108*Параметры!AQ$64/Параметры!AR$64)</f>
        <v>161000</v>
      </c>
      <c r="AS108" s="138">
        <f>IF(AS$2=1,Старт!$B38/Параметры!AS$64,AR108*Параметры!AR$64/Параметры!AS$64)</f>
        <v>161000</v>
      </c>
      <c r="AT108" s="138">
        <f>IF(AT$2=1,Старт!$B38/Параметры!AT$64,AS108*Параметры!AS$64/Параметры!AT$64)</f>
        <v>161000</v>
      </c>
      <c r="AU108" s="138">
        <f>IF(AU$2=1,Старт!$B38/Параметры!AU$64,AT108*Параметры!AT$64/Параметры!AU$64)</f>
        <v>161000</v>
      </c>
      <c r="AV108" s="138">
        <f>IF(AV$2=1,Старт!$B38/Параметры!AV$64,AU108*Параметры!AU$64/Параметры!AV$64)</f>
        <v>161000</v>
      </c>
    </row>
    <row r="109" spans="1:48" x14ac:dyDescent="0.2">
      <c r="A109" s="125" t="str">
        <f ca="1">Language!A1269</f>
        <v>Суммарные долгосрочные обязательства</v>
      </c>
      <c r="B109" s="244"/>
      <c r="C109" s="127" t="str">
        <f ca="1">Параметры!$C$64</f>
        <v>тыс. руб.</v>
      </c>
      <c r="D109" s="128"/>
      <c r="E109" s="245" t="s">
        <v>1511</v>
      </c>
      <c r="F109" s="128" t="s">
        <v>754</v>
      </c>
      <c r="G109" s="246">
        <f>G106+G107+G108</f>
        <v>2337632</v>
      </c>
      <c r="H109" s="246">
        <f t="shared" ref="H109:K109" si="288">H106+H107+H108</f>
        <v>2387632</v>
      </c>
      <c r="I109" s="246">
        <f t="shared" si="288"/>
        <v>2537632</v>
      </c>
      <c r="J109" s="246">
        <f t="shared" si="288"/>
        <v>2637632</v>
      </c>
      <c r="K109" s="246">
        <f t="shared" si="288"/>
        <v>2637632</v>
      </c>
      <c r="L109" s="246">
        <f t="shared" ref="L109:M109" si="289">L106+L107+L108</f>
        <v>2637632</v>
      </c>
      <c r="M109" s="246">
        <f t="shared" si="289"/>
        <v>2637632</v>
      </c>
      <c r="N109" s="246">
        <f t="shared" ref="N109:O109" si="290">N106+N107+N108</f>
        <v>2637632</v>
      </c>
      <c r="O109" s="246">
        <f t="shared" si="290"/>
        <v>2637632</v>
      </c>
      <c r="P109" s="246">
        <f t="shared" ref="P109:Q109" si="291">P106+P107+P108</f>
        <v>2637632</v>
      </c>
      <c r="Q109" s="246">
        <f t="shared" si="291"/>
        <v>2637632</v>
      </c>
      <c r="R109" s="246">
        <f t="shared" ref="R109:S109" si="292">R106+R107+R108</f>
        <v>2637632</v>
      </c>
      <c r="S109" s="246">
        <f t="shared" si="292"/>
        <v>2637632</v>
      </c>
      <c r="T109" s="246">
        <f t="shared" ref="T109:U109" si="293">T106+T107+T108</f>
        <v>2637632</v>
      </c>
      <c r="U109" s="246">
        <f t="shared" si="293"/>
        <v>2585692.6045558229</v>
      </c>
      <c r="V109" s="246">
        <f t="shared" ref="V109:W109" si="294">V106+V107+V108</f>
        <v>2505107.5076704742</v>
      </c>
      <c r="W109" s="246">
        <f t="shared" si="294"/>
        <v>2334528.7929135934</v>
      </c>
      <c r="X109" s="246">
        <f t="shared" ref="X109:Y109" si="295">X106+X107+X108</f>
        <v>2191770.0515321111</v>
      </c>
      <c r="Y109" s="246">
        <f t="shared" si="295"/>
        <v>2128797.5190581745</v>
      </c>
      <c r="Z109" s="246">
        <f t="shared" ref="Z109:AA109" si="296">Z106+Z107+Z108</f>
        <v>2036755.0416607889</v>
      </c>
      <c r="AA109" s="246">
        <f t="shared" si="296"/>
        <v>1849250.2179439007</v>
      </c>
      <c r="AB109" s="246">
        <f t="shared" ref="AB109:AC109" si="297">AB106+AB107+AB108</f>
        <v>1691164.7949810685</v>
      </c>
      <c r="AC109" s="246">
        <f t="shared" si="297"/>
        <v>1613673.5146658332</v>
      </c>
      <c r="AD109" s="246">
        <f t="shared" ref="AD109:AE109" si="298">AD106+AD107+AD108</f>
        <v>1503193.1972624753</v>
      </c>
      <c r="AE109" s="246">
        <f t="shared" si="298"/>
        <v>1291287.4031996259</v>
      </c>
      <c r="AF109" s="246">
        <f t="shared" ref="AF109:AG109" si="299">AF106+AF107+AF108</f>
        <v>1110326.7496515061</v>
      </c>
      <c r="AG109" s="246">
        <f t="shared" si="299"/>
        <v>1016466.9257720567</v>
      </c>
      <c r="AH109" s="246">
        <f t="shared" ref="AH109:AI109" si="300">AH106+AH107+AH108</f>
        <v>889268.47901046672</v>
      </c>
      <c r="AI109" s="246">
        <f t="shared" si="300"/>
        <v>654410.382885403</v>
      </c>
      <c r="AJ109" s="246">
        <f t="shared" ref="AJ109:AK109" si="301">AJ106+AJ107+AJ108</f>
        <v>452203.30288769235</v>
      </c>
      <c r="AK109" s="246">
        <f t="shared" si="301"/>
        <v>343561.15551675158</v>
      </c>
      <c r="AL109" s="246">
        <f t="shared" ref="AL109:AM109" si="302">AL106+AL107+AL108</f>
        <v>200327.53861705633</v>
      </c>
      <c r="AM109" s="246">
        <f t="shared" si="302"/>
        <v>161000</v>
      </c>
      <c r="AN109" s="246">
        <f t="shared" ref="AN109:AO109" si="303">AN106+AN107+AN108</f>
        <v>161000</v>
      </c>
      <c r="AO109" s="246">
        <f t="shared" si="303"/>
        <v>161000</v>
      </c>
      <c r="AP109" s="246">
        <f t="shared" ref="AP109:AQ109" si="304">AP106+AP107+AP108</f>
        <v>161000</v>
      </c>
      <c r="AQ109" s="246">
        <f t="shared" si="304"/>
        <v>161000</v>
      </c>
      <c r="AR109" s="246">
        <f t="shared" ref="AR109:AS109" si="305">AR106+AR107+AR108</f>
        <v>161000</v>
      </c>
      <c r="AS109" s="246">
        <f t="shared" si="305"/>
        <v>161000</v>
      </c>
      <c r="AT109" s="246">
        <f t="shared" ref="AT109:AU109" si="306">AT106+AT107+AT108</f>
        <v>161000</v>
      </c>
      <c r="AU109" s="246">
        <f t="shared" si="306"/>
        <v>161000</v>
      </c>
      <c r="AV109" s="246">
        <f t="shared" ref="AV109" si="307">AV106+AV107+AV108</f>
        <v>161000</v>
      </c>
    </row>
    <row r="110" spans="1:48" x14ac:dyDescent="0.2">
      <c r="A110" s="65"/>
      <c r="D110" s="57"/>
      <c r="E110" s="243"/>
      <c r="F110" s="57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</row>
    <row r="111" spans="1:48" x14ac:dyDescent="0.2">
      <c r="A111" s="99" t="str">
        <f ca="1">Language!A1270</f>
        <v>Акционерный капитал</v>
      </c>
      <c r="C111" s="130" t="str">
        <f ca="1">Параметры!$C$64</f>
        <v>тыс. руб.</v>
      </c>
      <c r="D111" s="57"/>
      <c r="E111" s="243" t="s">
        <v>1512</v>
      </c>
      <c r="F111" s="57" t="s">
        <v>754</v>
      </c>
      <c r="G111" s="138">
        <f>IF(G2=1,Проект!G883 / Параметры!G$64,F111*Параметры!F$64/Параметры!G$64+Проект!G882/Параметры!G$64)</f>
        <v>364573</v>
      </c>
      <c r="H111" s="138">
        <f>IF(H2=1,Проект!H883 / Параметры!H$64,G111*Параметры!G$64/Параметры!H$64+Проект!H882/Параметры!H$64)</f>
        <v>364573</v>
      </c>
      <c r="I111" s="138">
        <f>IF(I2=1,Проект!I883 / Параметры!I$64,H111*Параметры!H$64/Параметры!I$64+Проект!I882/Параметры!I$64)</f>
        <v>364573</v>
      </c>
      <c r="J111" s="138">
        <f>IF(J2=1,Проект!J883 / Параметры!J$64,I111*Параметры!I$64/Параметры!J$64+Проект!J882/Параметры!J$64)</f>
        <v>364573</v>
      </c>
      <c r="K111" s="138">
        <f>IF(K2=1,Проект!K883 / Параметры!K$64,J111*Параметры!J$64/Параметры!K$64+Проект!K882/Параметры!K$64)</f>
        <v>364573</v>
      </c>
      <c r="L111" s="138">
        <f>IF(L2=1,Проект!L883 / Параметры!L$64,K111*Параметры!K$64/Параметры!L$64+Проект!L882/Параметры!L$64)</f>
        <v>364573</v>
      </c>
      <c r="M111" s="138">
        <f>IF(M2=1,Проект!M883 / Параметры!M$64,L111*Параметры!L$64/Параметры!M$64+Проект!M882/Параметры!M$64)</f>
        <v>364573</v>
      </c>
      <c r="N111" s="138">
        <f>IF(N2=1,Проект!N883 / Параметры!N$64,M111*Параметры!M$64/Параметры!N$64+Проект!N882/Параметры!N$64)</f>
        <v>364573</v>
      </c>
      <c r="O111" s="138">
        <f>IF(O2=1,Проект!O883 / Параметры!O$64,N111*Параметры!N$64/Параметры!O$64+Проект!O882/Параметры!O$64)</f>
        <v>364573</v>
      </c>
      <c r="P111" s="138">
        <f>IF(P2=1,Проект!P883 / Параметры!P$64,O111*Параметры!O$64/Параметры!P$64+Проект!P882/Параметры!P$64)</f>
        <v>364573</v>
      </c>
      <c r="Q111" s="138">
        <f>IF(Q2=1,Проект!Q883 / Параметры!Q$64,P111*Параметры!P$64/Параметры!Q$64+Проект!Q882/Параметры!Q$64)</f>
        <v>364573</v>
      </c>
      <c r="R111" s="138">
        <f>IF(R2=1,Проект!R883 / Параметры!R$64,Q111*Параметры!Q$64/Параметры!R$64+Проект!R882/Параметры!R$64)</f>
        <v>364573</v>
      </c>
      <c r="S111" s="138">
        <f>IF(S2=1,Проект!S883 / Параметры!S$64,R111*Параметры!R$64/Параметры!S$64+Проект!S882/Параметры!S$64)</f>
        <v>364573</v>
      </c>
      <c r="T111" s="138">
        <f>IF(T2=1,Проект!T883 / Параметры!T$64,S111*Параметры!S$64/Параметры!T$64+Проект!T882/Параметры!T$64)</f>
        <v>364573</v>
      </c>
      <c r="U111" s="138">
        <f>IF(U2=1,Проект!U883 / Параметры!U$64,T111*Параметры!T$64/Параметры!U$64+Проект!U882/Параметры!U$64)</f>
        <v>364573</v>
      </c>
      <c r="V111" s="138">
        <f>IF(V2=1,Проект!V883 / Параметры!V$64,U111*Параметры!U$64/Параметры!V$64+Проект!V882/Параметры!V$64)</f>
        <v>364573</v>
      </c>
      <c r="W111" s="138">
        <f>IF(W2=1,Проект!W883 / Параметры!W$64,V111*Параметры!V$64/Параметры!W$64+Проект!W882/Параметры!W$64)</f>
        <v>364573</v>
      </c>
      <c r="X111" s="138">
        <f>IF(X2=1,Проект!X883 / Параметры!X$64,W111*Параметры!W$64/Параметры!X$64+Проект!X882/Параметры!X$64)</f>
        <v>364573</v>
      </c>
      <c r="Y111" s="138">
        <f>IF(Y2=1,Проект!Y883 / Параметры!Y$64,X111*Параметры!X$64/Параметры!Y$64+Проект!Y882/Параметры!Y$64)</f>
        <v>364573</v>
      </c>
      <c r="Z111" s="138">
        <f>IF(Z2=1,Проект!Z883 / Параметры!Z$64,Y111*Параметры!Y$64/Параметры!Z$64+Проект!Z882/Параметры!Z$64)</f>
        <v>364573</v>
      </c>
      <c r="AA111" s="138">
        <f>IF(AA2=1,Проект!AA883 / Параметры!AA$64,Z111*Параметры!Z$64/Параметры!AA$64+Проект!AA882/Параметры!AA$64)</f>
        <v>364573</v>
      </c>
      <c r="AB111" s="138">
        <f>IF(AB2=1,Проект!AB883 / Параметры!AB$64,AA111*Параметры!AA$64/Параметры!AB$64+Проект!AB882/Параметры!AB$64)</f>
        <v>364573</v>
      </c>
      <c r="AC111" s="138">
        <f>IF(AC2=1,Проект!AC883 / Параметры!AC$64,AB111*Параметры!AB$64/Параметры!AC$64+Проект!AC882/Параметры!AC$64)</f>
        <v>364573</v>
      </c>
      <c r="AD111" s="138">
        <f>IF(AD2=1,Проект!AD883 / Параметры!AD$64,AC111*Параметры!AC$64/Параметры!AD$64+Проект!AD882/Параметры!AD$64)</f>
        <v>364573</v>
      </c>
      <c r="AE111" s="138">
        <f>IF(AE2=1,Проект!AE883 / Параметры!AE$64,AD111*Параметры!AD$64/Параметры!AE$64+Проект!AE882/Параметры!AE$64)</f>
        <v>364573</v>
      </c>
      <c r="AF111" s="138">
        <f>IF(AF2=1,Проект!AF883 / Параметры!AF$64,AE111*Параметры!AE$64/Параметры!AF$64+Проект!AF882/Параметры!AF$64)</f>
        <v>364573</v>
      </c>
      <c r="AG111" s="138">
        <f>IF(AG2=1,Проект!AG883 / Параметры!AG$64,AF111*Параметры!AF$64/Параметры!AG$64+Проект!AG882/Параметры!AG$64)</f>
        <v>364573</v>
      </c>
      <c r="AH111" s="138">
        <f>IF(AH2=1,Проект!AH883 / Параметры!AH$64,AG111*Параметры!AG$64/Параметры!AH$64+Проект!AH882/Параметры!AH$64)</f>
        <v>364573</v>
      </c>
      <c r="AI111" s="138">
        <f>IF(AI2=1,Проект!AI883 / Параметры!AI$64,AH111*Параметры!AH$64/Параметры!AI$64+Проект!AI882/Параметры!AI$64)</f>
        <v>364573</v>
      </c>
      <c r="AJ111" s="138">
        <f>IF(AJ2=1,Проект!AJ883 / Параметры!AJ$64,AI111*Параметры!AI$64/Параметры!AJ$64+Проект!AJ882/Параметры!AJ$64)</f>
        <v>364573</v>
      </c>
      <c r="AK111" s="138">
        <f>IF(AK2=1,Проект!AK883 / Параметры!AK$64,AJ111*Параметры!AJ$64/Параметры!AK$64+Проект!AK882/Параметры!AK$64)</f>
        <v>364573</v>
      </c>
      <c r="AL111" s="138">
        <f>IF(AL2=1,Проект!AL883 / Параметры!AL$64,AK111*Параметры!AK$64/Параметры!AL$64+Проект!AL882/Параметры!AL$64)</f>
        <v>364573</v>
      </c>
      <c r="AM111" s="138">
        <f>IF(AM2=1,Проект!AM883 / Параметры!AM$64,AL111*Параметры!AL$64/Параметры!AM$64+Проект!AM882/Параметры!AM$64)</f>
        <v>364573</v>
      </c>
      <c r="AN111" s="138">
        <f>IF(AN2=1,Проект!AN883 / Параметры!AN$64,AM111*Параметры!AM$64/Параметры!AN$64+Проект!AN882/Параметры!AN$64)</f>
        <v>364573</v>
      </c>
      <c r="AO111" s="138">
        <f>IF(AO2=1,Проект!AO883 / Параметры!AO$64,AN111*Параметры!AN$64/Параметры!AO$64+Проект!AO882/Параметры!AO$64)</f>
        <v>364573</v>
      </c>
      <c r="AP111" s="138">
        <f>IF(AP2=1,Проект!AP883 / Параметры!AP$64,AO111*Параметры!AO$64/Параметры!AP$64+Проект!AP882/Параметры!AP$64)</f>
        <v>364573</v>
      </c>
      <c r="AQ111" s="138">
        <f>IF(AQ2=1,Проект!AQ883 / Параметры!AQ$64,AP111*Параметры!AP$64/Параметры!AQ$64+Проект!AQ882/Параметры!AQ$64)</f>
        <v>364573</v>
      </c>
      <c r="AR111" s="138">
        <f>IF(AR2=1,Проект!AR883 / Параметры!AR$64,AQ111*Параметры!AQ$64/Параметры!AR$64+Проект!AR882/Параметры!AR$64)</f>
        <v>364573</v>
      </c>
      <c r="AS111" s="138">
        <f>IF(AS2=1,Проект!AS883 / Параметры!AS$64,AR111*Параметры!AR$64/Параметры!AS$64+Проект!AS882/Параметры!AS$64)</f>
        <v>364573</v>
      </c>
      <c r="AT111" s="138">
        <f>IF(AT2=1,Проект!AT883 / Параметры!AT$64,AS111*Параметры!AS$64/Параметры!AT$64+Проект!AT882/Параметры!AT$64)</f>
        <v>364573</v>
      </c>
      <c r="AU111" s="138">
        <f>IF(AU2=1,Проект!AU883 / Параметры!AU$64,AT111*Параметры!AT$64/Параметры!AU$64+Проект!AU882/Параметры!AU$64)</f>
        <v>364573</v>
      </c>
      <c r="AV111" s="138">
        <f>IF(AV2=1,Проект!AV883 / Параметры!AV$64,AU111*Параметры!AU$64/Параметры!AV$64+Проект!AV882/Параметры!AV$64)</f>
        <v>364573</v>
      </c>
    </row>
    <row r="112" spans="1:48" x14ac:dyDescent="0.2">
      <c r="A112" s="99" t="str">
        <f ca="1">Language!A1271</f>
        <v>Нераспределенная прибыль</v>
      </c>
      <c r="C112" s="130" t="str">
        <f ca="1">Параметры!$C$64</f>
        <v>тыс. руб.</v>
      </c>
      <c r="D112" s="57"/>
      <c r="E112" s="243" t="s">
        <v>1513</v>
      </c>
      <c r="F112" s="57" t="s">
        <v>754</v>
      </c>
      <c r="G112" s="138">
        <f ca="1">IF(G$2=1,Старт!$B42/Параметры!G$64+G30+G32,G30+G32+F112*Параметры!F$64/Параметры!G$64)</f>
        <v>557652.82785296591</v>
      </c>
      <c r="H112" s="138">
        <f ca="1">IF(H$2=1,Старт!$B42/Параметры!H$64+H30+H32,H30+H32+G112*Параметры!G$64/Параметры!H$64)</f>
        <v>491808.47315391374</v>
      </c>
      <c r="I112" s="138">
        <f ca="1">IF(I$2=1,Старт!$B42/Параметры!I$64+I30+I32,I30+I32+H112*Параметры!H$64/Параметры!I$64)</f>
        <v>423713.70770871127</v>
      </c>
      <c r="J112" s="138">
        <f ca="1">IF(J$2=1,Старт!$B42/Параметры!J$64+J30+J32,J30+J32+I112*Параметры!I$64/Параметры!J$64)</f>
        <v>395938.25148892397</v>
      </c>
      <c r="K112" s="138">
        <f ca="1">IF(K$2=1,Старт!$B42/Параметры!K$64+K30+K32,K30+K32+J112*Параметры!J$64/Параметры!K$64)</f>
        <v>537104.20054661529</v>
      </c>
      <c r="L112" s="138">
        <f ca="1">IF(L$2=1,Старт!$B42/Параметры!L$64+L30+L32,L30+L32+K112*Параметры!K$64/Параметры!L$64)</f>
        <v>531897.76320509438</v>
      </c>
      <c r="M112" s="138">
        <f ca="1">IF(M$2=1,Старт!$B42/Параметры!M$64+M30+M32,M30+M32+L112*Параметры!L$64/Параметры!M$64)</f>
        <v>505218.7091299278</v>
      </c>
      <c r="N112" s="138">
        <f ca="1">IF(N$2=1,Старт!$B42/Параметры!N$64+N30+N32,N30+N32+M112*Параметры!M$64/Параметры!N$64)</f>
        <v>517827.83514553367</v>
      </c>
      <c r="O112" s="138">
        <f ca="1">IF(O$2=1,Старт!$B42/Параметры!O$64+O30+O32,O30+O32+N112*Параметры!N$64/Параметры!O$64)</f>
        <v>722128.43402592605</v>
      </c>
      <c r="P112" s="138">
        <f ca="1">IF(P$2=1,Старт!$B42/Параметры!P$64+P30+P32,P30+P32+O112*Параметры!O$64/Параметры!P$64)</f>
        <v>759757.57673267962</v>
      </c>
      <c r="Q112" s="138">
        <f ca="1">IF(Q$2=1,Старт!$B42/Параметры!Q$64+Q30+Q32,Q30+Q32+P112*Параметры!P$64/Параметры!Q$64)</f>
        <v>779076.46367359569</v>
      </c>
      <c r="R112" s="138">
        <f ca="1">IF(R$2=1,Старт!$B42/Параметры!R$64+R30+R32,R30+R32+Q112*Параметры!Q$64/Параметры!R$64)</f>
        <v>829233.92597352876</v>
      </c>
      <c r="S112" s="138">
        <f ca="1">IF(S$2=1,Старт!$B42/Параметры!S$64+S30+S32,S30+S32+R112*Параметры!R$64/Параметры!S$64)</f>
        <v>1071451.1130751739</v>
      </c>
      <c r="T112" s="138">
        <f ca="1">IF(T$2=1,Старт!$B42/Параметры!T$64+T30+T32,T30+T32+S112*Параметры!S$64/Параметры!T$64)</f>
        <v>1125529.7289075584</v>
      </c>
      <c r="U112" s="138">
        <f ca="1">IF(U$2=1,Старт!$B42/Параметры!U$64+U30+U32,U30+U32+T112*Параметры!T$64/Параметры!U$64)</f>
        <v>1164409.989354816</v>
      </c>
      <c r="V112" s="138">
        <f ca="1">IF(V$2=1,Старт!$B42/Параметры!V$64+V30+V32,V30+V32+U112*Параметры!U$64/Параметры!V$64)</f>
        <v>1236376.1110483115</v>
      </c>
      <c r="W112" s="138">
        <f ca="1">IF(W$2=1,Старт!$B42/Параметры!W$64+W30+W32,W30+W32+V112*Параметры!V$64/Параметры!W$64)</f>
        <v>1512550.3653054449</v>
      </c>
      <c r="X112" s="138">
        <f ca="1">IF(X$2=1,Старт!$B42/Параметры!X$64+X30+X32,X30+X32+W112*Параметры!W$64/Параметры!X$64)</f>
        <v>1589855.9193182734</v>
      </c>
      <c r="Y112" s="138">
        <f ca="1">IF(Y$2=1,Старт!$B42/Параметры!Y$64+Y30+Y32,Y30+Y32+X112*Параметры!X$64/Параметры!Y$64)</f>
        <v>1635791.5897992027</v>
      </c>
      <c r="Z112" s="138">
        <f ca="1">IF(Z$2=1,Старт!$B42/Параметры!Z$64+Z30+Z32,Z30+Z32+Y112*Параметры!Y$64/Параметры!Z$64)</f>
        <v>1716794.8631708825</v>
      </c>
      <c r="AA112" s="138">
        <f ca="1">IF(AA$2=1,Старт!$B42/Параметры!AA$64+AA30+AA32,AA30+AA32+Z112*Параметры!Z$64/Параметры!AA$64)</f>
        <v>2014255.2268343344</v>
      </c>
      <c r="AB112" s="138">
        <f ca="1">IF(AB$2=1,Старт!$B42/Параметры!AB$64+AB30+AB32,AB30+AB32+AA112*Параметры!AA$64/Параметры!AB$64)</f>
        <v>2100911.1151677845</v>
      </c>
      <c r="AC112" s="138">
        <f ca="1">IF(AC$2=1,Старт!$B42/Параметры!AC$64+AC30+AC32,AC30+AC32+AB112*Параметры!AB$64/Параметры!AC$64)</f>
        <v>2162485.6322002676</v>
      </c>
      <c r="AD112" s="138">
        <f ca="1">IF(AD$2=1,Старт!$B42/Параметры!AD$64+AD30+AD32,AD30+AD32+AC112*Параметры!AC$64/Параметры!AD$64)</f>
        <v>2261362.7405910436</v>
      </c>
      <c r="AE112" s="138">
        <f ca="1">IF(AE$2=1,Старт!$B42/Параметры!AE$64+AE30+AE32,AE30+AE32+AD112*Параметры!AD$64/Параметры!AE$64)</f>
        <v>2589817.3329469482</v>
      </c>
      <c r="AF112" s="138">
        <f ca="1">IF(AF$2=1,Старт!$B42/Параметры!AF$64+AF30+AF32,AF30+AF32+AE112*Параметры!AE$64/Параметры!AF$64)</f>
        <v>2694954.2169976705</v>
      </c>
      <c r="AG112" s="138">
        <f ca="1">IF(AG$2=1,Старт!$B42/Параметры!AG$64+AG30+AG32,AG30+AG32+AF112*Параметры!AF$64/Параметры!AG$64)</f>
        <v>2768467.0798660084</v>
      </c>
      <c r="AH112" s="138">
        <f ca="1">IF(AH$2=1,Старт!$B42/Параметры!AH$64+AH30+AH32,AH30+AH32+AG112*Параметры!AG$64/Параметры!AH$64)</f>
        <v>2881574.6100751725</v>
      </c>
      <c r="AI112" s="138">
        <f ca="1">IF(AI$2=1,Старт!$B42/Параметры!AI$64+AI30+AI32,AI30+AI32+AH112*Параметры!AH$64/Параметры!AI$64)</f>
        <v>3238088.9864973328</v>
      </c>
      <c r="AJ112" s="138">
        <f ca="1">IF(AJ$2=1,Старт!$B42/Параметры!AJ$64+AJ30+AJ32,AJ30+AJ32+AI112*Параметры!AI$64/Параметры!AJ$64)</f>
        <v>3357942.1096858145</v>
      </c>
      <c r="AK112" s="138">
        <f ca="1">IF(AK$2=1,Старт!$B42/Параметры!AK$64+AK30+AK32,AK30+AK32+AJ112*Параметры!AJ$64/Параметры!AK$64)</f>
        <v>3441207.8955751476</v>
      </c>
      <c r="AL112" s="138">
        <f ca="1">IF(AL$2=1,Старт!$B42/Параметры!AL$64+AL30+AL32,AL30+AL32+AK112*Параметры!AK$64/Параметры!AL$64)</f>
        <v>3566449.6922864025</v>
      </c>
      <c r="AM112" s="138">
        <f ca="1">IF(AM$2=1,Старт!$B42/Параметры!AM$64+AM30+AM32,AM30+AM32+AL112*Параметры!AL$64/Параметры!AM$64)</f>
        <v>3949163.1209915369</v>
      </c>
      <c r="AN112" s="138">
        <f ca="1">IF(AN$2=1,Старт!$B42/Параметры!AN$64+AN30+AN32,AN30+AN32+AM112*Параметры!AM$64/Параметры!AN$64)</f>
        <v>4080463.9741531936</v>
      </c>
      <c r="AO112" s="138">
        <f ca="1">IF(AO$2=1,Старт!$B42/Параметры!AO$64+AO30+AO32,AO30+AO32+AN112*Параметры!AN$64/Параметры!AO$64)</f>
        <v>4173333.3299234658</v>
      </c>
      <c r="AP112" s="138">
        <f ca="1">IF(AP$2=1,Старт!$B42/Параметры!AP$64+AP30+AP32,AP30+AP32+AO112*Параметры!AO$64/Параметры!AP$64)</f>
        <v>4310311.0342249628</v>
      </c>
      <c r="AQ112" s="138">
        <f ca="1">IF(AQ$2=1,Старт!$B42/Параметры!AQ$64+AQ30+AQ32,AQ30+AQ32+AP112*Параметры!AP$64/Параметры!AQ$64)</f>
        <v>4789391.9489697572</v>
      </c>
      <c r="AR112" s="138">
        <f ca="1">IF(AR$2=1,Старт!$B42/Параметры!AR$64+AR30+AR32,AR30+AR32+AQ112*Параметры!AQ$64/Параметры!AR$64)</f>
        <v>5001968.6830752119</v>
      </c>
      <c r="AS112" s="138">
        <f ca="1">IF(AS$2=1,Старт!$B42/Параметры!AS$64+AS30+AS32,AS30+AS32+AR112*Параметры!AR$64/Параметры!AS$64)</f>
        <v>5147655.52202769</v>
      </c>
      <c r="AT112" s="138">
        <f ca="1">IF(AT$2=1,Старт!$B42/Параметры!AT$64+AT30+AT32,AT30+AT32+AS112*Параметры!AS$64/Параметры!AT$64)</f>
        <v>5339706.5014577936</v>
      </c>
      <c r="AU112" s="138">
        <f ca="1">IF(AU$2=1,Старт!$B42/Параметры!AU$64+AU30+AU32,AU30+AU32+AT112*Параметры!AT$64/Параметры!AU$64)</f>
        <v>5826770.7283144863</v>
      </c>
      <c r="AV112" s="138">
        <f ca="1">IF(AV$2=1,Старт!$B42/Параметры!AV$64+AV30+AV32,AV30+AV32+AU112*Параметры!AU$64/Параметры!AV$64)</f>
        <v>6030938.2641933551</v>
      </c>
    </row>
    <row r="113" spans="1:50" x14ac:dyDescent="0.2">
      <c r="A113" s="99" t="str">
        <f ca="1">Language!A1272</f>
        <v>Прочий собственный капитал</v>
      </c>
      <c r="C113" s="130" t="str">
        <f ca="1">Параметры!$C$64</f>
        <v>тыс. руб.</v>
      </c>
      <c r="D113" s="57"/>
      <c r="E113" s="243" t="s">
        <v>1514</v>
      </c>
      <c r="F113" s="57" t="s">
        <v>754</v>
      </c>
      <c r="G113" s="138">
        <f>IF(G$2=1,(Проект!$G819+Старт!$B43)/Параметры!G$64,F113*Параметры!F$64/Параметры!G$64)</f>
        <v>0</v>
      </c>
      <c r="H113" s="138">
        <f>IF(H$2=1,(Проект!$G819+Старт!$B43)/Параметры!H$64,G113*Параметры!G$64/Параметры!H$64)</f>
        <v>0</v>
      </c>
      <c r="I113" s="138">
        <f>IF(I$2=1,(Проект!$G819+Старт!$B43)/Параметры!I$64,H113*Параметры!H$64/Параметры!I$64)</f>
        <v>0</v>
      </c>
      <c r="J113" s="138">
        <f>IF(J$2=1,(Проект!$G819+Старт!$B43)/Параметры!J$64,I113*Параметры!I$64/Параметры!J$64)</f>
        <v>0</v>
      </c>
      <c r="K113" s="138">
        <f>IF(K$2=1,(Проект!$G819+Старт!$B43)/Параметры!K$64,J113*Параметры!J$64/Параметры!K$64)</f>
        <v>0</v>
      </c>
      <c r="L113" s="138">
        <f>IF(L$2=1,(Проект!$G819+Старт!$B43)/Параметры!L$64,K113*Параметры!K$64/Параметры!L$64)</f>
        <v>0</v>
      </c>
      <c r="M113" s="138">
        <f>IF(M$2=1,(Проект!$G819+Старт!$B43)/Параметры!M$64,L113*Параметры!L$64/Параметры!M$64)</f>
        <v>0</v>
      </c>
      <c r="N113" s="138">
        <f>IF(N$2=1,(Проект!$G819+Старт!$B43)/Параметры!N$64,M113*Параметры!M$64/Параметры!N$64)</f>
        <v>0</v>
      </c>
      <c r="O113" s="138">
        <f>IF(O$2=1,(Проект!$G819+Старт!$B43)/Параметры!O$64,N113*Параметры!N$64/Параметры!O$64)</f>
        <v>0</v>
      </c>
      <c r="P113" s="138">
        <f>IF(P$2=1,(Проект!$G819+Старт!$B43)/Параметры!P$64,O113*Параметры!O$64/Параметры!P$64)</f>
        <v>0</v>
      </c>
      <c r="Q113" s="138">
        <f>IF(Q$2=1,(Проект!$G819+Старт!$B43)/Параметры!Q$64,P113*Параметры!P$64/Параметры!Q$64)</f>
        <v>0</v>
      </c>
      <c r="R113" s="138">
        <f>IF(R$2=1,(Проект!$G819+Старт!$B43)/Параметры!R$64,Q113*Параметры!Q$64/Параметры!R$64)</f>
        <v>0</v>
      </c>
      <c r="S113" s="138">
        <f>IF(S$2=1,(Проект!$G819+Старт!$B43)/Параметры!S$64,R113*Параметры!R$64/Параметры!S$64)</f>
        <v>0</v>
      </c>
      <c r="T113" s="138">
        <f>IF(T$2=1,(Проект!$G819+Старт!$B43)/Параметры!T$64,S113*Параметры!S$64/Параметры!T$64)</f>
        <v>0</v>
      </c>
      <c r="U113" s="138">
        <f>IF(U$2=1,(Проект!$G819+Старт!$B43)/Параметры!U$64,T113*Параметры!T$64/Параметры!U$64)</f>
        <v>0</v>
      </c>
      <c r="V113" s="138">
        <f>IF(V$2=1,(Проект!$G819+Старт!$B43)/Параметры!V$64,U113*Параметры!U$64/Параметры!V$64)</f>
        <v>0</v>
      </c>
      <c r="W113" s="138">
        <f>IF(W$2=1,(Проект!$G819+Старт!$B43)/Параметры!W$64,V113*Параметры!V$64/Параметры!W$64)</f>
        <v>0</v>
      </c>
      <c r="X113" s="138">
        <f>IF(X$2=1,(Проект!$G819+Старт!$B43)/Параметры!X$64,W113*Параметры!W$64/Параметры!X$64)</f>
        <v>0</v>
      </c>
      <c r="Y113" s="138">
        <f>IF(Y$2=1,(Проект!$G819+Старт!$B43)/Параметры!Y$64,X113*Параметры!X$64/Параметры!Y$64)</f>
        <v>0</v>
      </c>
      <c r="Z113" s="138">
        <f>IF(Z$2=1,(Проект!$G819+Старт!$B43)/Параметры!Z$64,Y113*Параметры!Y$64/Параметры!Z$64)</f>
        <v>0</v>
      </c>
      <c r="AA113" s="138">
        <f>IF(AA$2=1,(Проект!$G819+Старт!$B43)/Параметры!AA$64,Z113*Параметры!Z$64/Параметры!AA$64)</f>
        <v>0</v>
      </c>
      <c r="AB113" s="138">
        <f>IF(AB$2=1,(Проект!$G819+Старт!$B43)/Параметры!AB$64,AA113*Параметры!AA$64/Параметры!AB$64)</f>
        <v>0</v>
      </c>
      <c r="AC113" s="138">
        <f>IF(AC$2=1,(Проект!$G819+Старт!$B43)/Параметры!AC$64,AB113*Параметры!AB$64/Параметры!AC$64)</f>
        <v>0</v>
      </c>
      <c r="AD113" s="138">
        <f>IF(AD$2=1,(Проект!$G819+Старт!$B43)/Параметры!AD$64,AC113*Параметры!AC$64/Параметры!AD$64)</f>
        <v>0</v>
      </c>
      <c r="AE113" s="138">
        <f>IF(AE$2=1,(Проект!$G819+Старт!$B43)/Параметры!AE$64,AD113*Параметры!AD$64/Параметры!AE$64)</f>
        <v>0</v>
      </c>
      <c r="AF113" s="138">
        <f>IF(AF$2=1,(Проект!$G819+Старт!$B43)/Параметры!AF$64,AE113*Параметры!AE$64/Параметры!AF$64)</f>
        <v>0</v>
      </c>
      <c r="AG113" s="138">
        <f>IF(AG$2=1,(Проект!$G819+Старт!$B43)/Параметры!AG$64,AF113*Параметры!AF$64/Параметры!AG$64)</f>
        <v>0</v>
      </c>
      <c r="AH113" s="138">
        <f>IF(AH$2=1,(Проект!$G819+Старт!$B43)/Параметры!AH$64,AG113*Параметры!AG$64/Параметры!AH$64)</f>
        <v>0</v>
      </c>
      <c r="AI113" s="138">
        <f>IF(AI$2=1,(Проект!$G819+Старт!$B43)/Параметры!AI$64,AH113*Параметры!AH$64/Параметры!AI$64)</f>
        <v>0</v>
      </c>
      <c r="AJ113" s="138">
        <f>IF(AJ$2=1,(Проект!$G819+Старт!$B43)/Параметры!AJ$64,AI113*Параметры!AI$64/Параметры!AJ$64)</f>
        <v>0</v>
      </c>
      <c r="AK113" s="138">
        <f>IF(AK$2=1,(Проект!$G819+Старт!$B43)/Параметры!AK$64,AJ113*Параметры!AJ$64/Параметры!AK$64)</f>
        <v>0</v>
      </c>
      <c r="AL113" s="138">
        <f>IF(AL$2=1,(Проект!$G819+Старт!$B43)/Параметры!AL$64,AK113*Параметры!AK$64/Параметры!AL$64)</f>
        <v>0</v>
      </c>
      <c r="AM113" s="138">
        <f>IF(AM$2=1,(Проект!$G819+Старт!$B43)/Параметры!AM$64,AL113*Параметры!AL$64/Параметры!AM$64)</f>
        <v>0</v>
      </c>
      <c r="AN113" s="138">
        <f>IF(AN$2=1,(Проект!$G819+Старт!$B43)/Параметры!AN$64,AM113*Параметры!AM$64/Параметры!AN$64)</f>
        <v>0</v>
      </c>
      <c r="AO113" s="138">
        <f>IF(AO$2=1,(Проект!$G819+Старт!$B43)/Параметры!AO$64,AN113*Параметры!AN$64/Параметры!AO$64)</f>
        <v>0</v>
      </c>
      <c r="AP113" s="138">
        <f>IF(AP$2=1,(Проект!$G819+Старт!$B43)/Параметры!AP$64,AO113*Параметры!AO$64/Параметры!AP$64)</f>
        <v>0</v>
      </c>
      <c r="AQ113" s="138">
        <f>IF(AQ$2=1,(Проект!$G819+Старт!$B43)/Параметры!AQ$64,AP113*Параметры!AP$64/Параметры!AQ$64)</f>
        <v>0</v>
      </c>
      <c r="AR113" s="138">
        <f>IF(AR$2=1,(Проект!$G819+Старт!$B43)/Параметры!AR$64,AQ113*Параметры!AQ$64/Параметры!AR$64)</f>
        <v>0</v>
      </c>
      <c r="AS113" s="138">
        <f>IF(AS$2=1,(Проект!$G819+Старт!$B43)/Параметры!AS$64,AR113*Параметры!AR$64/Параметры!AS$64)</f>
        <v>0</v>
      </c>
      <c r="AT113" s="138">
        <f>IF(AT$2=1,(Проект!$G819+Старт!$B43)/Параметры!AT$64,AS113*Параметры!AS$64/Параметры!AT$64)</f>
        <v>0</v>
      </c>
      <c r="AU113" s="138">
        <f>IF(AU$2=1,(Проект!$G819+Старт!$B43)/Параметры!AU$64,AT113*Параметры!AT$64/Параметры!AU$64)</f>
        <v>0</v>
      </c>
      <c r="AV113" s="138">
        <f>IF(AV$2=1,(Проект!$G819+Старт!$B43)/Параметры!AV$64,AU113*Параметры!AU$64/Параметры!AV$64)</f>
        <v>0</v>
      </c>
    </row>
    <row r="114" spans="1:50" x14ac:dyDescent="0.2">
      <c r="A114" s="125" t="str">
        <f ca="1">Language!A1273</f>
        <v>Суммарный собственный капитал</v>
      </c>
      <c r="B114" s="244"/>
      <c r="C114" s="127" t="str">
        <f ca="1">Параметры!$C$64</f>
        <v>тыс. руб.</v>
      </c>
      <c r="D114" s="128"/>
      <c r="E114" s="245" t="s">
        <v>1515</v>
      </c>
      <c r="F114" s="128" t="s">
        <v>754</v>
      </c>
      <c r="G114" s="246">
        <f ca="1">SUM(G111:G113)</f>
        <v>922225.82785296591</v>
      </c>
      <c r="H114" s="246">
        <f t="shared" ref="H114:K114" ca="1" si="308">SUM(H111:H113)</f>
        <v>856381.47315391374</v>
      </c>
      <c r="I114" s="246">
        <f t="shared" ca="1" si="308"/>
        <v>788286.70770871127</v>
      </c>
      <c r="J114" s="246">
        <f t="shared" ca="1" si="308"/>
        <v>760511.25148892403</v>
      </c>
      <c r="K114" s="246">
        <f t="shared" ca="1" si="308"/>
        <v>901677.20054661529</v>
      </c>
      <c r="L114" s="246">
        <f t="shared" ref="L114:M114" ca="1" si="309">SUM(L111:L113)</f>
        <v>896470.76320509438</v>
      </c>
      <c r="M114" s="246">
        <f t="shared" ca="1" si="309"/>
        <v>869791.7091299278</v>
      </c>
      <c r="N114" s="246">
        <f t="shared" ref="N114:O114" ca="1" si="310">SUM(N111:N113)</f>
        <v>882400.83514553367</v>
      </c>
      <c r="O114" s="246">
        <f t="shared" ca="1" si="310"/>
        <v>1086701.434025926</v>
      </c>
      <c r="P114" s="246">
        <f t="shared" ref="P114:Q114" ca="1" si="311">SUM(P111:P113)</f>
        <v>1124330.5767326797</v>
      </c>
      <c r="Q114" s="246">
        <f t="shared" ca="1" si="311"/>
        <v>1143649.4636735958</v>
      </c>
      <c r="R114" s="246">
        <f t="shared" ref="R114:S114" ca="1" si="312">SUM(R111:R113)</f>
        <v>1193806.9259735288</v>
      </c>
      <c r="S114" s="246">
        <f t="shared" ca="1" si="312"/>
        <v>1436024.1130751739</v>
      </c>
      <c r="T114" s="246">
        <f t="shared" ref="T114:U114" ca="1" si="313">SUM(T111:T113)</f>
        <v>1490102.7289075584</v>
      </c>
      <c r="U114" s="246">
        <f t="shared" ca="1" si="313"/>
        <v>1528982.989354816</v>
      </c>
      <c r="V114" s="246">
        <f t="shared" ref="V114:W114" ca="1" si="314">SUM(V111:V113)</f>
        <v>1600949.1110483115</v>
      </c>
      <c r="W114" s="246">
        <f t="shared" ca="1" si="314"/>
        <v>1877123.3653054449</v>
      </c>
      <c r="X114" s="246">
        <f t="shared" ref="X114:Y114" ca="1" si="315">SUM(X111:X113)</f>
        <v>1954428.9193182734</v>
      </c>
      <c r="Y114" s="246">
        <f t="shared" ca="1" si="315"/>
        <v>2000364.5897992027</v>
      </c>
      <c r="Z114" s="246">
        <f t="shared" ref="Z114:AA114" ca="1" si="316">SUM(Z111:Z113)</f>
        <v>2081367.8631708825</v>
      </c>
      <c r="AA114" s="246">
        <f t="shared" ca="1" si="316"/>
        <v>2378828.2268343344</v>
      </c>
      <c r="AB114" s="246">
        <f t="shared" ref="AB114:AC114" ca="1" si="317">SUM(AB111:AB113)</f>
        <v>2465484.1151677845</v>
      </c>
      <c r="AC114" s="246">
        <f t="shared" ca="1" si="317"/>
        <v>2527058.6322002676</v>
      </c>
      <c r="AD114" s="246">
        <f t="shared" ref="AD114:AE114" ca="1" si="318">SUM(AD111:AD113)</f>
        <v>2625935.7405910436</v>
      </c>
      <c r="AE114" s="246">
        <f t="shared" ca="1" si="318"/>
        <v>2954390.3329469482</v>
      </c>
      <c r="AF114" s="246">
        <f t="shared" ref="AF114:AG114" ca="1" si="319">SUM(AF111:AF113)</f>
        <v>3059527.2169976705</v>
      </c>
      <c r="AG114" s="246">
        <f t="shared" ca="1" si="319"/>
        <v>3133040.0798660084</v>
      </c>
      <c r="AH114" s="246">
        <f t="shared" ref="AH114:AI114" ca="1" si="320">SUM(AH111:AH113)</f>
        <v>3246147.6100751725</v>
      </c>
      <c r="AI114" s="246">
        <f t="shared" ca="1" si="320"/>
        <v>3602661.9864973328</v>
      </c>
      <c r="AJ114" s="246">
        <f t="shared" ref="AJ114:AK114" ca="1" si="321">SUM(AJ111:AJ113)</f>
        <v>3722515.1096858145</v>
      </c>
      <c r="AK114" s="246">
        <f t="shared" ca="1" si="321"/>
        <v>3805780.8955751476</v>
      </c>
      <c r="AL114" s="246">
        <f t="shared" ref="AL114:AM114" ca="1" si="322">SUM(AL111:AL113)</f>
        <v>3931022.6922864025</v>
      </c>
      <c r="AM114" s="246">
        <f t="shared" ca="1" si="322"/>
        <v>4313736.1209915373</v>
      </c>
      <c r="AN114" s="246">
        <f t="shared" ref="AN114:AO114" ca="1" si="323">SUM(AN111:AN113)</f>
        <v>4445036.9741531936</v>
      </c>
      <c r="AO114" s="246">
        <f t="shared" ca="1" si="323"/>
        <v>4537906.3299234658</v>
      </c>
      <c r="AP114" s="246">
        <f t="shared" ref="AP114:AQ114" ca="1" si="324">SUM(AP111:AP113)</f>
        <v>4674884.0342249628</v>
      </c>
      <c r="AQ114" s="246">
        <f t="shared" ca="1" si="324"/>
        <v>5153964.9489697572</v>
      </c>
      <c r="AR114" s="246">
        <f t="shared" ref="AR114:AS114" ca="1" si="325">SUM(AR111:AR113)</f>
        <v>5366541.6830752119</v>
      </c>
      <c r="AS114" s="246">
        <f t="shared" ca="1" si="325"/>
        <v>5512228.52202769</v>
      </c>
      <c r="AT114" s="246">
        <f t="shared" ref="AT114:AU114" ca="1" si="326">SUM(AT111:AT113)</f>
        <v>5704279.5014577936</v>
      </c>
      <c r="AU114" s="246">
        <f t="shared" ca="1" si="326"/>
        <v>6191343.7283144863</v>
      </c>
      <c r="AV114" s="246">
        <f t="shared" ref="AV114" ca="1" si="327">SUM(AV111:AV113)</f>
        <v>6395511.2641933551</v>
      </c>
    </row>
    <row r="115" spans="1:50" x14ac:dyDescent="0.2">
      <c r="A115" s="65"/>
      <c r="D115" s="57"/>
      <c r="E115" s="243"/>
      <c r="F115" s="57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</row>
    <row r="116" spans="1:50" x14ac:dyDescent="0.2">
      <c r="A116" s="131" t="str">
        <f ca="1">Language!A1274</f>
        <v>ИТОГО ПАССИВОВ</v>
      </c>
      <c r="B116" s="248"/>
      <c r="C116" s="133" t="str">
        <f ca="1">Параметры!$C$64</f>
        <v>тыс. руб.</v>
      </c>
      <c r="D116" s="68"/>
      <c r="E116" s="68" t="s">
        <v>720</v>
      </c>
      <c r="F116" s="128" t="s">
        <v>754</v>
      </c>
      <c r="G116" s="251">
        <f ca="1">G104+G109+G114</f>
        <v>3584104.7039441098</v>
      </c>
      <c r="H116" s="251">
        <f t="shared" ref="H116:I116" ca="1" si="328">H104+H109+H114</f>
        <v>3476986.8927689823</v>
      </c>
      <c r="I116" s="251">
        <f t="shared" ca="1" si="328"/>
        <v>3480771.4381208434</v>
      </c>
      <c r="J116" s="251">
        <f t="shared" ref="J116:K116" ca="1" si="329">J104+J109+J114</f>
        <v>3485461.4044317976</v>
      </c>
      <c r="K116" s="251">
        <f t="shared" ca="1" si="329"/>
        <v>3632010.7623841316</v>
      </c>
      <c r="L116" s="251">
        <f t="shared" ref="L116:M116" ca="1" si="330">L104+L109+L114</f>
        <v>3622127.4576166221</v>
      </c>
      <c r="M116" s="251">
        <f t="shared" ca="1" si="330"/>
        <v>3594874.2107922081</v>
      </c>
      <c r="N116" s="251">
        <f t="shared" ref="N116:O116" ca="1" si="331">N104+N109+N114</f>
        <v>3609505.3781462018</v>
      </c>
      <c r="O116" s="251">
        <f t="shared" ca="1" si="331"/>
        <v>3819938.8054575324</v>
      </c>
      <c r="P116" s="251">
        <f t="shared" ref="P116:Q116" ca="1" si="332">P104+P109+P114</f>
        <v>3852232.6275221179</v>
      </c>
      <c r="Q116" s="251">
        <f t="shared" ca="1" si="332"/>
        <v>3870279.5811152658</v>
      </c>
      <c r="R116" s="251">
        <f t="shared" ref="R116:S116" ca="1" si="333">R104+R109+R114</f>
        <v>3922347.4356532078</v>
      </c>
      <c r="S116" s="251">
        <f t="shared" ca="1" si="333"/>
        <v>4170825.3907074886</v>
      </c>
      <c r="T116" s="251">
        <f t="shared" ref="T116:U116" ca="1" si="334">T104+T109+T114</f>
        <v>4219001.3208816685</v>
      </c>
      <c r="U116" s="251">
        <f t="shared" ca="1" si="334"/>
        <v>4204729.958777383</v>
      </c>
      <c r="V116" s="251">
        <f t="shared" ref="V116:W116" ca="1" si="335">V104+V109+V114</f>
        <v>4198142.5163119342</v>
      </c>
      <c r="W116" s="251">
        <f t="shared" ca="1" si="335"/>
        <v>4310381.0824248791</v>
      </c>
      <c r="X116" s="251">
        <f t="shared" ref="X116:Y116" ca="1" si="336">X104+X109+X114</f>
        <v>4238677.7578734495</v>
      </c>
      <c r="Y116" s="251">
        <f t="shared" ca="1" si="336"/>
        <v>4219846.6211880706</v>
      </c>
      <c r="Z116" s="251">
        <f t="shared" ref="Z116:AA116" ca="1" si="337">Z104+Z109+Z114</f>
        <v>4210960.1763284532</v>
      </c>
      <c r="AA116" s="251">
        <f t="shared" ca="1" si="337"/>
        <v>4327956.6491947751</v>
      </c>
      <c r="AB116" s="251">
        <f t="shared" ref="AB116:AC116" ca="1" si="338">AB104+AB109+AB114</f>
        <v>4249901.2839528583</v>
      </c>
      <c r="AC116" s="251">
        <f t="shared" ca="1" si="338"/>
        <v>4232354.0513046291</v>
      </c>
      <c r="AD116" s="251">
        <f t="shared" ref="AD116:AE116" ca="1" si="339">AD104+AD109+AD114</f>
        <v>4223036.0551436236</v>
      </c>
      <c r="AE116" s="251">
        <f t="shared" ca="1" si="339"/>
        <v>4347051.57871674</v>
      </c>
      <c r="AF116" s="251">
        <f t="shared" ref="AF116:AG116" ca="1" si="340">AF104+AF109+AF114</f>
        <v>4264207.814112776</v>
      </c>
      <c r="AG116" s="251">
        <f t="shared" ca="1" si="340"/>
        <v>4241963.6533985846</v>
      </c>
      <c r="AH116" s="251">
        <f t="shared" ref="AH116:AI116" ca="1" si="341">AH104+AH109+AH114</f>
        <v>4230296.019043006</v>
      </c>
      <c r="AI116" s="251">
        <f t="shared" ca="1" si="341"/>
        <v>4359867.9987477642</v>
      </c>
      <c r="AJ116" s="251">
        <f t="shared" ref="AJ116:AK116" ca="1" si="342">AJ104+AJ109+AJ114</f>
        <v>4270073.8319789656</v>
      </c>
      <c r="AK116" s="251">
        <f t="shared" ca="1" si="342"/>
        <v>4242583.4804227278</v>
      </c>
      <c r="AL116" s="251">
        <f t="shared" ref="AL116:AM116" ca="1" si="343">AL104+AL109+AL114</f>
        <v>4227159.8278723555</v>
      </c>
      <c r="AM116" s="251">
        <f t="shared" ca="1" si="343"/>
        <v>4578935.8403364317</v>
      </c>
      <c r="AN116" s="251">
        <f t="shared" ref="AN116:AO116" ca="1" si="344">AN104+AN109+AN114</f>
        <v>4702349.5443291515</v>
      </c>
      <c r="AO116" s="251">
        <f t="shared" ca="1" si="344"/>
        <v>4792999.3700148566</v>
      </c>
      <c r="AP116" s="251">
        <f t="shared" ref="AP116:AQ116" ca="1" si="345">AP104+AP109+AP114</f>
        <v>4932699.1102175312</v>
      </c>
      <c r="AQ116" s="251">
        <f t="shared" ca="1" si="345"/>
        <v>5420673.3296311218</v>
      </c>
      <c r="AR116" s="251">
        <f t="shared" ref="AR116:AS116" ca="1" si="346">AR104+AR109+AR114</f>
        <v>5624889.4572653947</v>
      </c>
      <c r="AS116" s="251">
        <f t="shared" ca="1" si="346"/>
        <v>5767351.8440642953</v>
      </c>
      <c r="AT116" s="251">
        <f t="shared" ref="AT116:AU116" ca="1" si="347">AT104+AT109+AT114</f>
        <v>5962275.1579174651</v>
      </c>
      <c r="AU116" s="251">
        <f t="shared" ca="1" si="347"/>
        <v>6458753.0729841236</v>
      </c>
      <c r="AV116" s="251">
        <f t="shared" ref="AV116" ca="1" si="348">AV104+AV109+AV114</f>
        <v>6654044.9573535351</v>
      </c>
    </row>
    <row r="117" spans="1:50" x14ac:dyDescent="0.2">
      <c r="A117" s="134" t="str">
        <f ca="1">Language!A1275</f>
        <v>Контроль сходимости баланса</v>
      </c>
      <c r="B117" s="135"/>
      <c r="C117" s="136" t="str">
        <f ca="1">IF(OR(MAX(G117:AX117)&lt;&gt;0,MIN(G117:AX117)&lt;&gt;0),"Не сходится","ОК")</f>
        <v>ОК</v>
      </c>
      <c r="D117" s="57"/>
      <c r="E117" s="57"/>
      <c r="F117" s="57"/>
      <c r="G117" s="135">
        <f ca="1">ROUND(G95-G116,0)</f>
        <v>0</v>
      </c>
      <c r="H117" s="135">
        <f t="shared" ref="H117:K117" ca="1" si="349">ROUND(H95-H116,0)</f>
        <v>0</v>
      </c>
      <c r="I117" s="135">
        <f t="shared" ca="1" si="349"/>
        <v>0</v>
      </c>
      <c r="J117" s="135">
        <f t="shared" ca="1" si="349"/>
        <v>0</v>
      </c>
      <c r="K117" s="135">
        <f t="shared" ca="1" si="349"/>
        <v>0</v>
      </c>
      <c r="L117" s="135">
        <f t="shared" ref="L117:M117" ca="1" si="350">ROUND(L95-L116,0)</f>
        <v>0</v>
      </c>
      <c r="M117" s="135">
        <f t="shared" ca="1" si="350"/>
        <v>0</v>
      </c>
      <c r="N117" s="135">
        <f t="shared" ref="N117:O117" ca="1" si="351">ROUND(N95-N116,0)</f>
        <v>0</v>
      </c>
      <c r="O117" s="135">
        <f t="shared" ca="1" si="351"/>
        <v>0</v>
      </c>
      <c r="P117" s="135">
        <f t="shared" ref="P117:Q117" ca="1" si="352">ROUND(P95-P116,0)</f>
        <v>0</v>
      </c>
      <c r="Q117" s="135">
        <f t="shared" ca="1" si="352"/>
        <v>0</v>
      </c>
      <c r="R117" s="135">
        <f t="shared" ref="R117:S117" ca="1" si="353">ROUND(R95-R116,0)</f>
        <v>0</v>
      </c>
      <c r="S117" s="135">
        <f t="shared" ca="1" si="353"/>
        <v>0</v>
      </c>
      <c r="T117" s="135">
        <f t="shared" ref="T117:U117" ca="1" si="354">ROUND(T95-T116,0)</f>
        <v>0</v>
      </c>
      <c r="U117" s="135">
        <f t="shared" ca="1" si="354"/>
        <v>0</v>
      </c>
      <c r="V117" s="135">
        <f t="shared" ref="V117:W117" ca="1" si="355">ROUND(V95-V116,0)</f>
        <v>0</v>
      </c>
      <c r="W117" s="135">
        <f t="shared" ca="1" si="355"/>
        <v>0</v>
      </c>
      <c r="X117" s="135">
        <f t="shared" ref="X117:Y117" ca="1" si="356">ROUND(X95-X116,0)</f>
        <v>0</v>
      </c>
      <c r="Y117" s="135">
        <f t="shared" ca="1" si="356"/>
        <v>0</v>
      </c>
      <c r="Z117" s="135">
        <f t="shared" ref="Z117:AA117" ca="1" si="357">ROUND(Z95-Z116,0)</f>
        <v>0</v>
      </c>
      <c r="AA117" s="135">
        <f t="shared" ca="1" si="357"/>
        <v>0</v>
      </c>
      <c r="AB117" s="135">
        <f t="shared" ref="AB117:AC117" ca="1" si="358">ROUND(AB95-AB116,0)</f>
        <v>0</v>
      </c>
      <c r="AC117" s="135">
        <f t="shared" ca="1" si="358"/>
        <v>0</v>
      </c>
      <c r="AD117" s="135">
        <f t="shared" ref="AD117:AE117" ca="1" si="359">ROUND(AD95-AD116,0)</f>
        <v>0</v>
      </c>
      <c r="AE117" s="135">
        <f t="shared" ca="1" si="359"/>
        <v>0</v>
      </c>
      <c r="AF117" s="135">
        <f t="shared" ref="AF117:AG117" ca="1" si="360">ROUND(AF95-AF116,0)</f>
        <v>0</v>
      </c>
      <c r="AG117" s="135">
        <f t="shared" ca="1" si="360"/>
        <v>0</v>
      </c>
      <c r="AH117" s="135">
        <f t="shared" ref="AH117:AI117" ca="1" si="361">ROUND(AH95-AH116,0)</f>
        <v>0</v>
      </c>
      <c r="AI117" s="135">
        <f t="shared" ca="1" si="361"/>
        <v>0</v>
      </c>
      <c r="AJ117" s="135">
        <f t="shared" ref="AJ117:AK117" ca="1" si="362">ROUND(AJ95-AJ116,0)</f>
        <v>0</v>
      </c>
      <c r="AK117" s="135">
        <f t="shared" ca="1" si="362"/>
        <v>0</v>
      </c>
      <c r="AL117" s="135">
        <f t="shared" ref="AL117:AM117" ca="1" si="363">ROUND(AL95-AL116,0)</f>
        <v>0</v>
      </c>
      <c r="AM117" s="135">
        <f t="shared" ca="1" si="363"/>
        <v>0</v>
      </c>
      <c r="AN117" s="135">
        <f t="shared" ref="AN117:AO117" ca="1" si="364">ROUND(AN95-AN116,0)</f>
        <v>0</v>
      </c>
      <c r="AO117" s="135">
        <f t="shared" ca="1" si="364"/>
        <v>0</v>
      </c>
      <c r="AP117" s="135">
        <f t="shared" ref="AP117:AQ117" ca="1" si="365">ROUND(AP95-AP116,0)</f>
        <v>0</v>
      </c>
      <c r="AQ117" s="135">
        <f t="shared" ca="1" si="365"/>
        <v>0</v>
      </c>
      <c r="AR117" s="135">
        <f t="shared" ref="AR117:AS117" ca="1" si="366">ROUND(AR95-AR116,0)</f>
        <v>0</v>
      </c>
      <c r="AS117" s="135">
        <f t="shared" ca="1" si="366"/>
        <v>0</v>
      </c>
      <c r="AT117" s="135">
        <f t="shared" ref="AT117:AU117" ca="1" si="367">ROUND(AT95-AT116,0)</f>
        <v>0</v>
      </c>
      <c r="AU117" s="135">
        <f t="shared" ca="1" si="367"/>
        <v>0</v>
      </c>
      <c r="AV117" s="135">
        <f t="shared" ref="AV117" ca="1" si="368">ROUND(AV95-AV116,0)</f>
        <v>0</v>
      </c>
    </row>
    <row r="118" spans="1:50" x14ac:dyDescent="0.2">
      <c r="D118" s="57"/>
      <c r="E118" s="57"/>
      <c r="F118" s="57"/>
    </row>
    <row r="119" spans="1:50" s="64" customFormat="1" ht="25.5" customHeight="1" thickBot="1" x14ac:dyDescent="0.25">
      <c r="A119" s="118" t="str">
        <f ca="1">Language!A1276</f>
        <v>ПОКАЗАТЕЛИ ДОЛГА</v>
      </c>
      <c r="B119" s="241"/>
      <c r="C119" s="242"/>
      <c r="D119" s="121"/>
      <c r="E119" s="121" t="s">
        <v>901</v>
      </c>
      <c r="F119" s="121"/>
      <c r="G119" s="69" t="str">
        <f ca="1">Параметры!G$34</f>
        <v>4 кв. 2022</v>
      </c>
      <c r="H119" s="140" t="str">
        <f ca="1">Параметры!H$34</f>
        <v>1 кв. 2023</v>
      </c>
      <c r="I119" s="140" t="str">
        <f ca="1">Параметры!I$34</f>
        <v>2 кв. 2023</v>
      </c>
      <c r="J119" s="140" t="str">
        <f ca="1">Параметры!J$34</f>
        <v>3 кв. 2023</v>
      </c>
      <c r="K119" s="140" t="str">
        <f ca="1">Параметры!K$34</f>
        <v>4 кв. 2023</v>
      </c>
      <c r="L119" s="140" t="str">
        <f ca="1">Параметры!L$34</f>
        <v>1 кв. 2024</v>
      </c>
      <c r="M119" s="140" t="str">
        <f ca="1">Параметры!M$34</f>
        <v>2 кв. 2024</v>
      </c>
      <c r="N119" s="140" t="str">
        <f ca="1">Параметры!N$34</f>
        <v>3 кв. 2024</v>
      </c>
      <c r="O119" s="140" t="str">
        <f ca="1">Параметры!O$34</f>
        <v>4 кв. 2024</v>
      </c>
      <c r="P119" s="140" t="str">
        <f ca="1">Параметры!P$34</f>
        <v>1 кв. 2025</v>
      </c>
      <c r="Q119" s="140" t="str">
        <f ca="1">Параметры!Q$34</f>
        <v>2 кв. 2025</v>
      </c>
      <c r="R119" s="140" t="str">
        <f ca="1">Параметры!R$34</f>
        <v>3 кв. 2025</v>
      </c>
      <c r="S119" s="140" t="str">
        <f ca="1">Параметры!S$34</f>
        <v>4 кв. 2025</v>
      </c>
      <c r="T119" s="140" t="str">
        <f ca="1">Параметры!T$34</f>
        <v>1 кв. 2026</v>
      </c>
      <c r="U119" s="140" t="str">
        <f ca="1">Параметры!U$34</f>
        <v>2 кв. 2026</v>
      </c>
      <c r="V119" s="140" t="str">
        <f ca="1">Параметры!V$34</f>
        <v>3 кв. 2026</v>
      </c>
      <c r="W119" s="140" t="str">
        <f ca="1">Параметры!W$34</f>
        <v>4 кв. 2026</v>
      </c>
      <c r="X119" s="140" t="str">
        <f ca="1">Параметры!X$34</f>
        <v>1 кв. 2027</v>
      </c>
      <c r="Y119" s="140" t="str">
        <f ca="1">Параметры!Y$34</f>
        <v>2 кв. 2027</v>
      </c>
      <c r="Z119" s="140" t="str">
        <f ca="1">Параметры!Z$34</f>
        <v>3 кв. 2027</v>
      </c>
      <c r="AA119" s="140" t="str">
        <f ca="1">Параметры!AA$34</f>
        <v>4 кв. 2027</v>
      </c>
      <c r="AB119" s="140" t="str">
        <f ca="1">Параметры!AB$34</f>
        <v>1 кв. 2028</v>
      </c>
      <c r="AC119" s="140" t="str">
        <f ca="1">Параметры!AC$34</f>
        <v>2 кв. 2028</v>
      </c>
      <c r="AD119" s="140" t="str">
        <f ca="1">Параметры!AD$34</f>
        <v>3 кв. 2028</v>
      </c>
      <c r="AE119" s="140" t="str">
        <f ca="1">Параметры!AE$34</f>
        <v>4 кв. 2028</v>
      </c>
      <c r="AF119" s="140" t="str">
        <f ca="1">Параметры!AF$34</f>
        <v>1 кв. 2029</v>
      </c>
      <c r="AG119" s="140" t="str">
        <f ca="1">Параметры!AG$34</f>
        <v>2 кв. 2029</v>
      </c>
      <c r="AH119" s="140" t="str">
        <f ca="1">Параметры!AH$34</f>
        <v>3 кв. 2029</v>
      </c>
      <c r="AI119" s="140" t="str">
        <f ca="1">Параметры!AI$34</f>
        <v>4 кв. 2029</v>
      </c>
      <c r="AJ119" s="140" t="str">
        <f ca="1">Параметры!AJ$34</f>
        <v>1 кв. 2030</v>
      </c>
      <c r="AK119" s="140" t="str">
        <f ca="1">Параметры!AK$34</f>
        <v>2 кв. 2030</v>
      </c>
      <c r="AL119" s="140" t="str">
        <f ca="1">Параметры!AL$34</f>
        <v>3 кв. 2030</v>
      </c>
      <c r="AM119" s="140" t="str">
        <f ca="1">Параметры!AM$34</f>
        <v>4 кв. 2030</v>
      </c>
      <c r="AN119" s="140" t="str">
        <f ca="1">Параметры!AN$34</f>
        <v>1 кв. 2031</v>
      </c>
      <c r="AO119" s="140" t="str">
        <f ca="1">Параметры!AO$34</f>
        <v>2 кв. 2031</v>
      </c>
      <c r="AP119" s="140" t="str">
        <f ca="1">Параметры!AP$34</f>
        <v>3 кв. 2031</v>
      </c>
      <c r="AQ119" s="140" t="str">
        <f ca="1">Параметры!AQ$34</f>
        <v>4 кв. 2031</v>
      </c>
      <c r="AR119" s="140" t="str">
        <f ca="1">Параметры!AR$34</f>
        <v>1 кв. 2032</v>
      </c>
      <c r="AS119" s="140" t="str">
        <f ca="1">Параметры!AS$34</f>
        <v>2 кв. 2032</v>
      </c>
      <c r="AT119" s="140" t="str">
        <f ca="1">Параметры!AT$34</f>
        <v>3 кв. 2032</v>
      </c>
      <c r="AU119" s="140" t="str">
        <f ca="1">Параметры!AU$34</f>
        <v>4 кв. 2032</v>
      </c>
      <c r="AV119" s="140" t="str">
        <f ca="1">Параметры!AV$34</f>
        <v>1 кв. 2033</v>
      </c>
      <c r="AW119" s="122"/>
      <c r="AX119" s="123"/>
    </row>
    <row r="120" spans="1:50" ht="13.5" thickTop="1" x14ac:dyDescent="0.2">
      <c r="A120" s="65"/>
      <c r="D120" s="57"/>
      <c r="E120" s="57"/>
      <c r="F120" s="57"/>
      <c r="AW120" s="58"/>
      <c r="AX120" s="58"/>
    </row>
    <row r="121" spans="1:50" x14ac:dyDescent="0.2">
      <c r="A121" s="99" t="str">
        <f ca="1">Language!A1277</f>
        <v>EBITDA (в годовом выражении)</v>
      </c>
      <c r="C121" s="130" t="str">
        <f ca="1">Параметры!$C$64</f>
        <v>тыс. руб.</v>
      </c>
      <c r="D121" s="57"/>
      <c r="E121" s="57" t="s">
        <v>1516</v>
      </c>
      <c r="F121" s="57" t="s">
        <v>753</v>
      </c>
      <c r="G121" s="252">
        <f ca="1">G17*12/Параметры!G31</f>
        <v>491186.21568304999</v>
      </c>
      <c r="H121" s="252">
        <f ca="1">H17*12/Параметры!H31</f>
        <v>64041.277474977156</v>
      </c>
      <c r="I121" s="252">
        <f ca="1">I17*12/Параметры!I31</f>
        <v>56539.634490376549</v>
      </c>
      <c r="J121" s="252">
        <f ca="1">J17*12/Параметры!J31</f>
        <v>218816.87139203693</v>
      </c>
      <c r="K121" s="252">
        <f ca="1">K17*12/Параметры!K31</f>
        <v>894582.49250195082</v>
      </c>
      <c r="L121" s="252">
        <f ca="1">L17*12/Параметры!L31</f>
        <v>309092.9469051027</v>
      </c>
      <c r="M121" s="252">
        <f ca="1">M17*12/Параметры!M31</f>
        <v>223202.47997052167</v>
      </c>
      <c r="N121" s="252">
        <f ca="1">N17*12/Параметры!N31</f>
        <v>380355.20033360994</v>
      </c>
      <c r="O121" s="252">
        <f ca="1">O17*12/Параметры!O31</f>
        <v>1147121.0917927551</v>
      </c>
      <c r="P121" s="252">
        <f ca="1">P17*12/Параметры!P31</f>
        <v>480435.26709820033</v>
      </c>
      <c r="Q121" s="252">
        <f ca="1">Q17*12/Параметры!Q31</f>
        <v>407194.24403485266</v>
      </c>
      <c r="R121" s="252">
        <f ca="1">R17*12/Параметры!R31</f>
        <v>530548.54547091783</v>
      </c>
      <c r="S121" s="252">
        <f ca="1">S17*12/Параметры!S31</f>
        <v>1298787.4446777645</v>
      </c>
      <c r="T121" s="252">
        <f ca="1">T17*12/Параметры!T31</f>
        <v>546233.15960071993</v>
      </c>
      <c r="U121" s="252">
        <f ca="1">U17*12/Параметры!U31</f>
        <v>484920.34410577646</v>
      </c>
      <c r="V121" s="252">
        <f ca="1">V17*12/Параметры!V31</f>
        <v>616457.93812187284</v>
      </c>
      <c r="W121" s="252">
        <f ca="1">W17*12/Параметры!W31</f>
        <v>1431584.6812288587</v>
      </c>
      <c r="X121" s="252">
        <f ca="1">X17*12/Параметры!X31</f>
        <v>634682.29283782514</v>
      </c>
      <c r="Y121" s="252">
        <f ca="1">Y17*12/Параметры!Y31</f>
        <v>508573.03338548745</v>
      </c>
      <c r="Z121" s="252">
        <f ca="1">Z17*12/Параметры!Z31</f>
        <v>647923.0201745074</v>
      </c>
      <c r="AA121" s="252">
        <f ca="1">AA17*12/Параметры!AA31</f>
        <v>1511876.3331044298</v>
      </c>
      <c r="AB121" s="252">
        <f ca="1">AB17*12/Параметры!AB31</f>
        <v>667077.57755479869</v>
      </c>
      <c r="AC121" s="252">
        <f ca="1">AC17*12/Параметры!AC31</f>
        <v>565977.17954776995</v>
      </c>
      <c r="AD121" s="252">
        <f ca="1">AD17*12/Параметры!AD31</f>
        <v>714082.74180691445</v>
      </c>
      <c r="AE121" s="252">
        <f ca="1">AE17*12/Параметры!AE31</f>
        <v>1630273.6197267976</v>
      </c>
      <c r="AF121" s="252">
        <f ca="1">AF17*12/Параметры!AF31</f>
        <v>735193.1799705904</v>
      </c>
      <c r="AG121" s="252">
        <f ca="1">AG17*12/Параметры!AG31</f>
        <v>607758.49700225703</v>
      </c>
      <c r="AH121" s="252">
        <f ca="1">AH17*12/Параметры!AH31</f>
        <v>764865.18189794163</v>
      </c>
      <c r="AI121" s="252">
        <f ca="1">AI17*12/Параметры!AI31</f>
        <v>1736143.9857886843</v>
      </c>
      <c r="AJ121" s="252">
        <f ca="1">AJ17*12/Параметры!AJ31</f>
        <v>787476.90205399471</v>
      </c>
      <c r="AK121" s="252">
        <f ca="1">AK17*12/Параметры!AK31</f>
        <v>640041.13138368598</v>
      </c>
      <c r="AL121" s="252">
        <f ca="1">AL17*12/Параметры!AL31</f>
        <v>806512.838502381</v>
      </c>
      <c r="AM121" s="252">
        <f ca="1">AM17*12/Параметры!AM31</f>
        <v>1836006.0910917309</v>
      </c>
      <c r="AN121" s="252">
        <f ca="1">AN17*12/Параметры!AN31</f>
        <v>830355.78891780972</v>
      </c>
      <c r="AO121" s="252">
        <f ca="1">AO17*12/Параметры!AO31</f>
        <v>676629.79935227882</v>
      </c>
      <c r="AP121" s="252">
        <f ca="1">AP17*12/Параметры!AP31</f>
        <v>853063.19347717066</v>
      </c>
      <c r="AQ121" s="252">
        <f ca="1">AQ17*12/Параметры!AQ31</f>
        <v>1944299.0352503646</v>
      </c>
      <c r="AR121" s="252">
        <f ca="1">AR17*12/Параметры!AR31</f>
        <v>878282.31269301893</v>
      </c>
      <c r="AS121" s="252">
        <f ca="1">AS17*12/Параметры!AS31</f>
        <v>610722.73208110605</v>
      </c>
      <c r="AT121" s="252">
        <f ca="1">AT17*12/Параметры!AT31</f>
        <v>796179.29399159749</v>
      </c>
      <c r="AU121" s="252">
        <f ca="1">AU17*12/Параметры!AU31</f>
        <v>1951303.5175962641</v>
      </c>
      <c r="AV121" s="252">
        <f ca="1">AV17*12/Параметры!AV31</f>
        <v>819716.75368496357</v>
      </c>
      <c r="AW121" s="58"/>
      <c r="AX121" s="58"/>
    </row>
    <row r="122" spans="1:50" x14ac:dyDescent="0.2">
      <c r="A122" s="99" t="str">
        <f ca="1">Language!A1278</f>
        <v>Суммарная задолженность, TD</v>
      </c>
      <c r="C122" s="130" t="str">
        <f ca="1">Параметры!$C$64</f>
        <v>тыс. руб.</v>
      </c>
      <c r="D122" s="57"/>
      <c r="E122" s="57" t="s">
        <v>1517</v>
      </c>
      <c r="F122" s="57" t="s">
        <v>756</v>
      </c>
      <c r="G122" s="252">
        <f>G102+G106</f>
        <v>2191160</v>
      </c>
      <c r="H122" s="252">
        <f t="shared" ref="H122:I122" si="369">H102+H106</f>
        <v>2241160</v>
      </c>
      <c r="I122" s="252">
        <f t="shared" si="369"/>
        <v>2391160</v>
      </c>
      <c r="J122" s="252">
        <f t="shared" ref="J122:K122" si="370">J102+J106</f>
        <v>2491160</v>
      </c>
      <c r="K122" s="252">
        <f t="shared" si="370"/>
        <v>2491160</v>
      </c>
      <c r="L122" s="252">
        <f t="shared" ref="L122:M122" si="371">L102+L106</f>
        <v>2491160</v>
      </c>
      <c r="M122" s="252">
        <f t="shared" si="371"/>
        <v>2491160</v>
      </c>
      <c r="N122" s="252">
        <f t="shared" ref="N122:O122" si="372">N102+N106</f>
        <v>2491160</v>
      </c>
      <c r="O122" s="252">
        <f t="shared" si="372"/>
        <v>2491160</v>
      </c>
      <c r="P122" s="252">
        <f t="shared" ref="P122:Q122" si="373">P102+P106</f>
        <v>2491160</v>
      </c>
      <c r="Q122" s="252">
        <f t="shared" si="373"/>
        <v>2491160</v>
      </c>
      <c r="R122" s="252">
        <f t="shared" ref="R122:S122" si="374">R102+R106</f>
        <v>2491160</v>
      </c>
      <c r="S122" s="252">
        <f t="shared" si="374"/>
        <v>2491160</v>
      </c>
      <c r="T122" s="252">
        <f t="shared" ref="T122:U122" si="375">T102+T106</f>
        <v>2491160</v>
      </c>
      <c r="U122" s="252">
        <f t="shared" si="375"/>
        <v>2439220.6045558229</v>
      </c>
      <c r="V122" s="252">
        <f t="shared" ref="V122:W122" si="376">V102+V106</f>
        <v>2358635.5076704742</v>
      </c>
      <c r="W122" s="252">
        <f t="shared" si="376"/>
        <v>2188056.7929135934</v>
      </c>
      <c r="X122" s="252">
        <f t="shared" ref="X122:Y122" si="377">X102+X106</f>
        <v>2045298.0515321111</v>
      </c>
      <c r="Y122" s="252">
        <f t="shared" si="377"/>
        <v>1982325.5190581742</v>
      </c>
      <c r="Z122" s="252">
        <f t="shared" ref="Z122:AA122" si="378">Z102+Z106</f>
        <v>1890283.0416607889</v>
      </c>
      <c r="AA122" s="252">
        <f t="shared" si="378"/>
        <v>1702778.2179439007</v>
      </c>
      <c r="AB122" s="252">
        <f t="shared" ref="AB122:AC122" si="379">AB102+AB106</f>
        <v>1544692.7949810685</v>
      </c>
      <c r="AC122" s="252">
        <f t="shared" si="379"/>
        <v>1467201.5146658332</v>
      </c>
      <c r="AD122" s="252">
        <f t="shared" ref="AD122:AE122" si="380">AD102+AD106</f>
        <v>1356721.1972624753</v>
      </c>
      <c r="AE122" s="252">
        <f t="shared" si="380"/>
        <v>1144815.4031996259</v>
      </c>
      <c r="AF122" s="252">
        <f t="shared" ref="AF122:AG122" si="381">AF102+AF106</f>
        <v>963854.74965150608</v>
      </c>
      <c r="AG122" s="252">
        <f t="shared" si="381"/>
        <v>869994.92577205668</v>
      </c>
      <c r="AH122" s="252">
        <f t="shared" ref="AH122:AI122" si="382">AH102+AH106</f>
        <v>742796.47901046672</v>
      </c>
      <c r="AI122" s="252">
        <f t="shared" si="382"/>
        <v>507938.382885403</v>
      </c>
      <c r="AJ122" s="252">
        <f t="shared" ref="AJ122:AK122" si="383">AJ102+AJ106</f>
        <v>305731.30288769235</v>
      </c>
      <c r="AK122" s="252">
        <f t="shared" si="383"/>
        <v>197089.15551675158</v>
      </c>
      <c r="AL122" s="252">
        <f t="shared" ref="AL122:AM122" si="384">AL102+AL106</f>
        <v>53855.538617056329</v>
      </c>
      <c r="AM122" s="252">
        <f t="shared" si="384"/>
        <v>14528</v>
      </c>
      <c r="AN122" s="252">
        <f t="shared" ref="AN122:AO122" si="385">AN102+AN106</f>
        <v>14528</v>
      </c>
      <c r="AO122" s="252">
        <f t="shared" si="385"/>
        <v>14528</v>
      </c>
      <c r="AP122" s="252">
        <f t="shared" ref="AP122:AQ122" si="386">AP102+AP106</f>
        <v>14528</v>
      </c>
      <c r="AQ122" s="252">
        <f t="shared" si="386"/>
        <v>14528</v>
      </c>
      <c r="AR122" s="252">
        <f t="shared" ref="AR122:AS122" si="387">AR102+AR106</f>
        <v>14528</v>
      </c>
      <c r="AS122" s="252">
        <f t="shared" si="387"/>
        <v>14528</v>
      </c>
      <c r="AT122" s="252">
        <f t="shared" ref="AT122:AU122" si="388">AT102+AT106</f>
        <v>14528</v>
      </c>
      <c r="AU122" s="252">
        <f t="shared" si="388"/>
        <v>14528</v>
      </c>
      <c r="AV122" s="252">
        <f t="shared" ref="AV122" si="389">AV102+AV106</f>
        <v>14528</v>
      </c>
      <c r="AW122" s="58"/>
      <c r="AX122" s="58"/>
    </row>
    <row r="123" spans="1:50" x14ac:dyDescent="0.2">
      <c r="A123" s="125" t="str">
        <f ca="1">Language!A1279</f>
        <v>TD / EBITDA</v>
      </c>
      <c r="B123" s="244"/>
      <c r="C123" s="127" t="str">
        <f ca="1">Language!$A$1449</f>
        <v>раз</v>
      </c>
      <c r="D123" s="128"/>
      <c r="E123" s="128" t="s">
        <v>1518</v>
      </c>
      <c r="F123" s="128" t="s">
        <v>756</v>
      </c>
      <c r="G123" s="253">
        <f ca="1">IFERROR(IF(G$2=1,G122,(G122+F122)/2)/G121,"-")</f>
        <v>4.4609558046187114</v>
      </c>
      <c r="H123" s="253">
        <f t="shared" ref="H123:AV123" ca="1" si="390">IFERROR(IF(H$2=1,H122,(H122+G122)/2)/H121,"-")</f>
        <v>34.605181023534705</v>
      </c>
      <c r="I123" s="253">
        <f t="shared" ca="1" si="390"/>
        <v>40.965245369497872</v>
      </c>
      <c r="J123" s="253">
        <f t="shared" ca="1" si="390"/>
        <v>11.156178152398342</v>
      </c>
      <c r="K123" s="253">
        <f t="shared" ca="1" si="390"/>
        <v>2.7847180342561506</v>
      </c>
      <c r="L123" s="253">
        <f t="shared" ca="1" si="390"/>
        <v>8.0595821578705671</v>
      </c>
      <c r="M123" s="253">
        <f t="shared" ca="1" si="390"/>
        <v>11.160987101617362</v>
      </c>
      <c r="N123" s="253">
        <f t="shared" ca="1" si="390"/>
        <v>6.5495620877932019</v>
      </c>
      <c r="O123" s="253">
        <f t="shared" ca="1" si="390"/>
        <v>2.1716626237834586</v>
      </c>
      <c r="P123" s="253">
        <f t="shared" ca="1" si="390"/>
        <v>5.185214680525962</v>
      </c>
      <c r="Q123" s="253">
        <f t="shared" ca="1" si="390"/>
        <v>6.1178664396512836</v>
      </c>
      <c r="R123" s="253">
        <f t="shared" ca="1" si="390"/>
        <v>4.695442144297715</v>
      </c>
      <c r="S123" s="253">
        <f t="shared" ca="1" si="390"/>
        <v>1.9180659700772429</v>
      </c>
      <c r="T123" s="253">
        <f t="shared" ca="1" si="390"/>
        <v>4.5606165722728429</v>
      </c>
      <c r="U123" s="253">
        <f t="shared" ca="1" si="390"/>
        <v>5.0837015444750557</v>
      </c>
      <c r="V123" s="253">
        <f t="shared" ca="1" si="390"/>
        <v>3.8914707845628942</v>
      </c>
      <c r="W123" s="253">
        <f t="shared" ca="1" si="390"/>
        <v>1.5879927887609242</v>
      </c>
      <c r="X123" s="253">
        <f t="shared" ca="1" si="390"/>
        <v>3.335018868666797</v>
      </c>
      <c r="Y123" s="253">
        <f t="shared" ca="1" si="390"/>
        <v>3.9597297793977146</v>
      </c>
      <c r="Z123" s="253">
        <f t="shared" ca="1" si="390"/>
        <v>2.9884789088647752</v>
      </c>
      <c r="AA123" s="253">
        <f t="shared" ca="1" si="390"/>
        <v>1.1882788231186983</v>
      </c>
      <c r="AB123" s="253">
        <f t="shared" ca="1" si="390"/>
        <v>2.4341029605797222</v>
      </c>
      <c r="AC123" s="253">
        <f t="shared" ca="1" si="390"/>
        <v>2.6607912990886677</v>
      </c>
      <c r="AD123" s="253">
        <f t="shared" ca="1" si="390"/>
        <v>1.9773077730338759</v>
      </c>
      <c r="AE123" s="253">
        <f t="shared" ca="1" si="390"/>
        <v>0.76721372725190473</v>
      </c>
      <c r="AF123" s="253">
        <f t="shared" ca="1" si="390"/>
        <v>1.4340925693404039</v>
      </c>
      <c r="AG123" s="253">
        <f t="shared" ca="1" si="390"/>
        <v>1.5086993307941792</v>
      </c>
      <c r="AH123" s="253">
        <f t="shared" ca="1" si="390"/>
        <v>1.0542978311423015</v>
      </c>
      <c r="AI123" s="253">
        <f t="shared" ca="1" si="390"/>
        <v>0.36020481945444577</v>
      </c>
      <c r="AJ123" s="253">
        <f t="shared" ca="1" si="390"/>
        <v>0.51663082666347504</v>
      </c>
      <c r="AK123" s="253">
        <f t="shared" ca="1" si="390"/>
        <v>0.39280323853360116</v>
      </c>
      <c r="AL123" s="253">
        <f t="shared" ca="1" si="390"/>
        <v>0.15557389923252107</v>
      </c>
      <c r="AM123" s="253">
        <f t="shared" ca="1" si="390"/>
        <v>1.8622906249835459E-2</v>
      </c>
      <c r="AN123" s="253">
        <f t="shared" ca="1" si="390"/>
        <v>1.7496114549805361E-2</v>
      </c>
      <c r="AO123" s="253">
        <f t="shared" ca="1" si="390"/>
        <v>2.1471120565347994E-2</v>
      </c>
      <c r="AP123" s="253">
        <f t="shared" ca="1" si="390"/>
        <v>1.7030391313429458E-2</v>
      </c>
      <c r="AQ123" s="253">
        <f t="shared" ca="1" si="390"/>
        <v>7.4721016348852174E-3</v>
      </c>
      <c r="AR123" s="253">
        <f t="shared" ca="1" si="390"/>
        <v>1.654137831314598E-2</v>
      </c>
      <c r="AS123" s="253">
        <f t="shared" ca="1" si="390"/>
        <v>2.3788209013432683E-2</v>
      </c>
      <c r="AT123" s="253">
        <f t="shared" ca="1" si="390"/>
        <v>1.8247146226529877E-2</v>
      </c>
      <c r="AU123" s="253">
        <f t="shared" ca="1" si="390"/>
        <v>7.4452794601100733E-3</v>
      </c>
      <c r="AV123" s="253">
        <f t="shared" ca="1" si="390"/>
        <v>1.7723195158194184E-2</v>
      </c>
      <c r="AW123" s="58"/>
      <c r="AX123" s="58"/>
    </row>
    <row r="124" spans="1:50" x14ac:dyDescent="0.2">
      <c r="A124" s="65"/>
      <c r="D124" s="57"/>
      <c r="E124" s="57"/>
      <c r="F124" s="57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58"/>
      <c r="AX124" s="58"/>
    </row>
    <row r="125" spans="1:50" x14ac:dyDescent="0.2">
      <c r="A125" s="99" t="str">
        <f ca="1">Language!A1280</f>
        <v>Денежный поток, доступный для погашения долга</v>
      </c>
      <c r="C125" s="130" t="str">
        <f ca="1">Параметры!$C$64</f>
        <v>тыс. руб.</v>
      </c>
      <c r="D125" s="57"/>
      <c r="E125" s="114" t="s">
        <v>1519</v>
      </c>
      <c r="F125" s="57" t="s">
        <v>753</v>
      </c>
      <c r="G125" s="252">
        <f ca="1">G49-G44+G58+G60+G63</f>
        <v>159460.54771811707</v>
      </c>
      <c r="H125" s="252">
        <f t="shared" ref="H125:K125" ca="1" si="391">H49-H44+H58+H60+H63</f>
        <v>26333.015221464142</v>
      </c>
      <c r="I125" s="252">
        <f t="shared" ca="1" si="391"/>
        <v>-13460.459012748324</v>
      </c>
      <c r="J125" s="252">
        <f t="shared" ca="1" si="391"/>
        <v>51966.285322022799</v>
      </c>
      <c r="K125" s="252">
        <f t="shared" ca="1" si="391"/>
        <v>241398.69262800686</v>
      </c>
      <c r="L125" s="252">
        <f t="shared" ref="L125:M125" ca="1" si="392">L49-L44+L58+L60+L63</f>
        <v>218916.073608429</v>
      </c>
      <c r="M125" s="252">
        <f t="shared" ca="1" si="392"/>
        <v>132986.85524138424</v>
      </c>
      <c r="N125" s="252">
        <f t="shared" ref="N125:O125" ca="1" si="393">N49-N44+N58+N60+N63</f>
        <v>175939.09372942464</v>
      </c>
      <c r="O125" s="252">
        <f t="shared" ca="1" si="393"/>
        <v>295570.17973432835</v>
      </c>
      <c r="P125" s="252">
        <f t="shared" ref="P125:Q125" ca="1" si="394">P49-P44+P58+P60+P63</f>
        <v>269147.73803665274</v>
      </c>
      <c r="Q125" s="252">
        <f t="shared" ca="1" si="394"/>
        <v>179199.78097389673</v>
      </c>
      <c r="R125" s="252">
        <f t="shared" ref="R125:S125" ca="1" si="395">R49-R44+R58+R60+R63</f>
        <v>219151.72048817965</v>
      </c>
      <c r="S125" s="252">
        <f t="shared" ca="1" si="395"/>
        <v>335009.23560752411</v>
      </c>
      <c r="T125" s="252">
        <f t="shared" ref="T125:U125" ca="1" si="396">T49-T44+T58+T60+T63</f>
        <v>295720.46050562896</v>
      </c>
      <c r="U125" s="252">
        <f t="shared" ca="1" si="396"/>
        <v>195733.25577490771</v>
      </c>
      <c r="V125" s="252">
        <f t="shared" ref="V125:W125" ca="1" si="397">V49-V44+V58+V60+V63</f>
        <v>235884.78074636351</v>
      </c>
      <c r="W125" s="252">
        <f t="shared" ca="1" si="397"/>
        <v>352920.46233665285</v>
      </c>
      <c r="X125" s="252">
        <f t="shared" ref="X125:Y125" ca="1" si="398">X49-X44+X58+X60+X63</f>
        <v>306477.66567656182</v>
      </c>
      <c r="Y125" s="252">
        <f t="shared" ca="1" si="398"/>
        <v>191470.91563308594</v>
      </c>
      <c r="Z125" s="252">
        <f t="shared" ref="Z125:AA125" ca="1" si="399">Z49-Z44+Z58+Z60+Z63</f>
        <v>227336.6080672004</v>
      </c>
      <c r="AA125" s="252">
        <f t="shared" ca="1" si="399"/>
        <v>351139.88972480758</v>
      </c>
      <c r="AB125" s="252">
        <f t="shared" ref="AB125:AC125" ca="1" si="400">AB49-AB44+AB58+AB60+AB63</f>
        <v>301653.24395116838</v>
      </c>
      <c r="AC125" s="252">
        <f t="shared" ca="1" si="400"/>
        <v>184753.15199397964</v>
      </c>
      <c r="AD125" s="252">
        <f t="shared" ref="AD125:AE125" ca="1" si="401">AD49-AD44+AD58+AD60+AD63</f>
        <v>225137.58726759348</v>
      </c>
      <c r="AE125" s="252">
        <f t="shared" ca="1" si="401"/>
        <v>356008.2004453736</v>
      </c>
      <c r="AF125" s="252">
        <f t="shared" ref="AF125:AG125" ca="1" si="402">AF49-AF44+AF58+AF60+AF63</f>
        <v>303184.56940042012</v>
      </c>
      <c r="AG125" s="252">
        <f t="shared" ca="1" si="402"/>
        <v>176315.76707386202</v>
      </c>
      <c r="AH125" s="252">
        <f t="shared" ref="AH125:AI125" ca="1" si="403">AH49-AH44+AH58+AH60+AH63</f>
        <v>216311.9206679413</v>
      </c>
      <c r="AI125" s="252">
        <f t="shared" ca="1" si="403"/>
        <v>354705.37977566081</v>
      </c>
      <c r="AJ125" s="252">
        <f t="shared" ref="AJ125:AK125" ca="1" si="404">AJ49-AJ44+AJ58+AJ60+AJ63</f>
        <v>298378.0854837111</v>
      </c>
      <c r="AK125" s="252">
        <f t="shared" ca="1" si="404"/>
        <v>161683.46702978329</v>
      </c>
      <c r="AL125" s="252">
        <f t="shared" ref="AL125:AM125" ca="1" si="405">AL49-AL44+AL58+AL60+AL63</f>
        <v>202591.75949739973</v>
      </c>
      <c r="AM125" s="252">
        <f t="shared" ca="1" si="405"/>
        <v>356610.09357837564</v>
      </c>
      <c r="AN125" s="252">
        <f t="shared" ref="AN125:AO125" ca="1" si="406">AN49-AN44+AN58+AN60+AN63</f>
        <v>304389.31270437461</v>
      </c>
      <c r="AO125" s="252">
        <f t="shared" ca="1" si="406"/>
        <v>163869.81099400215</v>
      </c>
      <c r="AP125" s="252">
        <f t="shared" ref="AP125:AQ125" ca="1" si="407">AP49-AP44+AP58+AP60+AP63</f>
        <v>212828.56480315898</v>
      </c>
      <c r="AQ125" s="252">
        <f t="shared" ca="1" si="407"/>
        <v>377540.30579911149</v>
      </c>
      <c r="AR125" s="252">
        <f t="shared" ref="AR125:AS125" ca="1" si="408">AR49-AR44+AR58+AR60+AR63</f>
        <v>322179.43428775296</v>
      </c>
      <c r="AS125" s="252">
        <f t="shared" ca="1" si="408"/>
        <v>155243.8034234533</v>
      </c>
      <c r="AT125" s="252">
        <f t="shared" ref="AT125:AU125" ca="1" si="409">AT49-AT44+AT58+AT60+AT63</f>
        <v>198701.68774011367</v>
      </c>
      <c r="AU125" s="252">
        <f t="shared" ca="1" si="409"/>
        <v>372901.45675774344</v>
      </c>
      <c r="AV125" s="252">
        <f t="shared" ref="AV125" ca="1" si="410">AV49-AV44+AV58+AV60+AV63</f>
        <v>313818.46509628498</v>
      </c>
      <c r="AW125" s="58"/>
      <c r="AX125" s="58"/>
    </row>
    <row r="126" spans="1:50" x14ac:dyDescent="0.2">
      <c r="A126" s="99" t="str">
        <f ca="1">Language!A1281</f>
        <v>Выплаты процентов</v>
      </c>
      <c r="C126" s="130" t="str">
        <f ca="1">Параметры!$C$64</f>
        <v>тыс. руб.</v>
      </c>
      <c r="D126" s="57"/>
      <c r="E126" s="114" t="s">
        <v>1520</v>
      </c>
      <c r="F126" s="57" t="s">
        <v>753</v>
      </c>
      <c r="G126" s="252">
        <f t="shared" ref="G126:AV126" si="411">G44</f>
        <v>-78358.751999999993</v>
      </c>
      <c r="H126" s="252">
        <f t="shared" si="411"/>
        <v>-83498.7</v>
      </c>
      <c r="I126" s="252">
        <f t="shared" si="411"/>
        <v>-89123.7</v>
      </c>
      <c r="J126" s="252">
        <f t="shared" si="411"/>
        <v>-92873.7</v>
      </c>
      <c r="K126" s="252">
        <f t="shared" si="411"/>
        <v>-92873.7</v>
      </c>
      <c r="L126" s="252">
        <f t="shared" si="411"/>
        <v>-92873.7</v>
      </c>
      <c r="M126" s="252">
        <f t="shared" si="411"/>
        <v>-92873.7</v>
      </c>
      <c r="N126" s="252">
        <f t="shared" si="411"/>
        <v>-92873.7</v>
      </c>
      <c r="O126" s="252">
        <f t="shared" si="411"/>
        <v>-92873.7</v>
      </c>
      <c r="P126" s="252">
        <f t="shared" si="411"/>
        <v>-92873.7</v>
      </c>
      <c r="Q126" s="252">
        <f t="shared" si="411"/>
        <v>-92873.7</v>
      </c>
      <c r="R126" s="252">
        <f t="shared" si="411"/>
        <v>-92873.7</v>
      </c>
      <c r="S126" s="252">
        <f t="shared" si="411"/>
        <v>-92873.7</v>
      </c>
      <c r="T126" s="252">
        <f t="shared" si="411"/>
        <v>-92873.7</v>
      </c>
      <c r="U126" s="252">
        <f t="shared" si="411"/>
        <v>-90925.972670843345</v>
      </c>
      <c r="V126" s="252">
        <f t="shared" si="411"/>
        <v>-87904.031537642775</v>
      </c>
      <c r="W126" s="252">
        <f t="shared" si="411"/>
        <v>-81507.329734259736</v>
      </c>
      <c r="X126" s="252">
        <f t="shared" si="411"/>
        <v>-76153.876932454164</v>
      </c>
      <c r="Y126" s="252">
        <f t="shared" si="411"/>
        <v>-73792.406964681519</v>
      </c>
      <c r="Z126" s="252">
        <f t="shared" si="411"/>
        <v>-70340.814062279576</v>
      </c>
      <c r="AA126" s="252">
        <f t="shared" si="411"/>
        <v>-63309.383172896283</v>
      </c>
      <c r="AB126" s="252">
        <f t="shared" si="411"/>
        <v>-57381.179811790062</v>
      </c>
      <c r="AC126" s="252">
        <f t="shared" si="411"/>
        <v>-54475.256799968745</v>
      </c>
      <c r="AD126" s="252">
        <f t="shared" si="411"/>
        <v>-50332.244897342818</v>
      </c>
      <c r="AE126" s="252">
        <f t="shared" si="411"/>
        <v>-42385.777619985973</v>
      </c>
      <c r="AF126" s="252">
        <f t="shared" si="411"/>
        <v>-35599.753111931474</v>
      </c>
      <c r="AG126" s="252">
        <f t="shared" si="411"/>
        <v>-32080.009716452128</v>
      </c>
      <c r="AH126" s="252">
        <f t="shared" si="411"/>
        <v>-27310.067962892499</v>
      </c>
      <c r="AI126" s="252">
        <f t="shared" si="411"/>
        <v>-18502.88935820261</v>
      </c>
      <c r="AJ126" s="252">
        <f t="shared" si="411"/>
        <v>-10920.123858288463</v>
      </c>
      <c r="AK126" s="252">
        <f t="shared" si="411"/>
        <v>-6846.0433318781834</v>
      </c>
      <c r="AL126" s="252">
        <f t="shared" si="411"/>
        <v>-1474.7826981396122</v>
      </c>
      <c r="AM126" s="252">
        <f t="shared" si="411"/>
        <v>0</v>
      </c>
      <c r="AN126" s="252">
        <f t="shared" si="411"/>
        <v>0</v>
      </c>
      <c r="AO126" s="252">
        <f t="shared" si="411"/>
        <v>0</v>
      </c>
      <c r="AP126" s="252">
        <f t="shared" si="411"/>
        <v>0</v>
      </c>
      <c r="AQ126" s="252">
        <f t="shared" si="411"/>
        <v>0</v>
      </c>
      <c r="AR126" s="252">
        <f t="shared" si="411"/>
        <v>0</v>
      </c>
      <c r="AS126" s="252">
        <f t="shared" si="411"/>
        <v>0</v>
      </c>
      <c r="AT126" s="252">
        <f t="shared" si="411"/>
        <v>0</v>
      </c>
      <c r="AU126" s="252">
        <f t="shared" si="411"/>
        <v>0</v>
      </c>
      <c r="AV126" s="252">
        <f t="shared" si="411"/>
        <v>0</v>
      </c>
      <c r="AW126" s="58"/>
      <c r="AX126" s="58"/>
    </row>
    <row r="127" spans="1:50" x14ac:dyDescent="0.2">
      <c r="A127" s="99" t="str">
        <f ca="1">Language!A1282</f>
        <v>Выплаты основной суммы долга</v>
      </c>
      <c r="C127" s="130" t="str">
        <f ca="1">Параметры!$C$64</f>
        <v>тыс. руб.</v>
      </c>
      <c r="D127" s="57"/>
      <c r="E127" s="114" t="s">
        <v>1521</v>
      </c>
      <c r="F127" s="57" t="s">
        <v>753</v>
      </c>
      <c r="G127" s="252">
        <f t="shared" ref="G127:AV127" si="412">G62</f>
        <v>0</v>
      </c>
      <c r="H127" s="252">
        <f t="shared" si="412"/>
        <v>-2176632</v>
      </c>
      <c r="I127" s="252">
        <f t="shared" si="412"/>
        <v>0</v>
      </c>
      <c r="J127" s="252">
        <f t="shared" si="412"/>
        <v>0</v>
      </c>
      <c r="K127" s="252">
        <f t="shared" si="412"/>
        <v>0</v>
      </c>
      <c r="L127" s="252">
        <f t="shared" si="412"/>
        <v>0</v>
      </c>
      <c r="M127" s="252">
        <f t="shared" si="412"/>
        <v>0</v>
      </c>
      <c r="N127" s="252">
        <f t="shared" si="412"/>
        <v>0</v>
      </c>
      <c r="O127" s="252">
        <f t="shared" si="412"/>
        <v>0</v>
      </c>
      <c r="P127" s="252">
        <f t="shared" si="412"/>
        <v>0</v>
      </c>
      <c r="Q127" s="252">
        <f t="shared" si="412"/>
        <v>0</v>
      </c>
      <c r="R127" s="252">
        <f t="shared" si="412"/>
        <v>0</v>
      </c>
      <c r="S127" s="252">
        <f t="shared" si="412"/>
        <v>0</v>
      </c>
      <c r="T127" s="252">
        <f t="shared" si="412"/>
        <v>0</v>
      </c>
      <c r="U127" s="252">
        <f t="shared" si="412"/>
        <v>-51939.39544417728</v>
      </c>
      <c r="V127" s="252">
        <f t="shared" si="412"/>
        <v>-80585.09688534867</v>
      </c>
      <c r="W127" s="252">
        <f t="shared" si="412"/>
        <v>-170578.71475688095</v>
      </c>
      <c r="X127" s="252">
        <f t="shared" si="412"/>
        <v>-142758.74138148205</v>
      </c>
      <c r="Y127" s="252">
        <f t="shared" si="412"/>
        <v>-62972.532473936968</v>
      </c>
      <c r="Z127" s="252">
        <f t="shared" si="412"/>
        <v>-92042.477397385213</v>
      </c>
      <c r="AA127" s="252">
        <f t="shared" si="412"/>
        <v>-187504.8237168882</v>
      </c>
      <c r="AB127" s="252">
        <f t="shared" si="412"/>
        <v>-158085.42296283226</v>
      </c>
      <c r="AC127" s="252">
        <f t="shared" si="412"/>
        <v>-77491.280315235286</v>
      </c>
      <c r="AD127" s="252">
        <f t="shared" si="412"/>
        <v>-110480.31740335806</v>
      </c>
      <c r="AE127" s="252">
        <f t="shared" si="412"/>
        <v>-211905.79406284931</v>
      </c>
      <c r="AF127" s="252">
        <f t="shared" si="412"/>
        <v>-180960.65354811979</v>
      </c>
      <c r="AG127" s="252">
        <f t="shared" si="412"/>
        <v>-93859.823879449337</v>
      </c>
      <c r="AH127" s="252">
        <f t="shared" si="412"/>
        <v>-127198.44676159006</v>
      </c>
      <c r="AI127" s="252">
        <f t="shared" si="412"/>
        <v>-234858.09612506372</v>
      </c>
      <c r="AJ127" s="252">
        <f t="shared" si="412"/>
        <v>-202207.07999771071</v>
      </c>
      <c r="AK127" s="252">
        <f t="shared" si="412"/>
        <v>-108642.14737094079</v>
      </c>
      <c r="AL127" s="252">
        <f t="shared" si="412"/>
        <v>-143233.61689969516</v>
      </c>
      <c r="AM127" s="252">
        <f t="shared" si="412"/>
        <v>-39327.538617056329</v>
      </c>
      <c r="AN127" s="252">
        <f t="shared" si="412"/>
        <v>0</v>
      </c>
      <c r="AO127" s="252">
        <f t="shared" si="412"/>
        <v>0</v>
      </c>
      <c r="AP127" s="252">
        <f t="shared" si="412"/>
        <v>0</v>
      </c>
      <c r="AQ127" s="252">
        <f t="shared" si="412"/>
        <v>0</v>
      </c>
      <c r="AR127" s="252">
        <f t="shared" si="412"/>
        <v>0</v>
      </c>
      <c r="AS127" s="252">
        <f t="shared" si="412"/>
        <v>0</v>
      </c>
      <c r="AT127" s="252">
        <f t="shared" si="412"/>
        <v>0</v>
      </c>
      <c r="AU127" s="252">
        <f t="shared" si="412"/>
        <v>0</v>
      </c>
      <c r="AV127" s="252">
        <f t="shared" si="412"/>
        <v>0</v>
      </c>
      <c r="AW127" s="58"/>
      <c r="AX127" s="58"/>
    </row>
    <row r="128" spans="1:50" x14ac:dyDescent="0.2">
      <c r="A128" s="125" t="str">
        <f ca="1">Language!A1283</f>
        <v>Покрытие выплаты долга, DSCR</v>
      </c>
      <c r="B128" s="244"/>
      <c r="C128" s="127" t="str">
        <f ca="1">Language!$A$1449</f>
        <v>раз</v>
      </c>
      <c r="D128" s="128"/>
      <c r="E128" s="128" t="s">
        <v>1522</v>
      </c>
      <c r="F128" s="128" t="s">
        <v>756</v>
      </c>
      <c r="G128" s="254">
        <f ca="1">IF(AND(G125&gt;0,(G126+G127)&lt;0), -G125/(G126+G127), "-")</f>
        <v>2.0350062200852443</v>
      </c>
      <c r="H128" s="254">
        <f t="shared" ref="H128:I128" ca="1" si="413">IF(AND(H125&gt;0,(H126+H127)&lt;0), -H125/(H126+H127), "-")</f>
        <v>1.1651102841735719E-2</v>
      </c>
      <c r="I128" s="254" t="str">
        <f t="shared" ca="1" si="413"/>
        <v>-</v>
      </c>
      <c r="J128" s="254">
        <f t="shared" ref="J128:K128" ca="1" si="414">IF(AND(J125&gt;0,(J126+J127)&lt;0), -J125/(J126+J127), "-")</f>
        <v>0.55953714907474128</v>
      </c>
      <c r="K128" s="254">
        <f t="shared" ca="1" si="414"/>
        <v>2.5992147683144622</v>
      </c>
      <c r="L128" s="254">
        <f t="shared" ref="L128:M128" ca="1" si="415">IF(AND(L125&gt;0,(L126+L127)&lt;0), -L125/(L126+L127), "-")</f>
        <v>2.3571374200492605</v>
      </c>
      <c r="M128" s="254">
        <f t="shared" ca="1" si="415"/>
        <v>1.4319108126561582</v>
      </c>
      <c r="N128" s="254">
        <f t="shared" ref="N128:O128" ca="1" si="416">IF(AND(N125&gt;0,(N126+N127)&lt;0), -N125/(N126+N127), "-")</f>
        <v>1.8943909172287166</v>
      </c>
      <c r="O128" s="254">
        <f t="shared" ca="1" si="416"/>
        <v>3.1824960105425797</v>
      </c>
      <c r="P128" s="254">
        <f t="shared" ref="P128:Q128" ca="1" si="417">IF(AND(P125&gt;0,(P126+P127)&lt;0), -P125/(P126+P127), "-")</f>
        <v>2.8979973667104115</v>
      </c>
      <c r="Q128" s="254">
        <f t="shared" ca="1" si="417"/>
        <v>1.9294997504556912</v>
      </c>
      <c r="R128" s="254">
        <f t="shared" ref="R128:S128" ca="1" si="418">IF(AND(R125&gt;0,(R126+R127)&lt;0), -R125/(R126+R127), "-")</f>
        <v>2.3596747032602305</v>
      </c>
      <c r="S128" s="254">
        <f t="shared" ca="1" si="418"/>
        <v>3.6071485857408945</v>
      </c>
      <c r="T128" s="254">
        <f t="shared" ref="T128:U128" ca="1" si="419">IF(AND(T125&gt;0,(T126+T127)&lt;0), -T125/(T126+T127), "-")</f>
        <v>3.1841141303256895</v>
      </c>
      <c r="U128" s="254">
        <f t="shared" ca="1" si="419"/>
        <v>1.3700539070975077</v>
      </c>
      <c r="V128" s="254">
        <f t="shared" ref="V128:W128" ca="1" si="420">IF(AND(V125&gt;0,(V126+V127)&lt;0), -V125/(V126+V127), "-")</f>
        <v>1.4000000056631281</v>
      </c>
      <c r="W128" s="254">
        <f t="shared" ca="1" si="420"/>
        <v>1.4000000001945998</v>
      </c>
      <c r="X128" s="254">
        <f t="shared" ref="X128:Y128" ca="1" si="421">IF(AND(X125&gt;0,(X126+X127)&lt;0), -X125/(X126+X127), "-")</f>
        <v>1.4000000001692507</v>
      </c>
      <c r="Y128" s="254">
        <f t="shared" ca="1" si="421"/>
        <v>1.4000000030637973</v>
      </c>
      <c r="Z128" s="254">
        <f t="shared" ref="Z128:AA128" ca="1" si="422">IF(AND(Z125&gt;0,(Z126+Z127)&lt;0), -Z125/(Z126+Z127), "-")</f>
        <v>1.4000000001457644</v>
      </c>
      <c r="AA128" s="254">
        <f t="shared" ca="1" si="422"/>
        <v>1.4000000003154101</v>
      </c>
      <c r="AB128" s="254">
        <f t="shared" ref="AB128:AC128" ca="1" si="423">IF(AND(AB125&gt;0,(AB126+AB127)&lt;0), -AB125/(AB126+AB127), "-")</f>
        <v>1.4000000003095474</v>
      </c>
      <c r="AC128" s="254">
        <f t="shared" ca="1" si="423"/>
        <v>1.4000000002477446</v>
      </c>
      <c r="AD128" s="254">
        <f t="shared" ref="AD128:AE128" ca="1" si="424">IF(AND(AD125&gt;0,(AD126+AD127)&lt;0), -AD125/(AD126+AD127), "-")</f>
        <v>1.4000000002898547</v>
      </c>
      <c r="AE128" s="254">
        <f t="shared" ca="1" si="424"/>
        <v>1.4000000003515813</v>
      </c>
      <c r="AF128" s="254">
        <f t="shared" ref="AF128:AG128" ca="1" si="425">IF(AND(AF125&gt;0,(AF126+AF127)&lt;0), -AF125/(AF126+AF127), "-")</f>
        <v>1.4000000003525499</v>
      </c>
      <c r="AG128" s="254">
        <f t="shared" ca="1" si="425"/>
        <v>1.4000000003144357</v>
      </c>
      <c r="AH128" s="254">
        <f t="shared" ref="AH128:AI128" ca="1" si="426">IF(AND(AH125&gt;0,(AH126+AH127)&lt;0), -AH125/(AH126+AH127), "-")</f>
        <v>1.4000000003473319</v>
      </c>
      <c r="AI128" s="254">
        <f t="shared" ca="1" si="426"/>
        <v>1.400000000391094</v>
      </c>
      <c r="AJ128" s="254">
        <f t="shared" ref="AJ128:AK128" ca="1" si="427">IF(AND(AJ125&gt;0,(AJ126+AJ127)&lt;0), -AJ125/(AJ126+AJ127), "-")</f>
        <v>1.4000000004002879</v>
      </c>
      <c r="AK128" s="254">
        <f t="shared" ca="1" si="427"/>
        <v>1.4000000003968953</v>
      </c>
      <c r="AL128" s="254">
        <f t="shared" ref="AL128:AM128" ca="1" si="428">IF(AND(AL125&gt;0,(AL126+AL127)&lt;0), -AL125/(AL126+AL127), "-")</f>
        <v>1.4000000004176056</v>
      </c>
      <c r="AM128" s="254">
        <f t="shared" ca="1" si="428"/>
        <v>9.0676941939029483</v>
      </c>
      <c r="AN128" s="254" t="str">
        <f t="shared" ref="AN128:AO128" ca="1" si="429">IF(AND(AN125&gt;0,(AN126+AN127)&lt;0), -AN125/(AN126+AN127), "-")</f>
        <v>-</v>
      </c>
      <c r="AO128" s="254" t="str">
        <f t="shared" ca="1" si="429"/>
        <v>-</v>
      </c>
      <c r="AP128" s="254" t="str">
        <f t="shared" ref="AP128:AQ128" ca="1" si="430">IF(AND(AP125&gt;0,(AP126+AP127)&lt;0), -AP125/(AP126+AP127), "-")</f>
        <v>-</v>
      </c>
      <c r="AQ128" s="254" t="str">
        <f t="shared" ca="1" si="430"/>
        <v>-</v>
      </c>
      <c r="AR128" s="254" t="str">
        <f t="shared" ref="AR128:AS128" ca="1" si="431">IF(AND(AR125&gt;0,(AR126+AR127)&lt;0), -AR125/(AR126+AR127), "-")</f>
        <v>-</v>
      </c>
      <c r="AS128" s="254" t="str">
        <f t="shared" ca="1" si="431"/>
        <v>-</v>
      </c>
      <c r="AT128" s="254" t="str">
        <f t="shared" ref="AT128:AU128" ca="1" si="432">IF(AND(AT125&gt;0,(AT126+AT127)&lt;0), -AT125/(AT126+AT127), "-")</f>
        <v>-</v>
      </c>
      <c r="AU128" s="254" t="str">
        <f t="shared" ca="1" si="432"/>
        <v>-</v>
      </c>
      <c r="AV128" s="254" t="str">
        <f t="shared" ref="AV128" ca="1" si="433">IF(AND(AV125&gt;0,(AV126+AV127)&lt;0), -AV125/(AV126+AV127), "-")</f>
        <v>-</v>
      </c>
      <c r="AW128" s="58"/>
      <c r="AX128" s="58"/>
    </row>
    <row r="129" spans="1:50" x14ac:dyDescent="0.2">
      <c r="A129" s="65"/>
      <c r="D129" s="57"/>
      <c r="E129" s="57"/>
      <c r="F129" s="57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58"/>
      <c r="AX129" s="58"/>
    </row>
    <row r="130" spans="1:50" x14ac:dyDescent="0.2">
      <c r="A130" s="65" t="str">
        <f ca="1">Language!A1284</f>
        <v>Отношение Долг / Собственный капитал</v>
      </c>
      <c r="C130" s="130" t="str">
        <f ca="1">Language!$A$1449</f>
        <v>раз</v>
      </c>
      <c r="D130" s="57"/>
      <c r="E130" s="57" t="s">
        <v>1523</v>
      </c>
      <c r="F130" s="57" t="s">
        <v>756</v>
      </c>
      <c r="G130" s="255">
        <f ca="1">IF(G114&gt;0, (G104+G109)/G114, "-")</f>
        <v>2.8863634000451546</v>
      </c>
      <c r="H130" s="255">
        <f t="shared" ref="H130:I130" ca="1" si="434">IF(H114&gt;0, (H104+H109)/H114, "-")</f>
        <v>3.0600912114128356</v>
      </c>
      <c r="I130" s="255">
        <f t="shared" ca="1" si="434"/>
        <v>3.4156160494425873</v>
      </c>
      <c r="J130" s="255">
        <f t="shared" ref="J130:K130" ca="1" si="435">IF(J114&gt;0, (J104+J109)/J114, "-")</f>
        <v>3.5830504119537792</v>
      </c>
      <c r="K130" s="255">
        <f t="shared" ca="1" si="435"/>
        <v>3.0280609958667379</v>
      </c>
      <c r="L130" s="255">
        <f t="shared" ref="L130:M130" ca="1" si="436">IF(L114&gt;0, (L104+L109)/L114, "-")</f>
        <v>3.0404301024460212</v>
      </c>
      <c r="M130" s="255">
        <f t="shared" ca="1" si="436"/>
        <v>3.1330288309924703</v>
      </c>
      <c r="N130" s="255">
        <f t="shared" ref="N130:O130" ca="1" si="437">IF(N114&gt;0, (N104+N109)/N114, "-")</f>
        <v>3.0905507274943695</v>
      </c>
      <c r="O130" s="255">
        <f t="shared" ca="1" si="437"/>
        <v>2.5151686432452043</v>
      </c>
      <c r="P130" s="255">
        <f t="shared" ref="P130:Q130" ca="1" si="438">IF(P114&gt;0, (P104+P109)/P114, "-")</f>
        <v>2.42624554311843</v>
      </c>
      <c r="Q130" s="255">
        <f t="shared" ca="1" si="438"/>
        <v>2.384148468607918</v>
      </c>
      <c r="R130" s="255">
        <f t="shared" ref="R130:S130" ca="1" si="439">IF(R114&gt;0, (R104+R109)/R114, "-")</f>
        <v>2.2855793933802167</v>
      </c>
      <c r="S130" s="255">
        <f t="shared" ca="1" si="439"/>
        <v>1.9044257354257612</v>
      </c>
      <c r="T130" s="255">
        <f t="shared" ref="T130:U130" ca="1" si="440">IF(T114&gt;0, (T104+T109)/T114, "-")</f>
        <v>1.8313493016516735</v>
      </c>
      <c r="U130" s="255">
        <f t="shared" ca="1" si="440"/>
        <v>1.7500174874748933</v>
      </c>
      <c r="V130" s="255">
        <f t="shared" ref="V130:W130" ca="1" si="441">IF(V114&gt;0, (V104+V109)/V114, "-")</f>
        <v>1.6222835487649976</v>
      </c>
      <c r="W130" s="255">
        <f t="shared" ca="1" si="441"/>
        <v>1.2962694738624678</v>
      </c>
      <c r="X130" s="255">
        <f t="shared" ref="X130:Y130" ca="1" si="442">IF(X114&gt;0, (X104+X109)/X114, "-")</f>
        <v>1.168755136590973</v>
      </c>
      <c r="Y130" s="255">
        <f t="shared" ca="1" si="442"/>
        <v>1.1095387524389542</v>
      </c>
      <c r="Z130" s="255">
        <f t="shared" ref="Z130:AA130" ca="1" si="443">IF(Z114&gt;0, (Z104+Z109)/Z114, "-")</f>
        <v>1.0231695947842783</v>
      </c>
      <c r="AA130" s="255">
        <f t="shared" ca="1" si="443"/>
        <v>0.81936492949483608</v>
      </c>
      <c r="AB130" s="255">
        <f t="shared" ref="AB130:AC130" ca="1" si="444">IF(AB114&gt;0, (AB104+AB109)/AB114, "-")</f>
        <v>0.72375934519603979</v>
      </c>
      <c r="AC130" s="255">
        <f t="shared" ca="1" si="444"/>
        <v>0.67481434636108495</v>
      </c>
      <c r="AD130" s="255">
        <f t="shared" ref="AD130:AE130" ca="1" si="445">IF(AD114&gt;0, (AD104+AD109)/AD114, "-")</f>
        <v>0.60820235996830074</v>
      </c>
      <c r="AE130" s="255">
        <f t="shared" ca="1" si="445"/>
        <v>0.47138701688772411</v>
      </c>
      <c r="AF130" s="255">
        <f t="shared" ref="AF130:AG130" ca="1" si="446">IF(AF114&gt;0, (AF104+AF109)/AF114, "-")</f>
        <v>0.39374730527720708</v>
      </c>
      <c r="AG130" s="255">
        <f t="shared" ca="1" si="446"/>
        <v>0.35394490503294229</v>
      </c>
      <c r="AH130" s="255">
        <f t="shared" ref="AH130:AI130" ca="1" si="447">IF(AH114&gt;0, (AH104+AH109)/AH114, "-")</f>
        <v>0.30317426290575944</v>
      </c>
      <c r="AI130" s="255">
        <f t="shared" ca="1" si="447"/>
        <v>0.21017958806249837</v>
      </c>
      <c r="AJ130" s="255">
        <f t="shared" ref="AJ130:AK130" ca="1" si="448">IF(AJ114&gt;0, (AJ104+AJ109)/AJ114, "-")</f>
        <v>0.14709375413102499</v>
      </c>
      <c r="AK130" s="255">
        <f t="shared" ca="1" si="448"/>
        <v>0.1147734451437904</v>
      </c>
      <c r="AL130" s="255">
        <f t="shared" ref="AL130:AM130" ca="1" si="449">IF(AL114&gt;0, (AL104+AL109)/AL114, "-")</f>
        <v>7.5333356932038034E-2</v>
      </c>
      <c r="AM130" s="255">
        <f t="shared" ca="1" si="449"/>
        <v>6.1477965250210258E-2</v>
      </c>
      <c r="AN130" s="255">
        <f t="shared" ref="AN130:AO130" ca="1" si="450">IF(AN114&gt;0, (AN104+AN109)/AN114, "-")</f>
        <v>5.788761076053299E-2</v>
      </c>
      <c r="AO130" s="255">
        <f t="shared" ca="1" si="450"/>
        <v>5.6213817903044555E-2</v>
      </c>
      <c r="AP130" s="255">
        <f t="shared" ref="AP130:AQ130" ca="1" si="451">IF(AP114&gt;0, (AP104+AP109)/AP114, "-")</f>
        <v>5.5148977836690087E-2</v>
      </c>
      <c r="AQ130" s="255">
        <f t="shared" ca="1" si="451"/>
        <v>5.1748194506964489E-2</v>
      </c>
      <c r="AR130" s="255">
        <f t="shared" ref="AR130:AS130" ca="1" si="452">IF(AR114&gt;0, (AR104+AR109)/AR114, "-")</f>
        <v>4.8140457942393279E-2</v>
      </c>
      <c r="AS130" s="255">
        <f t="shared" ca="1" si="452"/>
        <v>4.6283154084975645E-2</v>
      </c>
      <c r="AT130" s="255">
        <f t="shared" ref="AT130:AU130" ca="1" si="453">IF(AT114&gt;0, (AT104+AT109)/AT114, "-")</f>
        <v>4.5228438822771132E-2</v>
      </c>
      <c r="AU130" s="255">
        <f t="shared" ca="1" si="453"/>
        <v>4.319084134300448E-2</v>
      </c>
      <c r="AV130" s="255">
        <f t="shared" ref="AV130" ca="1" si="454">IF(AV114&gt;0, (AV104+AV109)/AV114, "-")</f>
        <v>4.0424241703339102E-2</v>
      </c>
      <c r="AW130" s="58"/>
      <c r="AX130" s="58"/>
    </row>
    <row r="131" spans="1:50" x14ac:dyDescent="0.2">
      <c r="A131" s="65"/>
      <c r="D131" s="57"/>
      <c r="E131" s="57"/>
      <c r="F131" s="57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58"/>
      <c r="AX131" s="58"/>
    </row>
    <row r="132" spans="1:50" x14ac:dyDescent="0.2">
      <c r="A132" s="99" t="str">
        <f ca="1">Language!A1285</f>
        <v>Суммарные привлеченные кредиты</v>
      </c>
      <c r="B132" s="129">
        <f>AX61</f>
        <v>2476632</v>
      </c>
      <c r="C132" s="130" t="str">
        <f ca="1">Параметры!$C$64</f>
        <v>тыс. руб.</v>
      </c>
      <c r="D132" s="57"/>
      <c r="E132" s="57" t="s">
        <v>1524</v>
      </c>
      <c r="F132" s="57" t="s">
        <v>753</v>
      </c>
      <c r="G132" s="252">
        <f>G61</f>
        <v>0</v>
      </c>
      <c r="H132" s="252">
        <f t="shared" ref="H132:K132" si="455">H61</f>
        <v>2226632</v>
      </c>
      <c r="I132" s="252">
        <f t="shared" si="455"/>
        <v>150000</v>
      </c>
      <c r="J132" s="252">
        <f t="shared" si="455"/>
        <v>100000</v>
      </c>
      <c r="K132" s="252">
        <f t="shared" si="455"/>
        <v>0</v>
      </c>
      <c r="L132" s="252">
        <f t="shared" ref="L132:M132" si="456">L61</f>
        <v>0</v>
      </c>
      <c r="M132" s="252">
        <f t="shared" si="456"/>
        <v>0</v>
      </c>
      <c r="N132" s="252">
        <f t="shared" ref="N132:O132" si="457">N61</f>
        <v>0</v>
      </c>
      <c r="O132" s="252">
        <f t="shared" si="457"/>
        <v>0</v>
      </c>
      <c r="P132" s="252">
        <f t="shared" ref="P132:Q132" si="458">P61</f>
        <v>0</v>
      </c>
      <c r="Q132" s="252">
        <f t="shared" si="458"/>
        <v>0</v>
      </c>
      <c r="R132" s="252">
        <f t="shared" ref="R132:S132" si="459">R61</f>
        <v>0</v>
      </c>
      <c r="S132" s="252">
        <f t="shared" si="459"/>
        <v>0</v>
      </c>
      <c r="T132" s="252">
        <f t="shared" ref="T132:U132" si="460">T61</f>
        <v>0</v>
      </c>
      <c r="U132" s="252">
        <f t="shared" si="460"/>
        <v>0</v>
      </c>
      <c r="V132" s="252">
        <f t="shared" ref="V132:W132" si="461">V61</f>
        <v>0</v>
      </c>
      <c r="W132" s="252">
        <f t="shared" si="461"/>
        <v>0</v>
      </c>
      <c r="X132" s="252">
        <f t="shared" ref="X132:Y132" si="462">X61</f>
        <v>0</v>
      </c>
      <c r="Y132" s="252">
        <f t="shared" si="462"/>
        <v>0</v>
      </c>
      <c r="Z132" s="252">
        <f t="shared" ref="Z132:AA132" si="463">Z61</f>
        <v>0</v>
      </c>
      <c r="AA132" s="252">
        <f t="shared" si="463"/>
        <v>0</v>
      </c>
      <c r="AB132" s="252">
        <f t="shared" ref="AB132:AC132" si="464">AB61</f>
        <v>0</v>
      </c>
      <c r="AC132" s="252">
        <f t="shared" si="464"/>
        <v>0</v>
      </c>
      <c r="AD132" s="252">
        <f t="shared" ref="AD132:AE132" si="465">AD61</f>
        <v>0</v>
      </c>
      <c r="AE132" s="252">
        <f t="shared" si="465"/>
        <v>0</v>
      </c>
      <c r="AF132" s="252">
        <f t="shared" ref="AF132:AG132" si="466">AF61</f>
        <v>0</v>
      </c>
      <c r="AG132" s="252">
        <f t="shared" si="466"/>
        <v>0</v>
      </c>
      <c r="AH132" s="252">
        <f t="shared" ref="AH132:AI132" si="467">AH61</f>
        <v>0</v>
      </c>
      <c r="AI132" s="252">
        <f t="shared" si="467"/>
        <v>0</v>
      </c>
      <c r="AJ132" s="252">
        <f t="shared" ref="AJ132:AK132" si="468">AJ61</f>
        <v>0</v>
      </c>
      <c r="AK132" s="252">
        <f t="shared" si="468"/>
        <v>0</v>
      </c>
      <c r="AL132" s="252">
        <f t="shared" ref="AL132:AM132" si="469">AL61</f>
        <v>0</v>
      </c>
      <c r="AM132" s="252">
        <f t="shared" si="469"/>
        <v>0</v>
      </c>
      <c r="AN132" s="252">
        <f t="shared" ref="AN132:AO132" si="470">AN61</f>
        <v>0</v>
      </c>
      <c r="AO132" s="252">
        <f t="shared" si="470"/>
        <v>0</v>
      </c>
      <c r="AP132" s="252">
        <f t="shared" ref="AP132:AQ132" si="471">AP61</f>
        <v>0</v>
      </c>
      <c r="AQ132" s="252">
        <f t="shared" si="471"/>
        <v>0</v>
      </c>
      <c r="AR132" s="252">
        <f t="shared" ref="AR132:AS132" si="472">AR61</f>
        <v>0</v>
      </c>
      <c r="AS132" s="252">
        <f t="shared" si="472"/>
        <v>0</v>
      </c>
      <c r="AT132" s="252">
        <f t="shared" ref="AT132:AU132" si="473">AT61</f>
        <v>0</v>
      </c>
      <c r="AU132" s="252">
        <f t="shared" si="473"/>
        <v>0</v>
      </c>
      <c r="AV132" s="252">
        <f t="shared" ref="AV132" si="474">AV61</f>
        <v>0</v>
      </c>
      <c r="AW132" s="58"/>
      <c r="AX132" s="58"/>
    </row>
    <row r="133" spans="1:50" x14ac:dyDescent="0.2">
      <c r="A133" s="99" t="str">
        <f ca="1">Language!A1286</f>
        <v>Суммарный вклад собственного капитала</v>
      </c>
      <c r="B133" s="129">
        <f>AX60</f>
        <v>0</v>
      </c>
      <c r="C133" s="130" t="str">
        <f ca="1">Параметры!$C$64</f>
        <v>тыс. руб.</v>
      </c>
      <c r="D133" s="57"/>
      <c r="E133" s="57" t="s">
        <v>1525</v>
      </c>
      <c r="F133" s="57" t="s">
        <v>753</v>
      </c>
      <c r="G133" s="252">
        <f>G60</f>
        <v>0</v>
      </c>
      <c r="H133" s="252">
        <f t="shared" ref="H133:K133" si="475">H60</f>
        <v>0</v>
      </c>
      <c r="I133" s="252">
        <f t="shared" si="475"/>
        <v>0</v>
      </c>
      <c r="J133" s="252">
        <f t="shared" si="475"/>
        <v>0</v>
      </c>
      <c r="K133" s="252">
        <f t="shared" si="475"/>
        <v>0</v>
      </c>
      <c r="L133" s="252">
        <f t="shared" ref="L133:M133" si="476">L60</f>
        <v>0</v>
      </c>
      <c r="M133" s="252">
        <f t="shared" si="476"/>
        <v>0</v>
      </c>
      <c r="N133" s="252">
        <f t="shared" ref="N133:O133" si="477">N60</f>
        <v>0</v>
      </c>
      <c r="O133" s="252">
        <f t="shared" si="477"/>
        <v>0</v>
      </c>
      <c r="P133" s="252">
        <f t="shared" ref="P133:Q133" si="478">P60</f>
        <v>0</v>
      </c>
      <c r="Q133" s="252">
        <f t="shared" si="478"/>
        <v>0</v>
      </c>
      <c r="R133" s="252">
        <f t="shared" ref="R133:S133" si="479">R60</f>
        <v>0</v>
      </c>
      <c r="S133" s="252">
        <f t="shared" si="479"/>
        <v>0</v>
      </c>
      <c r="T133" s="252">
        <f t="shared" ref="T133:U133" si="480">T60</f>
        <v>0</v>
      </c>
      <c r="U133" s="252">
        <f t="shared" si="480"/>
        <v>0</v>
      </c>
      <c r="V133" s="252">
        <f t="shared" ref="V133:W133" si="481">V60</f>
        <v>0</v>
      </c>
      <c r="W133" s="252">
        <f t="shared" si="481"/>
        <v>0</v>
      </c>
      <c r="X133" s="252">
        <f t="shared" ref="X133:Y133" si="482">X60</f>
        <v>0</v>
      </c>
      <c r="Y133" s="252">
        <f t="shared" si="482"/>
        <v>0</v>
      </c>
      <c r="Z133" s="252">
        <f t="shared" ref="Z133:AA133" si="483">Z60</f>
        <v>0</v>
      </c>
      <c r="AA133" s="252">
        <f t="shared" si="483"/>
        <v>0</v>
      </c>
      <c r="AB133" s="252">
        <f t="shared" ref="AB133:AC133" si="484">AB60</f>
        <v>0</v>
      </c>
      <c r="AC133" s="252">
        <f t="shared" si="484"/>
        <v>0</v>
      </c>
      <c r="AD133" s="252">
        <f t="shared" ref="AD133:AE133" si="485">AD60</f>
        <v>0</v>
      </c>
      <c r="AE133" s="252">
        <f t="shared" si="485"/>
        <v>0</v>
      </c>
      <c r="AF133" s="252">
        <f t="shared" ref="AF133:AG133" si="486">AF60</f>
        <v>0</v>
      </c>
      <c r="AG133" s="252">
        <f t="shared" si="486"/>
        <v>0</v>
      </c>
      <c r="AH133" s="252">
        <f t="shared" ref="AH133:AI133" si="487">AH60</f>
        <v>0</v>
      </c>
      <c r="AI133" s="252">
        <f t="shared" si="487"/>
        <v>0</v>
      </c>
      <c r="AJ133" s="252">
        <f t="shared" ref="AJ133:AK133" si="488">AJ60</f>
        <v>0</v>
      </c>
      <c r="AK133" s="252">
        <f t="shared" si="488"/>
        <v>0</v>
      </c>
      <c r="AL133" s="252">
        <f t="shared" ref="AL133:AM133" si="489">AL60</f>
        <v>0</v>
      </c>
      <c r="AM133" s="252">
        <f t="shared" si="489"/>
        <v>0</v>
      </c>
      <c r="AN133" s="252">
        <f t="shared" ref="AN133:AO133" si="490">AN60</f>
        <v>0</v>
      </c>
      <c r="AO133" s="252">
        <f t="shared" si="490"/>
        <v>0</v>
      </c>
      <c r="AP133" s="252">
        <f t="shared" ref="AP133:AQ133" si="491">AP60</f>
        <v>0</v>
      </c>
      <c r="AQ133" s="252">
        <f t="shared" si="491"/>
        <v>0</v>
      </c>
      <c r="AR133" s="252">
        <f t="shared" ref="AR133:AS133" si="492">AR60</f>
        <v>0</v>
      </c>
      <c r="AS133" s="252">
        <f t="shared" si="492"/>
        <v>0</v>
      </c>
      <c r="AT133" s="252">
        <f t="shared" ref="AT133:AU133" si="493">AT60</f>
        <v>0</v>
      </c>
      <c r="AU133" s="252">
        <f t="shared" si="493"/>
        <v>0</v>
      </c>
      <c r="AV133" s="252">
        <f t="shared" ref="AV133" si="494">AV60</f>
        <v>0</v>
      </c>
      <c r="AW133" s="58"/>
      <c r="AX133" s="58"/>
    </row>
    <row r="134" spans="1:50" x14ac:dyDescent="0.2">
      <c r="A134" s="92" t="str">
        <f ca="1">Language!A1287</f>
        <v>Доля кредитов в источниках финансирования</v>
      </c>
      <c r="B134" s="256">
        <f>IF((B132+B133)&gt;0, B132/(B132+B133), "-")</f>
        <v>1</v>
      </c>
      <c r="C134" s="130" t="s">
        <v>1</v>
      </c>
      <c r="D134" s="57"/>
      <c r="E134" s="57" t="s">
        <v>1526</v>
      </c>
      <c r="F134" s="57" t="s">
        <v>756</v>
      </c>
      <c r="G134" s="256" t="str">
        <f>IF((G132+G133)&gt;0, G132/(G132+G133), "-")</f>
        <v>-</v>
      </c>
      <c r="H134" s="256">
        <f t="shared" ref="H134:K134" si="495">IF((H132+H133)&gt;0, H132/(H132+H133), "-")</f>
        <v>1</v>
      </c>
      <c r="I134" s="256">
        <f t="shared" si="495"/>
        <v>1</v>
      </c>
      <c r="J134" s="256">
        <f t="shared" si="495"/>
        <v>1</v>
      </c>
      <c r="K134" s="256" t="str">
        <f t="shared" si="495"/>
        <v>-</v>
      </c>
      <c r="L134" s="256" t="str">
        <f t="shared" ref="L134:M134" si="496">IF((L132+L133)&gt;0, L132/(L132+L133), "-")</f>
        <v>-</v>
      </c>
      <c r="M134" s="256" t="str">
        <f t="shared" si="496"/>
        <v>-</v>
      </c>
      <c r="N134" s="256" t="str">
        <f t="shared" ref="N134:O134" si="497">IF((N132+N133)&gt;0, N132/(N132+N133), "-")</f>
        <v>-</v>
      </c>
      <c r="O134" s="256" t="str">
        <f t="shared" si="497"/>
        <v>-</v>
      </c>
      <c r="P134" s="256" t="str">
        <f t="shared" ref="P134:Q134" si="498">IF((P132+P133)&gt;0, P132/(P132+P133), "-")</f>
        <v>-</v>
      </c>
      <c r="Q134" s="256" t="str">
        <f t="shared" si="498"/>
        <v>-</v>
      </c>
      <c r="R134" s="256" t="str">
        <f t="shared" ref="R134:S134" si="499">IF((R132+R133)&gt;0, R132/(R132+R133), "-")</f>
        <v>-</v>
      </c>
      <c r="S134" s="256" t="str">
        <f t="shared" si="499"/>
        <v>-</v>
      </c>
      <c r="T134" s="256" t="str">
        <f t="shared" ref="T134:U134" si="500">IF((T132+T133)&gt;0, T132/(T132+T133), "-")</f>
        <v>-</v>
      </c>
      <c r="U134" s="256" t="str">
        <f t="shared" si="500"/>
        <v>-</v>
      </c>
      <c r="V134" s="256" t="str">
        <f t="shared" ref="V134:W134" si="501">IF((V132+V133)&gt;0, V132/(V132+V133), "-")</f>
        <v>-</v>
      </c>
      <c r="W134" s="256" t="str">
        <f t="shared" si="501"/>
        <v>-</v>
      </c>
      <c r="X134" s="256" t="str">
        <f t="shared" ref="X134:Y134" si="502">IF((X132+X133)&gt;0, X132/(X132+X133), "-")</f>
        <v>-</v>
      </c>
      <c r="Y134" s="256" t="str">
        <f t="shared" si="502"/>
        <v>-</v>
      </c>
      <c r="Z134" s="256" t="str">
        <f t="shared" ref="Z134:AA134" si="503">IF((Z132+Z133)&gt;0, Z132/(Z132+Z133), "-")</f>
        <v>-</v>
      </c>
      <c r="AA134" s="256" t="str">
        <f t="shared" si="503"/>
        <v>-</v>
      </c>
      <c r="AB134" s="256" t="str">
        <f t="shared" ref="AB134:AC134" si="504">IF((AB132+AB133)&gt;0, AB132/(AB132+AB133), "-")</f>
        <v>-</v>
      </c>
      <c r="AC134" s="256" t="str">
        <f t="shared" si="504"/>
        <v>-</v>
      </c>
      <c r="AD134" s="256" t="str">
        <f t="shared" ref="AD134:AE134" si="505">IF((AD132+AD133)&gt;0, AD132/(AD132+AD133), "-")</f>
        <v>-</v>
      </c>
      <c r="AE134" s="256" t="str">
        <f t="shared" si="505"/>
        <v>-</v>
      </c>
      <c r="AF134" s="256" t="str">
        <f t="shared" ref="AF134:AG134" si="506">IF((AF132+AF133)&gt;0, AF132/(AF132+AF133), "-")</f>
        <v>-</v>
      </c>
      <c r="AG134" s="256" t="str">
        <f t="shared" si="506"/>
        <v>-</v>
      </c>
      <c r="AH134" s="256" t="str">
        <f t="shared" ref="AH134:AI134" si="507">IF((AH132+AH133)&gt;0, AH132/(AH132+AH133), "-")</f>
        <v>-</v>
      </c>
      <c r="AI134" s="256" t="str">
        <f t="shared" si="507"/>
        <v>-</v>
      </c>
      <c r="AJ134" s="256" t="str">
        <f t="shared" ref="AJ134:AK134" si="508">IF((AJ132+AJ133)&gt;0, AJ132/(AJ132+AJ133), "-")</f>
        <v>-</v>
      </c>
      <c r="AK134" s="256" t="str">
        <f t="shared" si="508"/>
        <v>-</v>
      </c>
      <c r="AL134" s="256" t="str">
        <f t="shared" ref="AL134:AM134" si="509">IF((AL132+AL133)&gt;0, AL132/(AL132+AL133), "-")</f>
        <v>-</v>
      </c>
      <c r="AM134" s="256" t="str">
        <f t="shared" si="509"/>
        <v>-</v>
      </c>
      <c r="AN134" s="256" t="str">
        <f t="shared" ref="AN134:AO134" si="510">IF((AN132+AN133)&gt;0, AN132/(AN132+AN133), "-")</f>
        <v>-</v>
      </c>
      <c r="AO134" s="256" t="str">
        <f t="shared" si="510"/>
        <v>-</v>
      </c>
      <c r="AP134" s="256" t="str">
        <f t="shared" ref="AP134:AQ134" si="511">IF((AP132+AP133)&gt;0, AP132/(AP132+AP133), "-")</f>
        <v>-</v>
      </c>
      <c r="AQ134" s="256" t="str">
        <f t="shared" si="511"/>
        <v>-</v>
      </c>
      <c r="AR134" s="256" t="str">
        <f t="shared" ref="AR134:AS134" si="512">IF((AR132+AR133)&gt;0, AR132/(AR132+AR133), "-")</f>
        <v>-</v>
      </c>
      <c r="AS134" s="256" t="str">
        <f t="shared" si="512"/>
        <v>-</v>
      </c>
      <c r="AT134" s="256" t="str">
        <f t="shared" ref="AT134:AU134" si="513">IF((AT132+AT133)&gt;0, AT132/(AT132+AT133), "-")</f>
        <v>-</v>
      </c>
      <c r="AU134" s="256" t="str">
        <f t="shared" si="513"/>
        <v>-</v>
      </c>
      <c r="AV134" s="256" t="str">
        <f t="shared" ref="AV134" si="514">IF((AV132+AV133)&gt;0, AV132/(AV132+AV133), "-")</f>
        <v>-</v>
      </c>
      <c r="AW134" s="58"/>
      <c r="AX134" s="58"/>
    </row>
    <row r="135" spans="1:50" x14ac:dyDescent="0.2">
      <c r="A135" s="67"/>
      <c r="B135" s="248"/>
      <c r="C135" s="133"/>
      <c r="D135" s="68"/>
      <c r="E135" s="68" t="s">
        <v>724</v>
      </c>
      <c r="F135" s="68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8"/>
      <c r="AX135" s="58"/>
    </row>
    <row r="136" spans="1:50" x14ac:dyDescent="0.2">
      <c r="D136" s="57"/>
      <c r="E136" s="57"/>
      <c r="F136" s="57"/>
      <c r="AW136" s="58"/>
      <c r="AX136" s="58"/>
    </row>
    <row r="137" spans="1:50" x14ac:dyDescent="0.2">
      <c r="D137" s="57"/>
      <c r="E137" s="57"/>
      <c r="F137" s="57"/>
      <c r="AW137" s="58"/>
      <c r="AX137" s="58"/>
    </row>
    <row r="138" spans="1:50" s="64" customFormat="1" ht="25.5" customHeight="1" thickBot="1" x14ac:dyDescent="0.25">
      <c r="A138" s="118" t="str">
        <f ca="1">Language!A1288</f>
        <v>РЕНТАБЕЛЬНОСТЬ И ОБОРАЧИВАЕМОСТЬ</v>
      </c>
      <c r="B138" s="241"/>
      <c r="C138" s="242"/>
      <c r="D138" s="121"/>
      <c r="E138" s="121" t="s">
        <v>902</v>
      </c>
      <c r="F138" s="121"/>
      <c r="G138" s="69" t="str">
        <f ca="1">Параметры!G$34</f>
        <v>4 кв. 2022</v>
      </c>
      <c r="H138" s="140" t="str">
        <f ca="1">Параметры!H$34</f>
        <v>1 кв. 2023</v>
      </c>
      <c r="I138" s="140" t="str">
        <f ca="1">Параметры!I$34</f>
        <v>2 кв. 2023</v>
      </c>
      <c r="J138" s="140" t="str">
        <f ca="1">Параметры!J$34</f>
        <v>3 кв. 2023</v>
      </c>
      <c r="K138" s="140" t="str">
        <f ca="1">Параметры!K$34</f>
        <v>4 кв. 2023</v>
      </c>
      <c r="L138" s="140" t="str">
        <f ca="1">Параметры!L$34</f>
        <v>1 кв. 2024</v>
      </c>
      <c r="M138" s="140" t="str">
        <f ca="1">Параметры!M$34</f>
        <v>2 кв. 2024</v>
      </c>
      <c r="N138" s="140" t="str">
        <f ca="1">Параметры!N$34</f>
        <v>3 кв. 2024</v>
      </c>
      <c r="O138" s="140" t="str">
        <f ca="1">Параметры!O$34</f>
        <v>4 кв. 2024</v>
      </c>
      <c r="P138" s="140" t="str">
        <f ca="1">Параметры!P$34</f>
        <v>1 кв. 2025</v>
      </c>
      <c r="Q138" s="140" t="str">
        <f ca="1">Параметры!Q$34</f>
        <v>2 кв. 2025</v>
      </c>
      <c r="R138" s="140" t="str">
        <f ca="1">Параметры!R$34</f>
        <v>3 кв. 2025</v>
      </c>
      <c r="S138" s="140" t="str">
        <f ca="1">Параметры!S$34</f>
        <v>4 кв. 2025</v>
      </c>
      <c r="T138" s="140" t="str">
        <f ca="1">Параметры!T$34</f>
        <v>1 кв. 2026</v>
      </c>
      <c r="U138" s="140" t="str">
        <f ca="1">Параметры!U$34</f>
        <v>2 кв. 2026</v>
      </c>
      <c r="V138" s="140" t="str">
        <f ca="1">Параметры!V$34</f>
        <v>3 кв. 2026</v>
      </c>
      <c r="W138" s="140" t="str">
        <f ca="1">Параметры!W$34</f>
        <v>4 кв. 2026</v>
      </c>
      <c r="X138" s="140" t="str">
        <f ca="1">Параметры!X$34</f>
        <v>1 кв. 2027</v>
      </c>
      <c r="Y138" s="140" t="str">
        <f ca="1">Параметры!Y$34</f>
        <v>2 кв. 2027</v>
      </c>
      <c r="Z138" s="140" t="str">
        <f ca="1">Параметры!Z$34</f>
        <v>3 кв. 2027</v>
      </c>
      <c r="AA138" s="140" t="str">
        <f ca="1">Параметры!AA$34</f>
        <v>4 кв. 2027</v>
      </c>
      <c r="AB138" s="140" t="str">
        <f ca="1">Параметры!AB$34</f>
        <v>1 кв. 2028</v>
      </c>
      <c r="AC138" s="140" t="str">
        <f ca="1">Параметры!AC$34</f>
        <v>2 кв. 2028</v>
      </c>
      <c r="AD138" s="140" t="str">
        <f ca="1">Параметры!AD$34</f>
        <v>3 кв. 2028</v>
      </c>
      <c r="AE138" s="140" t="str">
        <f ca="1">Параметры!AE$34</f>
        <v>4 кв. 2028</v>
      </c>
      <c r="AF138" s="140" t="str">
        <f ca="1">Параметры!AF$34</f>
        <v>1 кв. 2029</v>
      </c>
      <c r="AG138" s="140" t="str">
        <f ca="1">Параметры!AG$34</f>
        <v>2 кв. 2029</v>
      </c>
      <c r="AH138" s="140" t="str">
        <f ca="1">Параметры!AH$34</f>
        <v>3 кв. 2029</v>
      </c>
      <c r="AI138" s="140" t="str">
        <f ca="1">Параметры!AI$34</f>
        <v>4 кв. 2029</v>
      </c>
      <c r="AJ138" s="140" t="str">
        <f ca="1">Параметры!AJ$34</f>
        <v>1 кв. 2030</v>
      </c>
      <c r="AK138" s="140" t="str">
        <f ca="1">Параметры!AK$34</f>
        <v>2 кв. 2030</v>
      </c>
      <c r="AL138" s="140" t="str">
        <f ca="1">Параметры!AL$34</f>
        <v>3 кв. 2030</v>
      </c>
      <c r="AM138" s="140" t="str">
        <f ca="1">Параметры!AM$34</f>
        <v>4 кв. 2030</v>
      </c>
      <c r="AN138" s="140" t="str">
        <f ca="1">Параметры!AN$34</f>
        <v>1 кв. 2031</v>
      </c>
      <c r="AO138" s="140" t="str">
        <f ca="1">Параметры!AO$34</f>
        <v>2 кв. 2031</v>
      </c>
      <c r="AP138" s="140" t="str">
        <f ca="1">Параметры!AP$34</f>
        <v>3 кв. 2031</v>
      </c>
      <c r="AQ138" s="140" t="str">
        <f ca="1">Параметры!AQ$34</f>
        <v>4 кв. 2031</v>
      </c>
      <c r="AR138" s="140" t="str">
        <f ca="1">Параметры!AR$34</f>
        <v>1 кв. 2032</v>
      </c>
      <c r="AS138" s="140" t="str">
        <f ca="1">Параметры!AS$34</f>
        <v>2 кв. 2032</v>
      </c>
      <c r="AT138" s="140" t="str">
        <f ca="1">Параметры!AT$34</f>
        <v>3 кв. 2032</v>
      </c>
      <c r="AU138" s="140" t="str">
        <f ca="1">Параметры!AU$34</f>
        <v>4 кв. 2032</v>
      </c>
      <c r="AV138" s="140" t="str">
        <f ca="1">Параметры!AV$34</f>
        <v>1 кв. 2033</v>
      </c>
      <c r="AW138" s="122"/>
      <c r="AX138" s="123"/>
    </row>
    <row r="139" spans="1:50" ht="13.5" thickTop="1" x14ac:dyDescent="0.2">
      <c r="A139" s="65"/>
      <c r="D139" s="57"/>
      <c r="E139" s="57"/>
      <c r="F139" s="57"/>
      <c r="AW139" s="58"/>
      <c r="AX139" s="58"/>
    </row>
    <row r="140" spans="1:50" x14ac:dyDescent="0.2">
      <c r="A140" s="257" t="str">
        <f ca="1">Language!A1289</f>
        <v>Структура затрат:</v>
      </c>
      <c r="B140" s="258"/>
      <c r="C140" s="259"/>
      <c r="D140" s="260"/>
      <c r="E140" s="260"/>
      <c r="F140" s="260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  <c r="AA140" s="261"/>
      <c r="AB140" s="261"/>
      <c r="AC140" s="261"/>
      <c r="AD140" s="261"/>
      <c r="AE140" s="261"/>
      <c r="AF140" s="261"/>
      <c r="AG140" s="261"/>
      <c r="AH140" s="261"/>
      <c r="AI140" s="261"/>
      <c r="AJ140" s="261"/>
      <c r="AK140" s="261"/>
      <c r="AL140" s="261"/>
      <c r="AM140" s="261"/>
      <c r="AN140" s="261"/>
      <c r="AO140" s="261"/>
      <c r="AP140" s="261"/>
      <c r="AQ140" s="261"/>
      <c r="AR140" s="261"/>
      <c r="AS140" s="261"/>
      <c r="AT140" s="261"/>
      <c r="AU140" s="261"/>
      <c r="AV140" s="261"/>
      <c r="AW140" s="58"/>
      <c r="AX140" s="58"/>
    </row>
    <row r="141" spans="1:50" x14ac:dyDescent="0.2">
      <c r="A141" s="65" t="str">
        <f ca="1">Language!A1290</f>
        <v>Выручка</v>
      </c>
      <c r="C141" s="130" t="s">
        <v>1</v>
      </c>
      <c r="D141" s="57"/>
      <c r="E141" s="57"/>
      <c r="F141" s="57" t="s">
        <v>756</v>
      </c>
      <c r="G141" s="262">
        <f ca="1">IF(G$6&gt;0, 100%, "-")</f>
        <v>1</v>
      </c>
      <c r="H141" s="262">
        <f t="shared" ref="H141:AV141" ca="1" si="515">IF(H$6&gt;0, 100%, "-")</f>
        <v>1</v>
      </c>
      <c r="I141" s="262">
        <f t="shared" ca="1" si="515"/>
        <v>1</v>
      </c>
      <c r="J141" s="262">
        <f t="shared" ca="1" si="515"/>
        <v>1</v>
      </c>
      <c r="K141" s="262">
        <f t="shared" ca="1" si="515"/>
        <v>1</v>
      </c>
      <c r="L141" s="262">
        <f t="shared" ca="1" si="515"/>
        <v>1</v>
      </c>
      <c r="M141" s="262">
        <f t="shared" ca="1" si="515"/>
        <v>1</v>
      </c>
      <c r="N141" s="262">
        <f t="shared" ca="1" si="515"/>
        <v>1</v>
      </c>
      <c r="O141" s="262">
        <f t="shared" ca="1" si="515"/>
        <v>1</v>
      </c>
      <c r="P141" s="262">
        <f t="shared" ca="1" si="515"/>
        <v>1</v>
      </c>
      <c r="Q141" s="262">
        <f t="shared" ca="1" si="515"/>
        <v>1</v>
      </c>
      <c r="R141" s="262">
        <f t="shared" ca="1" si="515"/>
        <v>1</v>
      </c>
      <c r="S141" s="262">
        <f t="shared" ca="1" si="515"/>
        <v>1</v>
      </c>
      <c r="T141" s="262">
        <f t="shared" ca="1" si="515"/>
        <v>1</v>
      </c>
      <c r="U141" s="262">
        <f t="shared" ca="1" si="515"/>
        <v>1</v>
      </c>
      <c r="V141" s="262">
        <f t="shared" ca="1" si="515"/>
        <v>1</v>
      </c>
      <c r="W141" s="262">
        <f t="shared" ca="1" si="515"/>
        <v>1</v>
      </c>
      <c r="X141" s="262">
        <f t="shared" ca="1" si="515"/>
        <v>1</v>
      </c>
      <c r="Y141" s="262">
        <f t="shared" ca="1" si="515"/>
        <v>1</v>
      </c>
      <c r="Z141" s="262">
        <f t="shared" ca="1" si="515"/>
        <v>1</v>
      </c>
      <c r="AA141" s="262">
        <f t="shared" ca="1" si="515"/>
        <v>1</v>
      </c>
      <c r="AB141" s="262">
        <f t="shared" ca="1" si="515"/>
        <v>1</v>
      </c>
      <c r="AC141" s="262">
        <f t="shared" ca="1" si="515"/>
        <v>1</v>
      </c>
      <c r="AD141" s="262">
        <f t="shared" ca="1" si="515"/>
        <v>1</v>
      </c>
      <c r="AE141" s="262">
        <f t="shared" ca="1" si="515"/>
        <v>1</v>
      </c>
      <c r="AF141" s="262">
        <f t="shared" ca="1" si="515"/>
        <v>1</v>
      </c>
      <c r="AG141" s="262">
        <f t="shared" ca="1" si="515"/>
        <v>1</v>
      </c>
      <c r="AH141" s="262">
        <f t="shared" ca="1" si="515"/>
        <v>1</v>
      </c>
      <c r="AI141" s="262">
        <f t="shared" ca="1" si="515"/>
        <v>1</v>
      </c>
      <c r="AJ141" s="262">
        <f t="shared" ca="1" si="515"/>
        <v>1</v>
      </c>
      <c r="AK141" s="262">
        <f t="shared" ca="1" si="515"/>
        <v>1</v>
      </c>
      <c r="AL141" s="262">
        <f t="shared" ca="1" si="515"/>
        <v>1</v>
      </c>
      <c r="AM141" s="262">
        <f t="shared" ca="1" si="515"/>
        <v>1</v>
      </c>
      <c r="AN141" s="262">
        <f t="shared" ca="1" si="515"/>
        <v>1</v>
      </c>
      <c r="AO141" s="262">
        <f t="shared" ca="1" si="515"/>
        <v>1</v>
      </c>
      <c r="AP141" s="262">
        <f t="shared" ca="1" si="515"/>
        <v>1</v>
      </c>
      <c r="AQ141" s="262">
        <f t="shared" ca="1" si="515"/>
        <v>1</v>
      </c>
      <c r="AR141" s="262">
        <f t="shared" ca="1" si="515"/>
        <v>1</v>
      </c>
      <c r="AS141" s="262">
        <f t="shared" ca="1" si="515"/>
        <v>1</v>
      </c>
      <c r="AT141" s="262">
        <f t="shared" ca="1" si="515"/>
        <v>1</v>
      </c>
      <c r="AU141" s="262">
        <f t="shared" ca="1" si="515"/>
        <v>1</v>
      </c>
      <c r="AV141" s="262">
        <f t="shared" ca="1" si="515"/>
        <v>1</v>
      </c>
    </row>
    <row r="142" spans="1:50" x14ac:dyDescent="0.2">
      <c r="A142" s="65" t="str">
        <f ca="1">Language!A1291</f>
        <v>Сырье и материалы</v>
      </c>
      <c r="C142" s="130" t="s">
        <v>1</v>
      </c>
      <c r="D142" s="57"/>
      <c r="E142" s="57"/>
      <c r="F142" s="57" t="s">
        <v>756</v>
      </c>
      <c r="G142" s="262">
        <f ca="1">IF(G$6&gt;0, -G8/G$6, "-")</f>
        <v>0.29280817140643089</v>
      </c>
      <c r="H142" s="262">
        <f t="shared" ref="H142:K142" ca="1" si="516">IF(H$6&gt;0, -H8/H$6, "-")</f>
        <v>0.50392531149929576</v>
      </c>
      <c r="I142" s="262">
        <f t="shared" ca="1" si="516"/>
        <v>0.59939289658251027</v>
      </c>
      <c r="J142" s="262">
        <f t="shared" ca="1" si="516"/>
        <v>0.44821632494200725</v>
      </c>
      <c r="K142" s="262">
        <f t="shared" ca="1" si="516"/>
        <v>0.27643870123444686</v>
      </c>
      <c r="L142" s="262">
        <f t="shared" ref="L142:M142" ca="1" si="517">IF(L$6&gt;0, -L8/L$6, "-")</f>
        <v>0.43077129324556118</v>
      </c>
      <c r="M142" s="262">
        <f t="shared" ca="1" si="517"/>
        <v>0.53901337855202236</v>
      </c>
      <c r="N142" s="262">
        <f t="shared" ref="N142:O142" ca="1" si="518">IF(N$6&gt;0, -N8/N$6, "-")</f>
        <v>0.43126183020476477</v>
      </c>
      <c r="O142" s="262">
        <f t="shared" ca="1" si="518"/>
        <v>0.28250594704352772</v>
      </c>
      <c r="P142" s="262">
        <f t="shared" ref="P142:Q142" ca="1" si="519">IF(P$6&gt;0, -P8/P$6, "-")</f>
        <v>0.41898552674794098</v>
      </c>
      <c r="Q142" s="262">
        <f t="shared" ca="1" si="519"/>
        <v>0.50097474360852501</v>
      </c>
      <c r="R142" s="262">
        <f t="shared" ref="R142:S142" ca="1" si="520">IF(R$6&gt;0, -R8/R$6, "-")</f>
        <v>0.41860224692012982</v>
      </c>
      <c r="S142" s="262">
        <f t="shared" ca="1" si="520"/>
        <v>0.28664643014813534</v>
      </c>
      <c r="T142" s="262">
        <f t="shared" ref="T142:U142" ca="1" si="521">IF(T$6&gt;0, -T8/T$6, "-")</f>
        <v>0.41860224692012971</v>
      </c>
      <c r="U142" s="262">
        <f t="shared" ca="1" si="521"/>
        <v>0.48893256329045282</v>
      </c>
      <c r="V142" s="262">
        <f t="shared" ref="V142:W142" ca="1" si="522">IF(V$6&gt;0, -V8/V$6, "-")</f>
        <v>0.41021931758312236</v>
      </c>
      <c r="W142" s="262">
        <f t="shared" ca="1" si="522"/>
        <v>0.28499628971333218</v>
      </c>
      <c r="X142" s="262">
        <f t="shared" ref="X142:Y142" ca="1" si="523">IF(X$6&gt;0, -X8/X$6, "-")</f>
        <v>0.41021931758312241</v>
      </c>
      <c r="Y142" s="262">
        <f t="shared" ca="1" si="523"/>
        <v>0.49327234461891667</v>
      </c>
      <c r="Z142" s="262">
        <f t="shared" ref="Z142:AA142" ca="1" si="524">IF(Z$6&gt;0, -Z8/Z$6, "-")</f>
        <v>0.41472092026307494</v>
      </c>
      <c r="AA142" s="262">
        <f t="shared" ca="1" si="524"/>
        <v>0.28811353643540022</v>
      </c>
      <c r="AB142" s="262">
        <f t="shared" ref="AB142:AC142" ca="1" si="525">IF(AB$6&gt;0, -AB8/AB$6, "-")</f>
        <v>0.41472092026307505</v>
      </c>
      <c r="AC142" s="262">
        <f t="shared" ca="1" si="525"/>
        <v>0.48777875724738762</v>
      </c>
      <c r="AD142" s="262">
        <f t="shared" ref="AD142:AE142" ca="1" si="526">IF(AD$6&gt;0, -AD8/AD$6, "-")</f>
        <v>0.41070745581486395</v>
      </c>
      <c r="AE142" s="262">
        <f t="shared" ca="1" si="526"/>
        <v>0.28704030143397158</v>
      </c>
      <c r="AF142" s="262">
        <f t="shared" ref="AF142:AG142" ca="1" si="527">IF(AF$6&gt;0, -AF8/AF$6, "-")</f>
        <v>0.41070745581486401</v>
      </c>
      <c r="AG142" s="262">
        <f t="shared" ca="1" si="527"/>
        <v>0.48608405528996423</v>
      </c>
      <c r="AH142" s="262">
        <f t="shared" ref="AH142:AI142" ca="1" si="528">IF(AH$6&gt;0, -AH8/AH$6, "-")</f>
        <v>0.40937598209297343</v>
      </c>
      <c r="AI142" s="262">
        <f t="shared" ca="1" si="528"/>
        <v>0.28654592510026594</v>
      </c>
      <c r="AJ142" s="262">
        <f t="shared" ref="AJ142:AK142" ca="1" si="529">IF(AJ$6&gt;0, -AJ8/AJ$6, "-")</f>
        <v>0.4093759820929736</v>
      </c>
      <c r="AK142" s="262">
        <f t="shared" ca="1" si="529"/>
        <v>0.48729899426003687</v>
      </c>
      <c r="AL142" s="262">
        <f t="shared" ref="AL142:AM142" ca="1" si="530">IF(AL$6&gt;0, -AL8/AL$6, "-")</f>
        <v>0.41046238189660522</v>
      </c>
      <c r="AM142" s="262">
        <f t="shared" ca="1" si="530"/>
        <v>0.28712709208957005</v>
      </c>
      <c r="AN142" s="262">
        <f t="shared" ref="AN142:AO142" ca="1" si="531">IF(AN$6&gt;0, -AN8/AN$6, "-")</f>
        <v>0.41046238189660522</v>
      </c>
      <c r="AO142" s="262">
        <f t="shared" ca="1" si="531"/>
        <v>0.48803859518296727</v>
      </c>
      <c r="AP142" s="262">
        <f t="shared" ref="AP142:AQ142" ca="1" si="532">IF(AP$6&gt;0, -AP8/AP$6, "-")</f>
        <v>0.41118551634013845</v>
      </c>
      <c r="AQ142" s="262">
        <f t="shared" ca="1" si="532"/>
        <v>0.28758687304159208</v>
      </c>
      <c r="AR142" s="262">
        <f t="shared" ref="AR142:AS142" ca="1" si="533">IF(AR$6&gt;0, -AR8/AR$6, "-")</f>
        <v>0.41118551634013839</v>
      </c>
      <c r="AS142" s="262">
        <f t="shared" ca="1" si="533"/>
        <v>0.51581465857626196</v>
      </c>
      <c r="AT142" s="262">
        <f t="shared" ref="AT142:AU142" ca="1" si="534">IF(AT$6&gt;0, -AT8/AT$6, "-")</f>
        <v>0.43577424578776963</v>
      </c>
      <c r="AU142" s="262">
        <f t="shared" ca="1" si="534"/>
        <v>0.30025243287586251</v>
      </c>
      <c r="AV142" s="262">
        <f t="shared" ref="AV142" ca="1" si="535">IF(AV$6&gt;0, -AV8/AV$6, "-")</f>
        <v>0.43577424578776974</v>
      </c>
    </row>
    <row r="143" spans="1:50" x14ac:dyDescent="0.2">
      <c r="A143" s="65" t="str">
        <f ca="1">Language!A1292</f>
        <v>Операционные расходы</v>
      </c>
      <c r="C143" s="130" t="s">
        <v>1</v>
      </c>
      <c r="D143" s="57"/>
      <c r="E143" s="57"/>
      <c r="F143" s="57" t="s">
        <v>756</v>
      </c>
      <c r="G143" s="262">
        <f ca="1">IF(G$6&gt;0, -(G10+G14+G15)/G$6, "-")</f>
        <v>0.10613310530945443</v>
      </c>
      <c r="H143" s="262">
        <f t="shared" ref="H143:K143" ca="1" si="536">IF(H$6&gt;0, -(H10+H14+H15)/H$6, "-")</f>
        <v>0.18790498136680431</v>
      </c>
      <c r="I143" s="262">
        <f t="shared" ca="1" si="536"/>
        <v>0.14450144712717469</v>
      </c>
      <c r="J143" s="262">
        <f t="shared" ca="1" si="536"/>
        <v>0.13060522170092678</v>
      </c>
      <c r="K143" s="262">
        <f t="shared" ca="1" si="536"/>
        <v>7.1020716946798748E-2</v>
      </c>
      <c r="L143" s="262">
        <f t="shared" ref="L143:M143" ca="1" si="537">IF(L$6&gt;0, -(L10+L14+L15)/L$6, "-")</f>
        <v>0.114829792167798</v>
      </c>
      <c r="M143" s="262">
        <f t="shared" ca="1" si="537"/>
        <v>0.10701390470224445</v>
      </c>
      <c r="N143" s="262">
        <f t="shared" ref="N143:O143" ca="1" si="538">IF(N$6&gt;0, -(N10+N14+N15)/N$6, "-")</f>
        <v>0.10131178592194114</v>
      </c>
      <c r="O143" s="262">
        <f t="shared" ca="1" si="538"/>
        <v>5.9887151498804872E-2</v>
      </c>
      <c r="P143" s="262">
        <f t="shared" ref="P143:Q143" ca="1" si="539">IF(P$6&gt;0, -(P10+P14+P15)/P$6, "-")</f>
        <v>9.1554972884133515E-2</v>
      </c>
      <c r="Q143" s="262">
        <f t="shared" ca="1" si="539"/>
        <v>8.7644336476452686E-2</v>
      </c>
      <c r="R143" s="262">
        <f t="shared" ref="R143:S143" ca="1" si="540">IF(R$6&gt;0, -(R10+R14+R15)/R$6, "-")</f>
        <v>8.7644336476452714E-2</v>
      </c>
      <c r="S143" s="262">
        <f t="shared" ca="1" si="540"/>
        <v>5.646092803635442E-2</v>
      </c>
      <c r="T143" s="262">
        <f t="shared" ref="T143:U143" ca="1" si="541">IF(T$6&gt;0, -(T10+T14+T15)/T$6, "-")</f>
        <v>8.76443364764527E-2</v>
      </c>
      <c r="U143" s="262">
        <f t="shared" ca="1" si="541"/>
        <v>8.3750893432599657E-2</v>
      </c>
      <c r="V143" s="262">
        <f t="shared" ref="V143:W143" ca="1" si="542">IF(V$6&gt;0, -(V10+V14+V15)/V$6, "-")</f>
        <v>8.3750893432599657E-2</v>
      </c>
      <c r="W143" s="262">
        <f t="shared" ca="1" si="542"/>
        <v>5.4819199961207626E-2</v>
      </c>
      <c r="X143" s="262">
        <f t="shared" ref="X143:Y143" ca="1" si="543">IF(X$6&gt;0, -(X10+X14+X15)/X$6, "-")</f>
        <v>8.3750893432599657E-2</v>
      </c>
      <c r="Y143" s="262">
        <f t="shared" ca="1" si="543"/>
        <v>8.3578715514615556E-2</v>
      </c>
      <c r="Z143" s="262">
        <f t="shared" ref="Z143:AA143" ca="1" si="544">IF(Z$6&gt;0, -(Z10+Z14+Z15)/Z$6, "-")</f>
        <v>8.357871551461557E-2</v>
      </c>
      <c r="AA143" s="262">
        <f t="shared" ca="1" si="544"/>
        <v>5.4745380226445713E-2</v>
      </c>
      <c r="AB143" s="262">
        <f t="shared" ref="AB143:AC143" ca="1" si="545">IF(AB$6&gt;0, -(AB10+AB14+AB15)/AB$6, "-")</f>
        <v>8.3578715514615556E-2</v>
      </c>
      <c r="AC143" s="262">
        <f t="shared" ca="1" si="545"/>
        <v>8.2003864724205081E-2</v>
      </c>
      <c r="AD143" s="262">
        <f t="shared" ref="AD143:AE143" ca="1" si="546">IF(AD$6&gt;0, -(AD10+AD14+AD15)/AD$6, "-")</f>
        <v>8.2003864724205081E-2</v>
      </c>
      <c r="AE143" s="262">
        <f t="shared" ca="1" si="546"/>
        <v>5.4065276267673032E-2</v>
      </c>
      <c r="AF143" s="262">
        <f t="shared" ref="AF143:AG143" ca="1" si="547">IF(AF$6&gt;0, -(AF10+AF14+AF15)/AF$6, "-")</f>
        <v>8.2003864724205067E-2</v>
      </c>
      <c r="AG143" s="262">
        <f t="shared" ca="1" si="547"/>
        <v>8.1617389881598071E-2</v>
      </c>
      <c r="AH143" s="262">
        <f t="shared" ref="AH143:AI143" ca="1" si="548">IF(AH$6&gt;0, -(AH10+AH14+AH15)/AH$6, "-")</f>
        <v>8.1617389881598071E-2</v>
      </c>
      <c r="AI143" s="262">
        <f t="shared" ca="1" si="548"/>
        <v>5.3897013768067534E-2</v>
      </c>
      <c r="AJ143" s="262">
        <f t="shared" ref="AJ143:AK143" ca="1" si="549">IF(AJ$6&gt;0, -(AJ10+AJ14+AJ15)/AJ$6, "-")</f>
        <v>8.1617389881598085E-2</v>
      </c>
      <c r="AK143" s="262">
        <f t="shared" ca="1" si="549"/>
        <v>8.1754155554691357E-2</v>
      </c>
      <c r="AL143" s="262">
        <f t="shared" ref="AL143:AM143" ca="1" si="550">IF(AL$6&gt;0, -(AL10+AL14+AL15)/AL$6, "-")</f>
        <v>8.1754155554691343E-2</v>
      </c>
      <c r="AM143" s="262">
        <f t="shared" ca="1" si="550"/>
        <v>5.3956620321445679E-2</v>
      </c>
      <c r="AN143" s="262">
        <f t="shared" ref="AN143:AO143" ca="1" si="551">IF(AN$6&gt;0, -(AN10+AN14+AN15)/AN$6, "-")</f>
        <v>8.1754155554691343E-2</v>
      </c>
      <c r="AO143" s="262">
        <f t="shared" ca="1" si="551"/>
        <v>8.1771675888769824E-2</v>
      </c>
      <c r="AP143" s="262">
        <f t="shared" ref="AP143:AQ143" ca="1" si="552">IF(AP$6&gt;0, -(AP10+AP14+AP15)/AP$6, "-")</f>
        <v>8.1771675888769851E-2</v>
      </c>
      <c r="AQ143" s="262">
        <f t="shared" ca="1" si="552"/>
        <v>5.3964251305437125E-2</v>
      </c>
      <c r="AR143" s="262">
        <f t="shared" ref="AR143:AS143" ca="1" si="553">IF(AR$6&gt;0, -(AR10+AR14+AR15)/AR$6, "-")</f>
        <v>8.177167588876981E-2</v>
      </c>
      <c r="AS143" s="262">
        <f t="shared" ca="1" si="553"/>
        <v>8.5162999206955914E-2</v>
      </c>
      <c r="AT143" s="262">
        <f t="shared" ref="AT143:AU143" ca="1" si="554">IF(AT$6&gt;0, -(AT10+AT14+AT15)/AT$6, "-")</f>
        <v>8.51629992069559E-2</v>
      </c>
      <c r="AU143" s="262">
        <f t="shared" ca="1" si="554"/>
        <v>5.5420694221241039E-2</v>
      </c>
      <c r="AV143" s="262">
        <f t="shared" ref="AV143" ca="1" si="555">IF(AV$6&gt;0, -(AV10+AV14+AV15)/AV$6, "-")</f>
        <v>8.5162999206955914E-2</v>
      </c>
    </row>
    <row r="144" spans="1:50" x14ac:dyDescent="0.2">
      <c r="A144" s="65" t="str">
        <f ca="1">Language!A1293</f>
        <v>Расходы на персонал</v>
      </c>
      <c r="C144" s="130" t="s">
        <v>1</v>
      </c>
      <c r="D144" s="57"/>
      <c r="E144" s="57"/>
      <c r="F144" s="57" t="s">
        <v>756</v>
      </c>
      <c r="G144" s="262">
        <f ca="1">IF(G$6&gt;0, -(G9+G13)/G$6, "-")</f>
        <v>0.11110460340026571</v>
      </c>
      <c r="H144" s="262">
        <f t="shared" ref="H144:K144" ca="1" si="556">IF(H$6&gt;0, -(H9+H13)/H$6, "-")</f>
        <v>0.19670684628345989</v>
      </c>
      <c r="I144" s="262">
        <f t="shared" ca="1" si="556"/>
        <v>0.18152423894902139</v>
      </c>
      <c r="J144" s="262">
        <f t="shared" ca="1" si="556"/>
        <v>0.16406765429251161</v>
      </c>
      <c r="K144" s="262">
        <f t="shared" ca="1" si="556"/>
        <v>8.9216972215062765E-2</v>
      </c>
      <c r="L144" s="262">
        <f t="shared" ref="L144:M144" ca="1" si="557">IF(L$6&gt;0, -(L9+L13)/L$6, "-")</f>
        <v>0.14425039365584225</v>
      </c>
      <c r="M144" s="262">
        <f t="shared" ca="1" si="557"/>
        <v>0.14827058112034658</v>
      </c>
      <c r="N144" s="262">
        <f t="shared" ref="N144:O144" ca="1" si="558">IF(N$6&gt;0, -(N9+N13)/N$6, "-")</f>
        <v>0.14037014549447899</v>
      </c>
      <c r="O144" s="262">
        <f t="shared" ca="1" si="558"/>
        <v>8.2975224379265175E-2</v>
      </c>
      <c r="P144" s="262">
        <f t="shared" ref="P144:Q144" ca="1" si="559">IF(P$6&gt;0, -(P9+P13)/P$6, "-")</f>
        <v>0.12685182427235867</v>
      </c>
      <c r="Q144" s="262">
        <f t="shared" ca="1" si="559"/>
        <v>0.12143353461803248</v>
      </c>
      <c r="R144" s="262">
        <f t="shared" ref="R144:S144" ca="1" si="560">IF(R$6&gt;0, -(R9+R13)/R$6, "-")</f>
        <v>0.12143353461803254</v>
      </c>
      <c r="S144" s="262">
        <f t="shared" ca="1" si="560"/>
        <v>7.8228101608264725E-2</v>
      </c>
      <c r="T144" s="262">
        <f t="shared" ref="T144:U144" ca="1" si="561">IF(T$6&gt;0, -(T9+T13)/T$6, "-")</f>
        <v>0.12143353461803248</v>
      </c>
      <c r="U144" s="262">
        <f t="shared" ca="1" si="561"/>
        <v>0.11603906682174664</v>
      </c>
      <c r="V144" s="262">
        <f t="shared" ref="V144:W144" ca="1" si="562">IF(V$6&gt;0, -(V9+V13)/V$6, "-")</f>
        <v>0.11603906682174661</v>
      </c>
      <c r="W144" s="262">
        <f t="shared" ca="1" si="562"/>
        <v>7.595344415677846E-2</v>
      </c>
      <c r="X144" s="262">
        <f t="shared" ref="X144:Y144" ca="1" si="563">IF(X$6&gt;0, -(X9+X13)/X$6, "-")</f>
        <v>0.11603906682174661</v>
      </c>
      <c r="Y144" s="262">
        <f t="shared" ca="1" si="563"/>
        <v>0.11580050978538182</v>
      </c>
      <c r="Z144" s="262">
        <f t="shared" ref="Z144:AA144" ca="1" si="564">IF(Z$6&gt;0, -(Z9+Z13)/Z$6, "-")</f>
        <v>0.11580050978538182</v>
      </c>
      <c r="AA144" s="262">
        <f t="shared" ca="1" si="564"/>
        <v>7.5851164971641238E-2</v>
      </c>
      <c r="AB144" s="262">
        <f t="shared" ref="AB144:AC144" ca="1" si="565">IF(AB$6&gt;0, -(AB9+AB13)/AB$6, "-")</f>
        <v>0.11580050978538182</v>
      </c>
      <c r="AC144" s="262">
        <f t="shared" ca="1" si="565"/>
        <v>0.11361851257182626</v>
      </c>
      <c r="AD144" s="262">
        <f t="shared" ref="AD144:AE144" ca="1" si="566">IF(AD$6&gt;0, -(AD9+AD13)/AD$6, "-")</f>
        <v>0.11361851257182624</v>
      </c>
      <c r="AE144" s="262">
        <f t="shared" ca="1" si="566"/>
        <v>7.4908863039289078E-2</v>
      </c>
      <c r="AF144" s="262">
        <f t="shared" ref="AF144:AG144" ca="1" si="567">IF(AF$6&gt;0, -(AF9+AF13)/AF$6, "-")</f>
        <v>0.11361851257182626</v>
      </c>
      <c r="AG144" s="262">
        <f t="shared" ca="1" si="567"/>
        <v>0.11308304150700366</v>
      </c>
      <c r="AH144" s="262">
        <f t="shared" ref="AH144:AI144" ca="1" si="568">IF(AH$6&gt;0, -(AH9+AH13)/AH$6, "-")</f>
        <v>0.11308304150700367</v>
      </c>
      <c r="AI144" s="262">
        <f t="shared" ca="1" si="568"/>
        <v>7.4675730918125155E-2</v>
      </c>
      <c r="AJ144" s="262">
        <f t="shared" ref="AJ144:AK144" ca="1" si="569">IF(AJ$6&gt;0, -(AJ9+AJ13)/AJ$6, "-")</f>
        <v>0.11308304150700368</v>
      </c>
      <c r="AK144" s="262">
        <f t="shared" ca="1" si="569"/>
        <v>0.11327253394617104</v>
      </c>
      <c r="AL144" s="262">
        <f t="shared" ref="AL144:AM144" ca="1" si="570">IF(AL$6&gt;0, -(AL9+AL13)/AL$6, "-")</f>
        <v>0.11327253394617107</v>
      </c>
      <c r="AM144" s="262">
        <f t="shared" ca="1" si="570"/>
        <v>7.4758317366424076E-2</v>
      </c>
      <c r="AN144" s="262">
        <f t="shared" ref="AN144:AO144" ca="1" si="571">IF(AN$6&gt;0, -(AN9+AN13)/AN$6, "-")</f>
        <v>0.11327253394617107</v>
      </c>
      <c r="AO144" s="262">
        <f t="shared" ca="1" si="571"/>
        <v>0.11329680883009821</v>
      </c>
      <c r="AP144" s="262">
        <f t="shared" ref="AP144:AQ144" ca="1" si="572">IF(AP$6&gt;0, -(AP9+AP13)/AP$6, "-")</f>
        <v>0.11329680883009821</v>
      </c>
      <c r="AQ144" s="262">
        <f t="shared" ca="1" si="572"/>
        <v>7.4768890295559595E-2</v>
      </c>
      <c r="AR144" s="262">
        <f t="shared" ref="AR144:AS144" ca="1" si="573">IF(AR$6&gt;0, -(AR9+AR13)/AR$6, "-")</f>
        <v>0.1132968088300982</v>
      </c>
      <c r="AS144" s="262">
        <f t="shared" ca="1" si="573"/>
        <v>0.11799557653279553</v>
      </c>
      <c r="AT144" s="262">
        <f t="shared" ref="AT144:AU144" ca="1" si="574">IF(AT$6&gt;0, -(AT9+AT13)/AT$6, "-")</f>
        <v>0.11799557653279551</v>
      </c>
      <c r="AU144" s="262">
        <f t="shared" ca="1" si="574"/>
        <v>7.6786830282851104E-2</v>
      </c>
      <c r="AV144" s="262">
        <f t="shared" ref="AV144" ca="1" si="575">IF(AV$6&gt;0, -(AV9+AV13)/AV$6, "-")</f>
        <v>0.11799557653279553</v>
      </c>
    </row>
    <row r="145" spans="1:50" x14ac:dyDescent="0.2">
      <c r="A145" s="65" t="str">
        <f ca="1">Language!A1294</f>
        <v>Амортизация, лизинг и проценты</v>
      </c>
      <c r="C145" s="130" t="s">
        <v>1</v>
      </c>
      <c r="D145" s="57"/>
      <c r="E145" s="57"/>
      <c r="F145" s="57" t="s">
        <v>756</v>
      </c>
      <c r="G145" s="262">
        <f ca="1">IF(G$6&gt;0, -(G19+G20+G21)/G$6, "-")</f>
        <v>0.61703571426648274</v>
      </c>
      <c r="H145" s="262">
        <f t="shared" ref="H145:K145" ca="1" si="576">IF(H$6&gt;0, -(H19+H20+H21)/H$6, "-")</f>
        <v>1.1124258537706888</v>
      </c>
      <c r="I145" s="262">
        <f t="shared" ca="1" si="576"/>
        <v>0.87277862036000586</v>
      </c>
      <c r="J145" s="262">
        <f t="shared" ca="1" si="576"/>
        <v>0.79506344766334236</v>
      </c>
      <c r="K145" s="262">
        <f t="shared" ca="1" si="576"/>
        <v>0.42608851946026532</v>
      </c>
      <c r="L145" s="262">
        <f t="shared" ref="L145:M145" ca="1" si="577">IF(L$6&gt;0, -(L19+L20+L21)/L$6, "-")</f>
        <v>0.67895797368984001</v>
      </c>
      <c r="M145" s="262">
        <f t="shared" ca="1" si="577"/>
        <v>0.6235941878524508</v>
      </c>
      <c r="N145" s="262">
        <f t="shared" ref="N145:O145" ca="1" si="578">IF(N$6&gt;0, -(N19+N20+N21)/N$6, "-")</f>
        <v>0.58182898508235814</v>
      </c>
      <c r="O145" s="262">
        <f t="shared" ca="1" si="578"/>
        <v>0.33895541148442593</v>
      </c>
      <c r="P145" s="262">
        <f t="shared" ref="P145:Q145" ca="1" si="579">IF(P$6&gt;0, -(P19+P20+P21)/P$6, "-")</f>
        <v>0.51069827077072483</v>
      </c>
      <c r="Q145" s="262">
        <f t="shared" ca="1" si="579"/>
        <v>0.48181447160051044</v>
      </c>
      <c r="R145" s="262">
        <f t="shared" ref="R145:S145" ca="1" si="580">IF(R$6&gt;0, -(R19+R20+R21)/R$6, "-")</f>
        <v>0.47484664497839363</v>
      </c>
      <c r="S145" s="262">
        <f t="shared" ca="1" si="580"/>
        <v>0.30147483234767719</v>
      </c>
      <c r="T145" s="262">
        <f t="shared" ref="T145:U145" ca="1" si="581">IF(T$6&gt;0, -(T19+T20+T21)/T$6, "-")</f>
        <v>0.46121183305529256</v>
      </c>
      <c r="U145" s="262">
        <f t="shared" ca="1" si="581"/>
        <v>0.42934864131715328</v>
      </c>
      <c r="V145" s="262">
        <f t="shared" ref="V145:W145" ca="1" si="582">IF(V$6&gt;0, -(V19+V20+V21)/V$6, "-")</f>
        <v>0.41549245571143606</v>
      </c>
      <c r="W145" s="262">
        <f t="shared" ca="1" si="582"/>
        <v>0.25758584844671628</v>
      </c>
      <c r="X145" s="262">
        <f t="shared" ref="X145:Y145" ca="1" si="583">IF(X$6&gt;0, -(X19+X20+X21)/X$6, "-")</f>
        <v>0.37468166374988776</v>
      </c>
      <c r="Y145" s="262">
        <f t="shared" ca="1" si="583"/>
        <v>0.36279553456505559</v>
      </c>
      <c r="Z145" s="262">
        <f t="shared" ref="Z145:AA145" ca="1" si="584">IF(Z$6&gt;0, -(Z19+Z20+Z21)/Z$6, "-")</f>
        <v>0.3493259078117153</v>
      </c>
      <c r="AA145" s="262">
        <f t="shared" ca="1" si="584"/>
        <v>0.21469112088761949</v>
      </c>
      <c r="AB145" s="262">
        <f t="shared" ref="AB145:AC145" ca="1" si="585">IF(AB$6&gt;0, -(AB19+AB20+AB21)/AB$6, "-")</f>
        <v>0.30930707353049891</v>
      </c>
      <c r="AC145" s="262">
        <f t="shared" ca="1" si="585"/>
        <v>0.29258797014476517</v>
      </c>
      <c r="AD145" s="262">
        <f t="shared" ref="AD145:AE145" ca="1" si="586">IF(AD$6&gt;0, -(AD19+AD20+AD21)/AD$6, "-")</f>
        <v>0.27922058357455615</v>
      </c>
      <c r="AE145" s="262">
        <f t="shared" ca="1" si="586"/>
        <v>0.17004219779656957</v>
      </c>
      <c r="AF145" s="262">
        <f t="shared" ref="AF145:AG145" ca="1" si="587">IF(AF$6&gt;0, -(AF19+AF20+AF21)/AF$6, "-")</f>
        <v>0.23964807439518504</v>
      </c>
      <c r="AG145" s="262">
        <f t="shared" ca="1" si="587"/>
        <v>0.22767451247682632</v>
      </c>
      <c r="AH145" s="262">
        <f t="shared" ref="AH145:AI145" ca="1" si="588">IF(AH$6&gt;0, -(AH19+AH20+AH21)/AH$6, "-")</f>
        <v>0.21450554601597926</v>
      </c>
      <c r="AI145" s="262">
        <f t="shared" ca="1" si="588"/>
        <v>0.12773474304497293</v>
      </c>
      <c r="AJ145" s="262">
        <f t="shared" ref="AJ145:AK145" ca="1" si="589">IF(AJ$6&gt;0, -(AJ19+AJ20+AJ21)/AJ$6, "-")</f>
        <v>0.17538439705401546</v>
      </c>
      <c r="AK145" s="262">
        <f t="shared" ca="1" si="589"/>
        <v>0.16504926923977553</v>
      </c>
      <c r="AL145" s="262">
        <f t="shared" ref="AL145:AM145" ca="1" si="590">IF(AL$6&gt;0, -(AL19+AL20+AL21)/AL$6, "-")</f>
        <v>0.15215284002521531</v>
      </c>
      <c r="AM145" s="262">
        <f t="shared" ca="1" si="590"/>
        <v>9.7089652150974842E-2</v>
      </c>
      <c r="AN145" s="262">
        <f t="shared" ref="AN145:AO145" ca="1" si="591">IF(AN$6&gt;0, -(AN19+AN20+AN21)/AN$6, "-")</f>
        <v>0.14498116221350407</v>
      </c>
      <c r="AO145" s="262">
        <f t="shared" ca="1" si="591"/>
        <v>0.14291511796264267</v>
      </c>
      <c r="AP145" s="262">
        <f t="shared" ref="AP145:AQ145" ca="1" si="592">IF(AP$6&gt;0, -(AP19+AP20+AP21)/AP$6, "-")</f>
        <v>0.14084833121724841</v>
      </c>
      <c r="AQ145" s="262">
        <f t="shared" ca="1" si="592"/>
        <v>8.3982283158575734E-3</v>
      </c>
      <c r="AR145" s="262">
        <f t="shared" ref="AR145:AS145" ca="1" si="593">IF(AR$6&gt;0, -(AR19+AR20+AR21)/AR$6, "-")</f>
        <v>1.2541744626364294E-2</v>
      </c>
      <c r="AS145" s="262">
        <f t="shared" ca="1" si="593"/>
        <v>1.2872993093762873E-2</v>
      </c>
      <c r="AT145" s="262">
        <f t="shared" ref="AT145:AU145" ca="1" si="594">IF(AT$6&gt;0, -(AT19+AT20+AT21)/AT$6, "-")</f>
        <v>1.2686828523638838E-2</v>
      </c>
      <c r="AU145" s="262">
        <f t="shared" ca="1" si="594"/>
        <v>8.8611189896785673E-4</v>
      </c>
      <c r="AV145" s="262">
        <f t="shared" ref="AV145" ca="1" si="595">IF(AV$6&gt;0, -(AV19+AV20+AV21)/AV$6, "-")</f>
        <v>1.341964688239901E-3</v>
      </c>
    </row>
    <row r="146" spans="1:50" x14ac:dyDescent="0.2">
      <c r="A146" s="65" t="str">
        <f ca="1">Language!A1295</f>
        <v>Прочие расходы</v>
      </c>
      <c r="C146" s="130" t="s">
        <v>1</v>
      </c>
      <c r="D146" s="57"/>
      <c r="E146" s="57"/>
      <c r="F146" s="57" t="s">
        <v>756</v>
      </c>
      <c r="G146" s="262">
        <f ca="1">IF(G$6&gt;0, -G27/G$6, "-")</f>
        <v>0</v>
      </c>
      <c r="H146" s="262">
        <f t="shared" ref="H146:K146" ca="1" si="596">IF(H$6&gt;0, -H27/H$6, "-")</f>
        <v>0</v>
      </c>
      <c r="I146" s="262">
        <f t="shared" ca="1" si="596"/>
        <v>0</v>
      </c>
      <c r="J146" s="262">
        <f t="shared" ca="1" si="596"/>
        <v>0</v>
      </c>
      <c r="K146" s="262">
        <f t="shared" ca="1" si="596"/>
        <v>0</v>
      </c>
      <c r="L146" s="262">
        <f t="shared" ref="L146:M146" ca="1" si="597">IF(L$6&gt;0, -L27/L$6, "-")</f>
        <v>0</v>
      </c>
      <c r="M146" s="262">
        <f t="shared" ca="1" si="597"/>
        <v>0</v>
      </c>
      <c r="N146" s="262">
        <f t="shared" ref="N146:O146" ca="1" si="598">IF(N$6&gt;0, -N27/N$6, "-")</f>
        <v>0</v>
      </c>
      <c r="O146" s="262">
        <f t="shared" ca="1" si="598"/>
        <v>0</v>
      </c>
      <c r="P146" s="262">
        <f t="shared" ref="P146:Q146" ca="1" si="599">IF(P$6&gt;0, -P27/P$6, "-")</f>
        <v>0</v>
      </c>
      <c r="Q146" s="262">
        <f t="shared" ca="1" si="599"/>
        <v>0</v>
      </c>
      <c r="R146" s="262">
        <f t="shared" ref="R146:S146" ca="1" si="600">IF(R$6&gt;0, -R27/R$6, "-")</f>
        <v>0</v>
      </c>
      <c r="S146" s="262">
        <f t="shared" ca="1" si="600"/>
        <v>0</v>
      </c>
      <c r="T146" s="262">
        <f t="shared" ref="T146:U146" ca="1" si="601">IF(T$6&gt;0, -T27/T$6, "-")</f>
        <v>0</v>
      </c>
      <c r="U146" s="262">
        <f t="shared" ca="1" si="601"/>
        <v>0</v>
      </c>
      <c r="V146" s="262">
        <f t="shared" ref="V146:W146" ca="1" si="602">IF(V$6&gt;0, -V27/V$6, "-")</f>
        <v>0</v>
      </c>
      <c r="W146" s="262">
        <f t="shared" ca="1" si="602"/>
        <v>0</v>
      </c>
      <c r="X146" s="262">
        <f t="shared" ref="X146:Y146" ca="1" si="603">IF(X$6&gt;0, -X27/X$6, "-")</f>
        <v>0</v>
      </c>
      <c r="Y146" s="262">
        <f t="shared" ca="1" si="603"/>
        <v>0</v>
      </c>
      <c r="Z146" s="262">
        <f t="shared" ref="Z146:AA146" ca="1" si="604">IF(Z$6&gt;0, -Z27/Z$6, "-")</f>
        <v>0</v>
      </c>
      <c r="AA146" s="262">
        <f t="shared" ca="1" si="604"/>
        <v>0</v>
      </c>
      <c r="AB146" s="262">
        <f t="shared" ref="AB146:AC146" ca="1" si="605">IF(AB$6&gt;0, -AB27/AB$6, "-")</f>
        <v>0</v>
      </c>
      <c r="AC146" s="262">
        <f t="shared" ca="1" si="605"/>
        <v>0</v>
      </c>
      <c r="AD146" s="262">
        <f t="shared" ref="AD146:AE146" ca="1" si="606">IF(AD$6&gt;0, -AD27/AD$6, "-")</f>
        <v>0</v>
      </c>
      <c r="AE146" s="262">
        <f t="shared" ca="1" si="606"/>
        <v>0</v>
      </c>
      <c r="AF146" s="262">
        <f t="shared" ref="AF146:AG146" ca="1" si="607">IF(AF$6&gt;0, -AF27/AF$6, "-")</f>
        <v>0</v>
      </c>
      <c r="AG146" s="262">
        <f t="shared" ca="1" si="607"/>
        <v>0</v>
      </c>
      <c r="AH146" s="262">
        <f t="shared" ref="AH146:AI146" ca="1" si="608">IF(AH$6&gt;0, -AH27/AH$6, "-")</f>
        <v>0</v>
      </c>
      <c r="AI146" s="262">
        <f t="shared" ca="1" si="608"/>
        <v>0</v>
      </c>
      <c r="AJ146" s="262">
        <f t="shared" ref="AJ146:AK146" ca="1" si="609">IF(AJ$6&gt;0, -AJ27/AJ$6, "-")</f>
        <v>0</v>
      </c>
      <c r="AK146" s="262">
        <f t="shared" ca="1" si="609"/>
        <v>0</v>
      </c>
      <c r="AL146" s="262">
        <f t="shared" ref="AL146:AM146" ca="1" si="610">IF(AL$6&gt;0, -AL27/AL$6, "-")</f>
        <v>0</v>
      </c>
      <c r="AM146" s="262">
        <f t="shared" ca="1" si="610"/>
        <v>0</v>
      </c>
      <c r="AN146" s="262">
        <f t="shared" ref="AN146:AO146" ca="1" si="611">IF(AN$6&gt;0, -AN27/AN$6, "-")</f>
        <v>0</v>
      </c>
      <c r="AO146" s="262">
        <f t="shared" ca="1" si="611"/>
        <v>0</v>
      </c>
      <c r="AP146" s="262">
        <f t="shared" ref="AP146:AQ146" ca="1" si="612">IF(AP$6&gt;0, -AP27/AP$6, "-")</f>
        <v>0</v>
      </c>
      <c r="AQ146" s="262">
        <f t="shared" ca="1" si="612"/>
        <v>0</v>
      </c>
      <c r="AR146" s="262">
        <f t="shared" ref="AR146:AS146" ca="1" si="613">IF(AR$6&gt;0, -AR27/AR$6, "-")</f>
        <v>0</v>
      </c>
      <c r="AS146" s="262">
        <f t="shared" ca="1" si="613"/>
        <v>0</v>
      </c>
      <c r="AT146" s="262">
        <f t="shared" ref="AT146:AU146" ca="1" si="614">IF(AT$6&gt;0, -AT27/AT$6, "-")</f>
        <v>0</v>
      </c>
      <c r="AU146" s="262">
        <f t="shared" ca="1" si="614"/>
        <v>0</v>
      </c>
      <c r="AV146" s="262">
        <f t="shared" ref="AV146" ca="1" si="615">IF(AV$6&gt;0, -AV27/AV$6, "-")</f>
        <v>0</v>
      </c>
    </row>
    <row r="147" spans="1:50" x14ac:dyDescent="0.2">
      <c r="A147" s="65" t="str">
        <f ca="1">Language!A1296</f>
        <v>Налоги</v>
      </c>
      <c r="C147" s="130" t="s">
        <v>1</v>
      </c>
      <c r="D147" s="57"/>
      <c r="E147" s="57"/>
      <c r="F147" s="57" t="s">
        <v>756</v>
      </c>
      <c r="G147" s="262">
        <f ca="1">IF(G$6&gt;0, -(G16+G29)/G$6, "-")</f>
        <v>0</v>
      </c>
      <c r="H147" s="262">
        <f t="shared" ref="H147:K147" ca="1" si="616">IF(H$6&gt;0, -(H16+H29)/H$6, "-")</f>
        <v>0</v>
      </c>
      <c r="I147" s="262">
        <f t="shared" ca="1" si="616"/>
        <v>0</v>
      </c>
      <c r="J147" s="262">
        <f t="shared" ca="1" si="616"/>
        <v>0</v>
      </c>
      <c r="K147" s="262">
        <f t="shared" ca="1" si="616"/>
        <v>0</v>
      </c>
      <c r="L147" s="262">
        <f t="shared" ref="L147:M147" ca="1" si="617">IF(L$6&gt;0, -(L16+L29)/L$6, "-")</f>
        <v>0</v>
      </c>
      <c r="M147" s="262">
        <f t="shared" ca="1" si="617"/>
        <v>0</v>
      </c>
      <c r="N147" s="262">
        <f t="shared" ref="N147:O147" ca="1" si="618">IF(N$6&gt;0, -(N16+N29)/N$6, "-")</f>
        <v>0</v>
      </c>
      <c r="O147" s="262">
        <f t="shared" ca="1" si="618"/>
        <v>0</v>
      </c>
      <c r="P147" s="262">
        <f t="shared" ref="P147:Q147" ca="1" si="619">IF(P$6&gt;0, -(P16+P29)/P$6, "-")</f>
        <v>0</v>
      </c>
      <c r="Q147" s="262">
        <f t="shared" ca="1" si="619"/>
        <v>0</v>
      </c>
      <c r="R147" s="262">
        <f t="shared" ref="R147:S147" ca="1" si="620">IF(R$6&gt;0, -(R16+R29)/R$6, "-")</f>
        <v>0</v>
      </c>
      <c r="S147" s="262">
        <f t="shared" ca="1" si="620"/>
        <v>0</v>
      </c>
      <c r="T147" s="262">
        <f t="shared" ref="T147:U147" ca="1" si="621">IF(T$6&gt;0, -(T16+T29)/T$6, "-")</f>
        <v>0</v>
      </c>
      <c r="U147" s="262">
        <f t="shared" ca="1" si="621"/>
        <v>0</v>
      </c>
      <c r="V147" s="262">
        <f t="shared" ref="V147:W147" ca="1" si="622">IF(V$6&gt;0, -(V16+V29)/V$6, "-")</f>
        <v>0</v>
      </c>
      <c r="W147" s="262">
        <f t="shared" ca="1" si="622"/>
        <v>0</v>
      </c>
      <c r="X147" s="262">
        <f t="shared" ref="X147:Y147" ca="1" si="623">IF(X$6&gt;0, -(X16+X29)/X$6, "-")</f>
        <v>0</v>
      </c>
      <c r="Y147" s="262">
        <f t="shared" ca="1" si="623"/>
        <v>0</v>
      </c>
      <c r="Z147" s="262">
        <f t="shared" ref="Z147:AA147" ca="1" si="624">IF(Z$6&gt;0, -(Z16+Z29)/Z$6, "-")</f>
        <v>0</v>
      </c>
      <c r="AA147" s="262">
        <f t="shared" ca="1" si="624"/>
        <v>0</v>
      </c>
      <c r="AB147" s="262">
        <f t="shared" ref="AB147:AC147" ca="1" si="625">IF(AB$6&gt;0, -(AB16+AB29)/AB$6, "-")</f>
        <v>0</v>
      </c>
      <c r="AC147" s="262">
        <f t="shared" ca="1" si="625"/>
        <v>0</v>
      </c>
      <c r="AD147" s="262">
        <f t="shared" ref="AD147:AE147" ca="1" si="626">IF(AD$6&gt;0, -(AD16+AD29)/AD$6, "-")</f>
        <v>0</v>
      </c>
      <c r="AE147" s="262">
        <f t="shared" ca="1" si="626"/>
        <v>0</v>
      </c>
      <c r="AF147" s="262">
        <f t="shared" ref="AF147:AG147" ca="1" si="627">IF(AF$6&gt;0, -(AF16+AF29)/AF$6, "-")</f>
        <v>0</v>
      </c>
      <c r="AG147" s="262">
        <f t="shared" ca="1" si="627"/>
        <v>0</v>
      </c>
      <c r="AH147" s="262">
        <f t="shared" ref="AH147:AI147" ca="1" si="628">IF(AH$6&gt;0, -(AH16+AH29)/AH$6, "-")</f>
        <v>0</v>
      </c>
      <c r="AI147" s="262">
        <f t="shared" ca="1" si="628"/>
        <v>0</v>
      </c>
      <c r="AJ147" s="262">
        <f t="shared" ref="AJ147:AK147" ca="1" si="629">IF(AJ$6&gt;0, -(AJ16+AJ29)/AJ$6, "-")</f>
        <v>0</v>
      </c>
      <c r="AK147" s="262">
        <f t="shared" ca="1" si="629"/>
        <v>0</v>
      </c>
      <c r="AL147" s="262">
        <f t="shared" ref="AL147:AM147" ca="1" si="630">IF(AL$6&gt;0, -(AL16+AL29)/AL$6, "-")</f>
        <v>0</v>
      </c>
      <c r="AM147" s="262">
        <f t="shared" ca="1" si="630"/>
        <v>0</v>
      </c>
      <c r="AN147" s="262">
        <f t="shared" ref="AN147:AO147" ca="1" si="631">IF(AN$6&gt;0, -(AN16+AN29)/AN$6, "-")</f>
        <v>0</v>
      </c>
      <c r="AO147" s="262">
        <f t="shared" ca="1" si="631"/>
        <v>0</v>
      </c>
      <c r="AP147" s="262">
        <f t="shared" ref="AP147:AQ147" ca="1" si="632">IF(AP$6&gt;0, -(AP16+AP29)/AP$6, "-")</f>
        <v>0</v>
      </c>
      <c r="AQ147" s="262">
        <f t="shared" ca="1" si="632"/>
        <v>0</v>
      </c>
      <c r="AR147" s="262">
        <f t="shared" ref="AR147:AS147" ca="1" si="633">IF(AR$6&gt;0, -(AR16+AR29)/AR$6, "-")</f>
        <v>0</v>
      </c>
      <c r="AS147" s="262">
        <f t="shared" ca="1" si="633"/>
        <v>0</v>
      </c>
      <c r="AT147" s="262">
        <f t="shared" ref="AT147:AU147" ca="1" si="634">IF(AT$6&gt;0, -(AT16+AT29)/AT$6, "-")</f>
        <v>0</v>
      </c>
      <c r="AU147" s="262">
        <f t="shared" ca="1" si="634"/>
        <v>0</v>
      </c>
      <c r="AV147" s="262">
        <f t="shared" ref="AV147" ca="1" si="635">IF(AV$6&gt;0, -(AV16+AV29)/AV$6, "-")</f>
        <v>0</v>
      </c>
    </row>
    <row r="148" spans="1:50" x14ac:dyDescent="0.2">
      <c r="A148" s="65" t="str">
        <f ca="1">Language!A1297</f>
        <v>Все операционные затраты</v>
      </c>
      <c r="C148" s="130" t="s">
        <v>1</v>
      </c>
      <c r="D148" s="57"/>
      <c r="E148" s="57"/>
      <c r="F148" s="57" t="s">
        <v>756</v>
      </c>
      <c r="G148" s="263">
        <f ca="1">IF(G$6&gt;0, -(G7+G13+G14+G15+G16+G19+G20+G21)/G$6, "-")</f>
        <v>1.1270815943826338</v>
      </c>
      <c r="H148" s="263">
        <f t="shared" ref="H148:K148" ca="1" si="636">IF(H$6&gt;0, -(H7+H13+H14+H15+H16+H19+H20+H21)/H$6, "-")</f>
        <v>2.0009629929202486</v>
      </c>
      <c r="I148" s="263">
        <f t="shared" ca="1" si="636"/>
        <v>1.7981972030187121</v>
      </c>
      <c r="J148" s="263">
        <f t="shared" ca="1" si="636"/>
        <v>1.5379526485987882</v>
      </c>
      <c r="K148" s="263">
        <f t="shared" ca="1" si="636"/>
        <v>0.86276490985657373</v>
      </c>
      <c r="L148" s="263">
        <f t="shared" ref="L148:M148" ca="1" si="637">IF(L$6&gt;0, -(L7+L13+L14+L15+L16+L19+L20+L21)/L$6, "-")</f>
        <v>1.3688094527590413</v>
      </c>
      <c r="M148" s="263">
        <f t="shared" ca="1" si="637"/>
        <v>1.4178920522270642</v>
      </c>
      <c r="N148" s="263">
        <f t="shared" ref="N148:O148" ca="1" si="638">IF(N$6&gt;0, -(N7+N13+N14+N15+N16+N19+N20+N21)/N$6, "-")</f>
        <v>1.254772746703543</v>
      </c>
      <c r="O148" s="263">
        <f t="shared" ca="1" si="638"/>
        <v>0.76432373440602364</v>
      </c>
      <c r="P148" s="263">
        <f t="shared" ref="P148:Q148" ca="1" si="639">IF(P$6&gt;0, -(P7+P13+P14+P15+P16+P19+P20+P21)/P$6, "-")</f>
        <v>1.1480905946751581</v>
      </c>
      <c r="Q148" s="263">
        <f t="shared" ca="1" si="639"/>
        <v>1.1918670863035208</v>
      </c>
      <c r="R148" s="263">
        <f t="shared" ref="R148:S148" ca="1" si="640">IF(R$6&gt;0, -(R7+R13+R14+R15+R16+R19+R20+R21)/R$6, "-")</f>
        <v>1.1025267629930087</v>
      </c>
      <c r="S148" s="263">
        <f t="shared" ca="1" si="640"/>
        <v>0.72281029214043169</v>
      </c>
      <c r="T148" s="263">
        <f t="shared" ref="T148:U148" ca="1" si="641">IF(T$6&gt;0, -(T7+T13+T14+T15+T16+T19+T20+T21)/T$6, "-")</f>
        <v>1.0888919510699073</v>
      </c>
      <c r="U148" s="263">
        <f t="shared" ca="1" si="641"/>
        <v>1.1180711648619523</v>
      </c>
      <c r="V148" s="263">
        <f t="shared" ref="V148:W148" ca="1" si="642">IF(V$6&gt;0, -(V7+V13+V14+V15+V16+V19+V20+V21)/V$6, "-")</f>
        <v>1.0255017335489047</v>
      </c>
      <c r="W148" s="263">
        <f t="shared" ca="1" si="642"/>
        <v>0.67335478227803458</v>
      </c>
      <c r="X148" s="263">
        <f t="shared" ref="X148:Y148" ca="1" si="643">IF(X$6&gt;0, -(X7+X13+X14+X15+X16+X19+X20+X21)/X$6, "-")</f>
        <v>0.98469094158735648</v>
      </c>
      <c r="Y148" s="263">
        <f t="shared" ca="1" si="643"/>
        <v>1.0554471044839697</v>
      </c>
      <c r="Z148" s="263">
        <f t="shared" ref="Z148:AA148" ca="1" si="644">IF(Z$6&gt;0, -(Z7+Z13+Z14+Z15+Z16+Z19+Z20+Z21)/Z$6, "-")</f>
        <v>0.96342605337478782</v>
      </c>
      <c r="AA148" s="263">
        <f t="shared" ca="1" si="644"/>
        <v>0.63340120252110665</v>
      </c>
      <c r="AB148" s="263">
        <f t="shared" ref="AB148:AC148" ca="1" si="645">IF(AB$6&gt;0, -(AB7+AB13+AB14+AB15+AB16+AB19+AB20+AB21)/AB$6, "-")</f>
        <v>0.92340721909357126</v>
      </c>
      <c r="AC148" s="263">
        <f t="shared" ca="1" si="645"/>
        <v>0.97598910468818412</v>
      </c>
      <c r="AD148" s="263">
        <f t="shared" ref="AD148:AE148" ca="1" si="646">IF(AD$6&gt;0, -(AD7+AD13+AD14+AD15+AD16+AD19+AD20+AD21)/AD$6, "-")</f>
        <v>0.88555041668545154</v>
      </c>
      <c r="AE148" s="263">
        <f t="shared" ca="1" si="646"/>
        <v>0.58605663853750334</v>
      </c>
      <c r="AF148" s="263">
        <f t="shared" ref="AF148:AG148" ca="1" si="647">IF(AF$6&gt;0, -(AF7+AF13+AF14+AF15+AF16+AF19+AF20+AF21)/AF$6, "-")</f>
        <v>0.8459779075060806</v>
      </c>
      <c r="AG148" s="263">
        <f t="shared" ca="1" si="647"/>
        <v>0.90845899915539219</v>
      </c>
      <c r="AH148" s="263">
        <f t="shared" ref="AH148:AI148" ca="1" si="648">IF(AH$6&gt;0, -(AH7+AH13+AH14+AH15+AH16+AH19+AH20+AH21)/AH$6, "-")</f>
        <v>0.81858195949755452</v>
      </c>
      <c r="AI148" s="263">
        <f t="shared" ca="1" si="648"/>
        <v>0.54285341283143151</v>
      </c>
      <c r="AJ148" s="263">
        <f t="shared" ref="AJ148:AK148" ca="1" si="649">IF(AJ$6&gt;0, -(AJ7+AJ13+AJ14+AJ15+AJ16+AJ19+AJ20+AJ21)/AJ$6, "-")</f>
        <v>0.7794608105355908</v>
      </c>
      <c r="AK148" s="263">
        <f t="shared" ca="1" si="649"/>
        <v>0.847374953000675</v>
      </c>
      <c r="AL148" s="263">
        <f t="shared" ref="AL148:AM148" ca="1" si="650">IF(AL$6&gt;0, -(AL7+AL13+AL14+AL15+AL16+AL19+AL20+AL21)/AL$6, "-")</f>
        <v>0.75764191142268311</v>
      </c>
      <c r="AM148" s="263">
        <f t="shared" ca="1" si="650"/>
        <v>0.51293168192841465</v>
      </c>
      <c r="AN148" s="263">
        <f t="shared" ref="AN148:AO148" ca="1" si="651">IF(AN$6&gt;0, -(AN7+AN13+AN14+AN15+AN16+AN19+AN20+AN21)/AN$6, "-")</f>
        <v>0.75047023361097165</v>
      </c>
      <c r="AO148" s="263">
        <f t="shared" ca="1" si="651"/>
        <v>0.82602219786447806</v>
      </c>
      <c r="AP148" s="263">
        <f t="shared" ref="AP148:AQ148" ca="1" si="652">IF(AP$6&gt;0, -(AP7+AP13+AP14+AP15+AP16+AP19+AP20+AP21)/AP$6, "-")</f>
        <v>0.74710233227625489</v>
      </c>
      <c r="AQ148" s="263">
        <f t="shared" ca="1" si="652"/>
        <v>0.4247182429584464</v>
      </c>
      <c r="AR148" s="263">
        <f t="shared" ref="AR148:AS148" ca="1" si="653">IF(AR$6&gt;0, -(AR7+AR13+AR14+AR15+AR16+AR19+AR20+AR21)/AR$6, "-")</f>
        <v>0.61879574568537066</v>
      </c>
      <c r="AS148" s="263">
        <f t="shared" ca="1" si="653"/>
        <v>0.73184622740977634</v>
      </c>
      <c r="AT148" s="263">
        <f t="shared" ref="AT148:AU148" ca="1" si="654">IF(AT$6&gt;0, -(AT7+AT13+AT14+AT15+AT16+AT19+AT20+AT21)/AT$6, "-")</f>
        <v>0.65161965005115985</v>
      </c>
      <c r="AU148" s="263">
        <f t="shared" ca="1" si="654"/>
        <v>0.43334606927892255</v>
      </c>
      <c r="AV148" s="263">
        <f t="shared" ref="AV148" ca="1" si="655">IF(AV$6&gt;0, -(AV7+AV13+AV14+AV15+AV16+AV19+AV20+AV21)/AV$6, "-")</f>
        <v>0.64027478621576106</v>
      </c>
    </row>
    <row r="149" spans="1:50" x14ac:dyDescent="0.2">
      <c r="A149" s="257"/>
      <c r="B149" s="258"/>
      <c r="C149" s="259"/>
      <c r="D149" s="260"/>
      <c r="E149" s="260"/>
      <c r="F149" s="260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  <c r="R149" s="261"/>
      <c r="S149" s="261"/>
      <c r="T149" s="261"/>
      <c r="U149" s="261"/>
      <c r="V149" s="261"/>
      <c r="W149" s="261"/>
      <c r="X149" s="261"/>
      <c r="Y149" s="261"/>
      <c r="Z149" s="261"/>
      <c r="AA149" s="261"/>
      <c r="AB149" s="261"/>
      <c r="AC149" s="261"/>
      <c r="AD149" s="261"/>
      <c r="AE149" s="261"/>
      <c r="AF149" s="261"/>
      <c r="AG149" s="261"/>
      <c r="AH149" s="261"/>
      <c r="AI149" s="261"/>
      <c r="AJ149" s="261"/>
      <c r="AK149" s="261"/>
      <c r="AL149" s="261"/>
      <c r="AM149" s="261"/>
      <c r="AN149" s="261"/>
      <c r="AO149" s="261"/>
      <c r="AP149" s="261"/>
      <c r="AQ149" s="261"/>
      <c r="AR149" s="261"/>
      <c r="AS149" s="261"/>
      <c r="AT149" s="261"/>
      <c r="AU149" s="261"/>
      <c r="AV149" s="261"/>
      <c r="AW149" s="58"/>
      <c r="AX149" s="58"/>
    </row>
    <row r="150" spans="1:50" x14ac:dyDescent="0.2">
      <c r="A150" s="65"/>
      <c r="D150" s="57"/>
      <c r="E150" s="57"/>
      <c r="F150" s="57"/>
      <c r="AW150" s="58"/>
      <c r="AX150" s="58"/>
    </row>
    <row r="151" spans="1:50" x14ac:dyDescent="0.2">
      <c r="A151" s="65" t="str">
        <f ca="1">Language!A1298</f>
        <v>Рентабельность продаж по чистой прибыли, NPM</v>
      </c>
      <c r="C151" s="130" t="s">
        <v>1</v>
      </c>
      <c r="D151" s="57"/>
      <c r="E151" s="57"/>
      <c r="F151" s="57" t="s">
        <v>756</v>
      </c>
      <c r="G151" s="264">
        <f t="shared" ref="G151:AV151" ca="1" si="656">IFERROR(G30/G6, "-")</f>
        <v>0.17688250203306158</v>
      </c>
      <c r="H151" s="264">
        <f t="shared" ca="1" si="656"/>
        <v>-0.45840435637625293</v>
      </c>
      <c r="I151" s="264">
        <f t="shared" ca="1" si="656"/>
        <v>-0.35929515046939775</v>
      </c>
      <c r="J151" s="264">
        <f t="shared" ca="1" si="656"/>
        <v>-0.13054513936921117</v>
      </c>
      <c r="K151" s="264">
        <f t="shared" ca="1" si="656"/>
        <v>0.35557195738943487</v>
      </c>
      <c r="L151" s="264">
        <f t="shared" ca="1" si="656"/>
        <v>-2.0896870756321188E-2</v>
      </c>
      <c r="M151" s="264">
        <f t="shared" ca="1" si="656"/>
        <v>-9.8349057778421123E-2</v>
      </c>
      <c r="N151" s="264">
        <f t="shared" ca="1" si="656"/>
        <v>4.3368864895670489E-2</v>
      </c>
      <c r="O151" s="264">
        <f t="shared" ca="1" si="656"/>
        <v>0.40936426538645332</v>
      </c>
      <c r="P151" s="264">
        <f t="shared" ca="1" si="656"/>
        <v>0.11360211811907142</v>
      </c>
      <c r="Q151" s="264">
        <f t="shared" ca="1" si="656"/>
        <v>5.502495025334727E-2</v>
      </c>
      <c r="R151" s="264">
        <f t="shared" ca="1" si="656"/>
        <v>0.14079481022888693</v>
      </c>
      <c r="S151" s="264">
        <f t="shared" ca="1" si="656"/>
        <v>0.43167185755861964</v>
      </c>
      <c r="T151" s="264">
        <f t="shared" ca="1" si="656"/>
        <v>0.14744285300705018</v>
      </c>
      <c r="U151" s="264">
        <f t="shared" ca="1" si="656"/>
        <v>9.9831236227147221E-2</v>
      </c>
      <c r="V151" s="264">
        <f t="shared" ca="1" si="656"/>
        <v>0.18211214770623474</v>
      </c>
      <c r="W151" s="264">
        <f t="shared" ca="1" si="656"/>
        <v>0.45082790037815917</v>
      </c>
      <c r="X151" s="264">
        <f t="shared" ca="1" si="656"/>
        <v>0.19000655399939551</v>
      </c>
      <c r="Y151" s="264">
        <f t="shared" ca="1" si="656"/>
        <v>0.11104211415263444</v>
      </c>
      <c r="Z151" s="264">
        <f t="shared" ca="1" si="656"/>
        <v>0.19298065004467177</v>
      </c>
      <c r="AA151" s="264">
        <f t="shared" ca="1" si="656"/>
        <v>0.45747315894853102</v>
      </c>
      <c r="AB151" s="264">
        <f t="shared" ca="1" si="656"/>
        <v>0.20051937477232348</v>
      </c>
      <c r="AC151" s="264">
        <f t="shared" ca="1" si="656"/>
        <v>0.13777532337326809</v>
      </c>
      <c r="AD151" s="264">
        <f t="shared" ca="1" si="656"/>
        <v>0.21804177853795034</v>
      </c>
      <c r="AE151" s="264">
        <f t="shared" ca="1" si="656"/>
        <v>0.47062710575005356</v>
      </c>
      <c r="AF151" s="264">
        <f t="shared" ca="1" si="656"/>
        <v>0.22518845831569811</v>
      </c>
      <c r="AG151" s="264">
        <f t="shared" ca="1" si="656"/>
        <v>0.15444586211129493</v>
      </c>
      <c r="AH151" s="264">
        <f t="shared" ca="1" si="656"/>
        <v>0.23419520240955985</v>
      </c>
      <c r="AI151" s="264">
        <f t="shared" ca="1" si="656"/>
        <v>0.48041776357004123</v>
      </c>
      <c r="AJ151" s="264">
        <f t="shared" ca="1" si="656"/>
        <v>0.24103654730416224</v>
      </c>
      <c r="AK151" s="264">
        <f t="shared" ca="1" si="656"/>
        <v>0.16531063584192326</v>
      </c>
      <c r="AL151" s="264">
        <f t="shared" ca="1" si="656"/>
        <v>0.24505131306851874</v>
      </c>
      <c r="AM151" s="264">
        <f t="shared" ca="1" si="656"/>
        <v>0.48706831807158324</v>
      </c>
      <c r="AN151" s="264">
        <f t="shared" ca="1" si="656"/>
        <v>0.24952976638903002</v>
      </c>
      <c r="AO151" s="264">
        <f t="shared" ca="1" si="656"/>
        <v>0.17397780213552042</v>
      </c>
      <c r="AP151" s="264">
        <f t="shared" ca="1" si="656"/>
        <v>0.25289766772374594</v>
      </c>
      <c r="AQ151" s="264">
        <f t="shared" ca="1" si="656"/>
        <v>0.57528175704155382</v>
      </c>
      <c r="AR151" s="264">
        <f t="shared" ca="1" si="656"/>
        <v>0.38120425431462307</v>
      </c>
      <c r="AS151" s="264">
        <f t="shared" ca="1" si="656"/>
        <v>0.26815377259022066</v>
      </c>
      <c r="AT151" s="264">
        <f t="shared" ca="1" si="656"/>
        <v>0.34838034994884226</v>
      </c>
      <c r="AU151" s="264">
        <f t="shared" ca="1" si="656"/>
        <v>0.56665393072107673</v>
      </c>
      <c r="AV151" s="264">
        <f t="shared" ca="1" si="656"/>
        <v>0.35972521378424094</v>
      </c>
    </row>
    <row r="152" spans="1:50" x14ac:dyDescent="0.2">
      <c r="A152" s="65" t="str">
        <f ca="1">Language!A1299</f>
        <v>Рентабельность продаж по EBITDA</v>
      </c>
      <c r="C152" s="130" t="s">
        <v>1</v>
      </c>
      <c r="D152" s="57"/>
      <c r="E152" s="57"/>
      <c r="F152" s="57" t="s">
        <v>756</v>
      </c>
      <c r="G152" s="262">
        <f t="shared" ref="G152:AV152" ca="1" si="657">IFERROR(G17/G6, "-")</f>
        <v>0.48995411988384902</v>
      </c>
      <c r="H152" s="262">
        <f t="shared" ca="1" si="657"/>
        <v>0.1114628608504402</v>
      </c>
      <c r="I152" s="262">
        <f t="shared" ca="1" si="657"/>
        <v>7.4581417341293671E-2</v>
      </c>
      <c r="J152" s="262">
        <f t="shared" ca="1" si="657"/>
        <v>0.25711079906455431</v>
      </c>
      <c r="K152" s="262">
        <f t="shared" ca="1" si="657"/>
        <v>0.56332360960369166</v>
      </c>
      <c r="L152" s="262">
        <f t="shared" ca="1" si="657"/>
        <v>0.31014852093079859</v>
      </c>
      <c r="M152" s="262">
        <f t="shared" ca="1" si="657"/>
        <v>0.2057021356253865</v>
      </c>
      <c r="N152" s="262">
        <f t="shared" ca="1" si="657"/>
        <v>0.32705623837881515</v>
      </c>
      <c r="O152" s="262">
        <f t="shared" ca="1" si="657"/>
        <v>0.57463167707840235</v>
      </c>
      <c r="P152" s="262">
        <f t="shared" ca="1" si="657"/>
        <v>0.36260767609556677</v>
      </c>
      <c r="Q152" s="262">
        <f t="shared" ca="1" si="657"/>
        <v>0.28994738529698977</v>
      </c>
      <c r="R152" s="262">
        <f t="shared" ca="1" si="657"/>
        <v>0.37231988198538485</v>
      </c>
      <c r="S152" s="262">
        <f t="shared" ca="1" si="657"/>
        <v>0.57866454020724556</v>
      </c>
      <c r="T152" s="262">
        <f t="shared" ca="1" si="657"/>
        <v>0.37231988198538513</v>
      </c>
      <c r="U152" s="262">
        <f t="shared" ca="1" si="657"/>
        <v>0.31127747645520087</v>
      </c>
      <c r="V152" s="262">
        <f t="shared" ca="1" si="657"/>
        <v>0.38999072216253139</v>
      </c>
      <c r="W152" s="262">
        <f t="shared" ca="1" si="657"/>
        <v>0.5842310661686817</v>
      </c>
      <c r="X152" s="262">
        <f t="shared" ca="1" si="657"/>
        <v>0.38999072216253128</v>
      </c>
      <c r="Y152" s="262">
        <f t="shared" ca="1" si="657"/>
        <v>0.30734843008108592</v>
      </c>
      <c r="Z152" s="262">
        <f t="shared" ca="1" si="657"/>
        <v>0.38589985443692759</v>
      </c>
      <c r="AA152" s="262">
        <f t="shared" ca="1" si="657"/>
        <v>0.58128991836651278</v>
      </c>
      <c r="AB152" s="262">
        <f t="shared" ca="1" si="657"/>
        <v>0.38589985443692759</v>
      </c>
      <c r="AC152" s="262">
        <f t="shared" ca="1" si="657"/>
        <v>0.31659886545658095</v>
      </c>
      <c r="AD152" s="262">
        <f t="shared" ca="1" si="657"/>
        <v>0.39367016688910467</v>
      </c>
      <c r="AE152" s="262">
        <f t="shared" ca="1" si="657"/>
        <v>0.58398555925906637</v>
      </c>
      <c r="AF152" s="262">
        <f t="shared" ca="1" si="657"/>
        <v>0.39367016688910461</v>
      </c>
      <c r="AG152" s="262">
        <f t="shared" ca="1" si="657"/>
        <v>0.31921551332143405</v>
      </c>
      <c r="AH152" s="262">
        <f t="shared" ca="1" si="657"/>
        <v>0.3959235865184248</v>
      </c>
      <c r="AI152" s="262">
        <f t="shared" ca="1" si="657"/>
        <v>0.58488133021354149</v>
      </c>
      <c r="AJ152" s="262">
        <f t="shared" ca="1" si="657"/>
        <v>0.39592358651842458</v>
      </c>
      <c r="AK152" s="262">
        <f t="shared" ca="1" si="657"/>
        <v>0.3176743162391007</v>
      </c>
      <c r="AL152" s="262">
        <f t="shared" ca="1" si="657"/>
        <v>0.39451092860253223</v>
      </c>
      <c r="AM152" s="262">
        <f t="shared" ca="1" si="657"/>
        <v>0.58415797022256022</v>
      </c>
      <c r="AN152" s="262">
        <f t="shared" ca="1" si="657"/>
        <v>0.3945109286025324</v>
      </c>
      <c r="AO152" s="262">
        <f t="shared" ca="1" si="657"/>
        <v>0.31689292009816472</v>
      </c>
      <c r="AP152" s="262">
        <f t="shared" ca="1" si="657"/>
        <v>0.39374599894099344</v>
      </c>
      <c r="AQ152" s="262">
        <f t="shared" ca="1" si="657"/>
        <v>0.58367998535741117</v>
      </c>
      <c r="AR152" s="262">
        <f t="shared" ca="1" si="657"/>
        <v>0.3937459989409936</v>
      </c>
      <c r="AS152" s="262">
        <f t="shared" ca="1" si="657"/>
        <v>0.2810267656839866</v>
      </c>
      <c r="AT152" s="262">
        <f t="shared" ca="1" si="657"/>
        <v>0.36106717847247904</v>
      </c>
      <c r="AU152" s="262">
        <f t="shared" ca="1" si="657"/>
        <v>0.56754004262004532</v>
      </c>
      <c r="AV152" s="262">
        <f t="shared" ca="1" si="657"/>
        <v>0.36106717847247888</v>
      </c>
    </row>
    <row r="153" spans="1:50" x14ac:dyDescent="0.2">
      <c r="A153" s="65"/>
      <c r="D153" s="57"/>
      <c r="E153" s="57"/>
      <c r="F153" s="57"/>
      <c r="G153" s="262"/>
      <c r="H153" s="262"/>
      <c r="I153" s="262"/>
      <c r="J153" s="262"/>
      <c r="K153" s="262"/>
      <c r="L153" s="262"/>
      <c r="M153" s="262"/>
      <c r="N153" s="262"/>
      <c r="O153" s="262"/>
      <c r="P153" s="262"/>
      <c r="Q153" s="262"/>
      <c r="R153" s="262"/>
      <c r="S153" s="262"/>
      <c r="T153" s="262"/>
      <c r="U153" s="262"/>
      <c r="V153" s="262"/>
      <c r="W153" s="262"/>
      <c r="X153" s="262"/>
      <c r="Y153" s="262"/>
      <c r="Z153" s="262"/>
      <c r="AA153" s="262"/>
      <c r="AB153" s="262"/>
      <c r="AC153" s="262"/>
      <c r="AD153" s="262"/>
      <c r="AE153" s="262"/>
      <c r="AF153" s="262"/>
      <c r="AG153" s="262"/>
      <c r="AH153" s="262"/>
      <c r="AI153" s="262"/>
      <c r="AJ153" s="262"/>
      <c r="AK153" s="262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</row>
    <row r="154" spans="1:50" x14ac:dyDescent="0.2">
      <c r="A154" s="65" t="str">
        <f ca="1">Language!A1300</f>
        <v>Доля постоянных затрат</v>
      </c>
      <c r="B154" s="306">
        <f ca="1">IF(AX7+AX13+AX14+AX15+AX16+AX19+AX20+AX21=0,0,(AX9+AX10+AX13+AX14+AX15+AX16+AX19+AX20+AX21)/(AX7+AX13+AX14+AX15+AX16+AX19+AX20+AX21))</f>
        <v>0.52546544668886708</v>
      </c>
      <c r="C154" s="130" t="s">
        <v>1</v>
      </c>
      <c r="D154" s="57"/>
      <c r="E154" s="57"/>
      <c r="F154" s="57" t="s">
        <v>756</v>
      </c>
      <c r="G154" s="302">
        <f ca="1">B154</f>
        <v>0.52546544668886708</v>
      </c>
      <c r="H154" s="302">
        <f ca="1">G154</f>
        <v>0.52546544668886708</v>
      </c>
      <c r="I154" s="302">
        <f t="shared" ref="I154:AV154" ca="1" si="658">H154</f>
        <v>0.52546544668886708</v>
      </c>
      <c r="J154" s="302">
        <f t="shared" ca="1" si="658"/>
        <v>0.52546544668886708</v>
      </c>
      <c r="K154" s="302">
        <f t="shared" ca="1" si="658"/>
        <v>0.52546544668886708</v>
      </c>
      <c r="L154" s="302">
        <f t="shared" ca="1" si="658"/>
        <v>0.52546544668886708</v>
      </c>
      <c r="M154" s="302">
        <f t="shared" ca="1" si="658"/>
        <v>0.52546544668886708</v>
      </c>
      <c r="N154" s="302">
        <f t="shared" ca="1" si="658"/>
        <v>0.52546544668886708</v>
      </c>
      <c r="O154" s="302">
        <f t="shared" ca="1" si="658"/>
        <v>0.52546544668886708</v>
      </c>
      <c r="P154" s="302">
        <f t="shared" ca="1" si="658"/>
        <v>0.52546544668886708</v>
      </c>
      <c r="Q154" s="302">
        <f t="shared" ca="1" si="658"/>
        <v>0.52546544668886708</v>
      </c>
      <c r="R154" s="302">
        <f t="shared" ca="1" si="658"/>
        <v>0.52546544668886708</v>
      </c>
      <c r="S154" s="302">
        <f t="shared" ca="1" si="658"/>
        <v>0.52546544668886708</v>
      </c>
      <c r="T154" s="302">
        <f t="shared" ca="1" si="658"/>
        <v>0.52546544668886708</v>
      </c>
      <c r="U154" s="302">
        <f t="shared" ca="1" si="658"/>
        <v>0.52546544668886708</v>
      </c>
      <c r="V154" s="302">
        <f t="shared" ca="1" si="658"/>
        <v>0.52546544668886708</v>
      </c>
      <c r="W154" s="302">
        <f t="shared" ca="1" si="658"/>
        <v>0.52546544668886708</v>
      </c>
      <c r="X154" s="302">
        <f t="shared" ca="1" si="658"/>
        <v>0.52546544668886708</v>
      </c>
      <c r="Y154" s="302">
        <f t="shared" ca="1" si="658"/>
        <v>0.52546544668886708</v>
      </c>
      <c r="Z154" s="302">
        <f t="shared" ca="1" si="658"/>
        <v>0.52546544668886708</v>
      </c>
      <c r="AA154" s="302">
        <f t="shared" ca="1" si="658"/>
        <v>0.52546544668886708</v>
      </c>
      <c r="AB154" s="302">
        <f t="shared" ca="1" si="658"/>
        <v>0.52546544668886708</v>
      </c>
      <c r="AC154" s="302">
        <f t="shared" ca="1" si="658"/>
        <v>0.52546544668886708</v>
      </c>
      <c r="AD154" s="302">
        <f t="shared" ca="1" si="658"/>
        <v>0.52546544668886708</v>
      </c>
      <c r="AE154" s="302">
        <f t="shared" ca="1" si="658"/>
        <v>0.52546544668886708</v>
      </c>
      <c r="AF154" s="302">
        <f t="shared" ca="1" si="658"/>
        <v>0.52546544668886708</v>
      </c>
      <c r="AG154" s="302">
        <f t="shared" ca="1" si="658"/>
        <v>0.52546544668886708</v>
      </c>
      <c r="AH154" s="302">
        <f t="shared" ca="1" si="658"/>
        <v>0.52546544668886708</v>
      </c>
      <c r="AI154" s="302">
        <f t="shared" ca="1" si="658"/>
        <v>0.52546544668886708</v>
      </c>
      <c r="AJ154" s="302">
        <f t="shared" ca="1" si="658"/>
        <v>0.52546544668886708</v>
      </c>
      <c r="AK154" s="302">
        <f t="shared" ca="1" si="658"/>
        <v>0.52546544668886708</v>
      </c>
      <c r="AL154" s="302">
        <f t="shared" ca="1" si="658"/>
        <v>0.52546544668886708</v>
      </c>
      <c r="AM154" s="302">
        <f t="shared" ca="1" si="658"/>
        <v>0.52546544668886708</v>
      </c>
      <c r="AN154" s="302">
        <f t="shared" ca="1" si="658"/>
        <v>0.52546544668886708</v>
      </c>
      <c r="AO154" s="302">
        <f t="shared" ca="1" si="658"/>
        <v>0.52546544668886708</v>
      </c>
      <c r="AP154" s="302">
        <f t="shared" ca="1" si="658"/>
        <v>0.52546544668886708</v>
      </c>
      <c r="AQ154" s="302">
        <f t="shared" ca="1" si="658"/>
        <v>0.52546544668886708</v>
      </c>
      <c r="AR154" s="302">
        <f t="shared" ca="1" si="658"/>
        <v>0.52546544668886708</v>
      </c>
      <c r="AS154" s="302">
        <f t="shared" ca="1" si="658"/>
        <v>0.52546544668886708</v>
      </c>
      <c r="AT154" s="302">
        <f t="shared" ca="1" si="658"/>
        <v>0.52546544668886708</v>
      </c>
      <c r="AU154" s="302">
        <f t="shared" ca="1" si="658"/>
        <v>0.52546544668886708</v>
      </c>
      <c r="AV154" s="302">
        <f t="shared" ca="1" si="658"/>
        <v>0.52546544668886708</v>
      </c>
    </row>
    <row r="155" spans="1:50" x14ac:dyDescent="0.2">
      <c r="A155" s="65" t="str">
        <f ca="1">Language!A1301</f>
        <v>Точка безубыточности</v>
      </c>
      <c r="C155" s="130" t="str">
        <f ca="1">Параметры!$C$64</f>
        <v>тыс. руб.</v>
      </c>
      <c r="D155" s="57"/>
      <c r="E155" s="57"/>
      <c r="F155" s="57" t="s">
        <v>756</v>
      </c>
      <c r="G155" s="252">
        <f ca="1">IF(G6-(G7+G13+G14+G15+G16+G19+G20+G21)*(1-G154)=0,"-",-G154*(G7+G13+G14+G15+G16+G19+G20+G21)/(G6-(G7+G13+G14+G15+G16+G19+G20+G21)*(1-G154))*G6)</f>
        <v>96709.116252441876</v>
      </c>
      <c r="H155" s="252">
        <f t="shared" ref="H155:K155" ca="1" si="659">IF(H6-(H7+H13+H14+H15+H16+H19+H20+H21)*(1-H154)=0,"-",-H154*(H7+H13+H14+H15+H16+H19+H20+H21)/(H6-(H7+H13+H14+H15+H16+H19+H20+H21)*(1-H154))*H6)</f>
        <v>77468.291828446512</v>
      </c>
      <c r="I155" s="252">
        <f t="shared" ca="1" si="659"/>
        <v>96626.568459108967</v>
      </c>
      <c r="J155" s="252">
        <f t="shared" ca="1" si="659"/>
        <v>99400.552623202748</v>
      </c>
      <c r="K155" s="252">
        <f t="shared" ca="1" si="659"/>
        <v>127703.02797454734</v>
      </c>
      <c r="L155" s="252">
        <f t="shared" ref="L155:M155" ca="1" si="660">IF(L6-(L7+L13+L14+L15+L16+L19+L20+L21)*(1-L154)=0,"-",-L154*(L7+L13+L14+L15+L16+L19+L20+L21)/(L6-(L7+L13+L14+L15+L16+L19+L20+L21)*(1-L154))*L6)</f>
        <v>108637.99790992278</v>
      </c>
      <c r="M155" s="252">
        <f t="shared" ca="1" si="660"/>
        <v>120818.50831440481</v>
      </c>
      <c r="N155" s="252">
        <f t="shared" ref="N155:O155" ca="1" si="661">IF(N6-(N7+N13+N14+N15+N16+N19+N20+N21)*(1-N154)=0,"-",-N154*(N7+N13+N14+N15+N16+N19+N20+N21)/(N6-(N7+N13+N14+N15+N16+N19+N20+N21)*(1-N154))*N6)</f>
        <v>120153.82276517797</v>
      </c>
      <c r="O155" s="252">
        <f t="shared" ca="1" si="661"/>
        <v>147089.47373163098</v>
      </c>
      <c r="P155" s="252">
        <f t="shared" ref="P155:Q155" ca="1" si="662">IF(P6-(P7+P13+P14+P15+P16+P19+P20+P21)*(1-P154)=0,"-",-P154*(P7+P13+P14+P15+P16+P19+P20+P21)/(P6-(P7+P13+P14+P15+P16+P19+P20+P21)*(1-P154))*P6)</f>
        <v>129355.09009492071</v>
      </c>
      <c r="Q155" s="252">
        <f t="shared" ca="1" si="662"/>
        <v>140448.97717910283</v>
      </c>
      <c r="R155" s="252">
        <f t="shared" ref="R155:S155" ca="1" si="663">IF(R6-(R7+R13+R14+R15+R16+R19+R20+R21)*(1-R154)=0,"-",-R154*(R7+R13+R14+R15+R16+R19+R20+R21)/(R6-(R7+R13+R14+R15+R16+R19+R20+R21)*(1-R154))*R6)</f>
        <v>135496.78010654644</v>
      </c>
      <c r="S155" s="252">
        <f t="shared" ca="1" si="663"/>
        <v>158688.04026840653</v>
      </c>
      <c r="T155" s="252">
        <f t="shared" ref="T155:U155" ca="1" si="664">IF(T6-(T7+T13+T14+T15+T16+T19+T20+T21)*(1-T154)=0,"-",-T154*(T7+T13+T14+T15+T16+T19+T20+T21)/(T6-(T7+T13+T14+T15+T16+T19+T20+T21)*(1-T154))*T6)</f>
        <v>138365.00999443536</v>
      </c>
      <c r="U155" s="252">
        <f t="shared" ca="1" si="664"/>
        <v>149494.42686882129</v>
      </c>
      <c r="V155" s="252">
        <f t="shared" ref="V155:W155" ca="1" si="665">IF(V6-(V7+V13+V14+V15+V16+V19+V20+V21)*(1-V154)=0,"-",-V154*(V7+V13+V14+V15+V16+V19+V20+V21)/(V6-(V7+V13+V14+V15+V16+V19+V20+V21)*(1-V154))*V6)</f>
        <v>143240.25889935371</v>
      </c>
      <c r="W155" s="252">
        <f t="shared" ca="1" si="665"/>
        <v>164263.5527521648</v>
      </c>
      <c r="X155" s="252">
        <f t="shared" ref="X155:Y155" ca="1" si="666">IF(X6-(X7+X13+X14+X15+X16+X19+X20+X21)*(1-X154)=0,"-",-X154*(X7+X13+X14+X15+X16+X19+X20+X21)/(X6-(X7+X13+X14+X15+X16+X19+X20+X21)*(1-X154))*X6)</f>
        <v>143474.99554684976</v>
      </c>
      <c r="Y155" s="252">
        <f t="shared" ca="1" si="666"/>
        <v>152864.55873941976</v>
      </c>
      <c r="Z155" s="252">
        <f t="shared" ref="Z155:AA155" ca="1" si="667">IF(Z6-(Z7+Z13+Z14+Z15+Z16+Z19+Z20+Z21)*(1-Z154)=0,"-",-Z154*(Z7+Z13+Z14+Z15+Z16+Z19+Z20+Z21)/(Z6-(Z7+Z13+Z14+Z15+Z16+Z19+Z20+Z21)*(1-Z154))*Z6)</f>
        <v>145827.17562139872</v>
      </c>
      <c r="AA155" s="252">
        <f t="shared" ca="1" si="667"/>
        <v>166399.70366833862</v>
      </c>
      <c r="AB155" s="252">
        <f t="shared" ref="AB155:AC155" ca="1" si="668">IF(AB6-(AB7+AB13+AB14+AB15+AB16+AB19+AB20+AB21)*(1-AB154)=0,"-",-AB154*(AB7+AB13+AB14+AB15+AB16+AB19+AB20+AB21)/(AB6-(AB7+AB13+AB14+AB15+AB16+AB19+AB20+AB21)*(1-AB154))*AB6)</f>
        <v>145801.94378311932</v>
      </c>
      <c r="AC155" s="252">
        <f t="shared" ca="1" si="668"/>
        <v>156650.81543739181</v>
      </c>
      <c r="AD155" s="252">
        <f t="shared" ref="AD155:AE155" ca="1" si="669">IF(AD6-(AD7+AD13+AD14+AD15+AD16+AD19+AD20+AD21)*(1-AD154)=0,"-",-AD154*(AD7+AD13+AD14+AD15+AD16+AD19+AD20+AD21)/(AD6-(AD7+AD13+AD14+AD15+AD16+AD19+AD20+AD21)*(1-AD154))*AD6)</f>
        <v>148578.70401456661</v>
      </c>
      <c r="AE155" s="252">
        <f t="shared" ca="1" si="669"/>
        <v>168157.37454272373</v>
      </c>
      <c r="AF155" s="252">
        <f t="shared" ref="AF155:AG155" ca="1" si="670">IF(AF6-(AF7+AF13+AF14+AF15+AF16+AF19+AF20+AF21)*(1-AF154)=0,"-",-AF154*(AF7+AF13+AF14+AF15+AF16+AF19+AF20+AF21)/(AF6-(AF7+AF13+AF14+AF15+AF16+AF19+AF20+AF21)*(1-AF154))*AF6)</f>
        <v>148093.45609167297</v>
      </c>
      <c r="AG155" s="252">
        <f t="shared" ca="1" si="670"/>
        <v>158769.8493945954</v>
      </c>
      <c r="AH155" s="252">
        <f t="shared" ref="AH155:AI155" ca="1" si="671">IF(AH6-(AH7+AH13+AH14+AH15+AH16+AH19+AH20+AH21)*(1-AH154)=0,"-",-AH154*(AH7+AH13+AH14+AH15+AH16+AH19+AH20+AH21)/(AH6-(AH7+AH13+AH14+AH15+AH16+AH19+AH20+AH21)*(1-AH154))*AH6)</f>
        <v>149620.48006194225</v>
      </c>
      <c r="AI155" s="252">
        <f t="shared" ca="1" si="671"/>
        <v>168322.14783921628</v>
      </c>
      <c r="AJ155" s="252">
        <f t="shared" ref="AJ155:AK155" ca="1" si="672">IF(AJ6-(AJ7+AJ13+AJ14+AJ15+AJ16+AJ19+AJ20+AJ21)*(1-AJ154)=0,"-",-AJ154*(AJ7+AJ13+AJ14+AJ15+AJ16+AJ19+AJ20+AJ21)/(AJ6-(AJ7+AJ13+AJ14+AJ15+AJ16+AJ19+AJ20+AJ21)*(1-AJ154))*AJ6)</f>
        <v>148669.55308449722</v>
      </c>
      <c r="AK155" s="252">
        <f t="shared" ca="1" si="672"/>
        <v>159957.23655958669</v>
      </c>
      <c r="AL155" s="252">
        <f t="shared" ref="AL155:AM155" ca="1" si="673">IF(AL6-(AL7+AL13+AL14+AL15+AL16+AL19+AL20+AL21)*(1-AL154)=0,"-",-AL154*(AL7+AL13+AL14+AL15+AL16+AL19+AL20+AL21)/(AL6-(AL7+AL13+AL14+AL15+AL16+AL19+AL20+AL21)*(1-AL154))*AL6)</f>
        <v>149662.32497929718</v>
      </c>
      <c r="AM155" s="252">
        <f t="shared" ca="1" si="673"/>
        <v>170323.79106320915</v>
      </c>
      <c r="AN155" s="252">
        <f t="shared" ref="AN155:AO155" ca="1" si="674">IF(AN6-(AN7+AN13+AN14+AN15+AN16+AN19+AN20+AN21)*(1-AN154)=0,"-",-AN154*(AN7+AN13+AN14+AN15+AN16+AN19+AN20+AN21)/(AN6-(AN7+AN13+AN14+AN15+AN16+AN19+AN20+AN21)*(1-AN154))*AN6)</f>
        <v>153011.26378160325</v>
      </c>
      <c r="AO155" s="252">
        <f t="shared" ca="1" si="674"/>
        <v>166449.57999950214</v>
      </c>
      <c r="AP155" s="252">
        <f t="shared" ref="AP155:AQ155" ca="1" si="675">IF(AP6-(AP7+AP13+AP14+AP15+AP16+AP19+AP20+AP21)*(1-AP154)=0,"-",-AP154*(AP7+AP13+AP14+AP15+AP16+AP19+AP20+AP21)/(AP6-(AP7+AP13+AP14+AP15+AP16+AP19+AP20+AP21)*(1-AP154))*AP6)</f>
        <v>156979.16329642962</v>
      </c>
      <c r="AQ155" s="252">
        <f t="shared" ca="1" si="675"/>
        <v>154679.89016529787</v>
      </c>
      <c r="AR155" s="252">
        <f t="shared" ref="AR155:AS155" ca="1" si="676">IF(AR6-(AR7+AR13+AR14+AR15+AR16+AR19+AR20+AR21)*(1-AR154)=0,"-",-AR154*(AR7+AR13+AR14+AR15+AR16+AR19+AR20+AR21)/(AR6-(AR7+AR13+AR14+AR15+AR16+AR19+AR20+AR21)*(1-AR154))*AR6)</f>
        <v>140163.86057545923</v>
      </c>
      <c r="AS155" s="252">
        <f t="shared" ca="1" si="676"/>
        <v>155074.54286912741</v>
      </c>
      <c r="AT155" s="252">
        <f t="shared" ref="AT155:AU155" ca="1" si="677">IF(AT6-(AT7+AT13+AT14+AT15+AT16+AT19+AT20+AT21)*(1-AT154)=0,"-",-AT154*(AT7+AT13+AT14+AT15+AT16+AT19+AT20+AT21)/(AT6-(AT7+AT13+AT14+AT15+AT16+AT19+AT20+AT21)*(1-AT154))*AT6)</f>
        <v>144174.97786259759</v>
      </c>
      <c r="AU155" s="252">
        <f t="shared" ca="1" si="677"/>
        <v>162341.86788301484</v>
      </c>
      <c r="AV155" s="252">
        <f t="shared" ref="AV155" ca="1" si="678">IF(AV6-(AV7+AV13+AV14+AV15+AV16+AV19+AV20+AV21)*(1-AV154)=0,"-",-AV154*(AV7+AV13+AV14+AV15+AV16+AV19+AV20+AV21)/(AV6-(AV7+AV13+AV14+AV15+AV16+AV19+AV20+AV21)*(1-AV154))*AV6)</f>
        <v>146455.12214421222</v>
      </c>
    </row>
    <row r="156" spans="1:50" x14ac:dyDescent="0.2">
      <c r="A156" s="65" t="str">
        <f ca="1">Language!A1302</f>
        <v>"Запас прочности"</v>
      </c>
      <c r="C156" s="130" t="s">
        <v>1</v>
      </c>
      <c r="D156" s="57"/>
      <c r="E156" s="57"/>
      <c r="F156" s="57" t="s">
        <v>756</v>
      </c>
      <c r="G156" s="262">
        <f ca="1">IF(ISERR((G6-G155)/G6),"-",(G6-G155)/G6)</f>
        <v>0.61413387896222993</v>
      </c>
      <c r="H156" s="262">
        <f t="shared" ref="H156:K156" ca="1" si="679">IF(ISERR((H6-H155)/H6),"-",(H6-H155)/H6)</f>
        <v>0.46067050672002485</v>
      </c>
      <c r="I156" s="262">
        <f t="shared" ca="1" si="679"/>
        <v>0.49015967340698008</v>
      </c>
      <c r="J156" s="262">
        <f t="shared" ca="1" si="679"/>
        <v>0.53281563071758653</v>
      </c>
      <c r="K156" s="262">
        <f t="shared" ca="1" si="679"/>
        <v>0.67833875006988764</v>
      </c>
      <c r="L156" s="262">
        <f t="shared" ref="L156:M156" ca="1" si="680">IF(ISERR((L6-L155)/L6),"-",(L6-L155)/L6)</f>
        <v>0.56396398292465211</v>
      </c>
      <c r="M156" s="262">
        <f t="shared" ca="1" si="680"/>
        <v>0.55461740054807884</v>
      </c>
      <c r="N156" s="262">
        <f t="shared" ref="N156:O156" ca="1" si="681">IF(ISERR((N6-N155)/N6),"-",(N6-N155)/N6)</f>
        <v>0.5867330614546985</v>
      </c>
      <c r="O156" s="262">
        <f t="shared" ca="1" si="681"/>
        <v>0.70527166983254475</v>
      </c>
      <c r="P156" s="262">
        <f t="shared" ref="P156:Q156" ca="1" si="682">IF(ISERR((P6-P155)/P6),"-",(P6-P155)/P6)</f>
        <v>0.60947788954998161</v>
      </c>
      <c r="Q156" s="262">
        <f t="shared" ca="1" si="682"/>
        <v>0.59996670584339706</v>
      </c>
      <c r="R156" s="262">
        <f t="shared" ref="R156:S156" ca="1" si="683">IF(ISERR((R6-R155)/R6),"-",(R6-R155)/R6)</f>
        <v>0.61965293762974349</v>
      </c>
      <c r="S156" s="262">
        <f t="shared" ca="1" si="683"/>
        <v>0.71719116246588277</v>
      </c>
      <c r="T156" s="262">
        <f t="shared" ref="T156:U156" ca="1" si="684">IF(ISERR((T6-T155)/T6),"-",(T6-T155)/T6)</f>
        <v>0.62275417896861851</v>
      </c>
      <c r="U156" s="262">
        <f t="shared" ca="1" si="684"/>
        <v>0.61614934489370332</v>
      </c>
      <c r="V156" s="262">
        <f t="shared" ref="V156:W156" ca="1" si="685">IF(ISERR((V6-V155)/V6),"-",(V6-V155)/V6)</f>
        <v>0.6375267893793396</v>
      </c>
      <c r="W156" s="262">
        <f t="shared" ca="1" si="685"/>
        <v>0.73185555331683261</v>
      </c>
      <c r="X156" s="262">
        <f t="shared" ref="X156:Y156" ca="1" si="686">IF(ISERR((X6-X155)/X6),"-",(X6-X155)/X6)</f>
        <v>0.64735794423759474</v>
      </c>
      <c r="Y156" s="262">
        <f t="shared" ca="1" si="686"/>
        <v>0.63047445256117818</v>
      </c>
      <c r="Z156" s="262">
        <f t="shared" ref="Z156:AA156" ca="1" si="687">IF(ISERR((Z6-Z155)/Z6),"-",(Z6-Z155)/Z6)</f>
        <v>0.65258412439126245</v>
      </c>
      <c r="AA156" s="262">
        <f t="shared" ca="1" si="687"/>
        <v>0.74408893626116634</v>
      </c>
      <c r="AB156" s="262">
        <f t="shared" ref="AB156:AC156" ca="1" si="688">IF(ISERR((AB6-AB155)/AB6),"-",(AB6-AB155)/AB6)</f>
        <v>0.66261825745204384</v>
      </c>
      <c r="AC156" s="262">
        <f t="shared" ca="1" si="688"/>
        <v>0.64948784345012256</v>
      </c>
      <c r="AD156" s="262">
        <f t="shared" ref="AD156:AE156" ca="1" si="689">IF(ISERR((AD6-AD155)/AD6),"-",(AD6-AD155)/AD6)</f>
        <v>0.67235727861129513</v>
      </c>
      <c r="AE156" s="262">
        <f t="shared" ca="1" si="689"/>
        <v>0.75905522305556172</v>
      </c>
      <c r="AF156" s="262">
        <f t="shared" ref="AF156:AG156" ca="1" si="690">IF(ISERR((AF6-AF155)/AF6),"-",(AF6-AF155)/AF6)</f>
        <v>0.68280458979706349</v>
      </c>
      <c r="AG156" s="262">
        <f t="shared" ca="1" si="690"/>
        <v>0.66643461687859007</v>
      </c>
      <c r="AH156" s="262">
        <f t="shared" ref="AH156:AI156" ca="1" si="691">IF(ISERR((AH6-AH155)/AH6),"-",(AH6-AH155)/AH6)</f>
        <v>0.69020277829492316</v>
      </c>
      <c r="AI156" s="262">
        <f t="shared" ca="1" si="691"/>
        <v>0.77317899312854821</v>
      </c>
      <c r="AJ156" s="262">
        <f t="shared" ref="AJ156:AK156" ca="1" si="692">IF(ISERR((AJ6-AJ155)/AJ6),"-",(AJ6-AJ155)/AJ6)</f>
        <v>0.70101074705924782</v>
      </c>
      <c r="AK156" s="262">
        <f t="shared" ca="1" si="692"/>
        <v>0.68243099850968114</v>
      </c>
      <c r="AL156" s="262">
        <f t="shared" ref="AL156:AM156" ca="1" si="693">IF(ISERR((AL6-AL155)/AL6),"-",(AL6-AL155)/AL6)</f>
        <v>0.707166854707312</v>
      </c>
      <c r="AM156" s="262">
        <f t="shared" ca="1" si="693"/>
        <v>0.78323383446090178</v>
      </c>
      <c r="AN156" s="262">
        <f t="shared" ref="AN156:AO156" ca="1" si="694">IF(ISERR((AN6-AN155)/AN6),"-",(AN6-AN155)/AN6)</f>
        <v>0.70921083917630234</v>
      </c>
      <c r="AO156" s="262">
        <f t="shared" ca="1" si="694"/>
        <v>0.68817989686148362</v>
      </c>
      <c r="AP156" s="262">
        <f t="shared" ref="AP156:AQ156" ca="1" si="695">IF(ISERR((AP6-AP155)/AP6),"-",(AP6-AP155)/AP6)</f>
        <v>0.71017426170677644</v>
      </c>
      <c r="AQ156" s="262">
        <f t="shared" ca="1" si="695"/>
        <v>0.81425993761264948</v>
      </c>
      <c r="AR156" s="262">
        <f t="shared" ref="AR156:AS156" ca="1" si="696">IF(ISERR((AR6-AR155)/AR6),"-",(AR6-AR155)/AR6)</f>
        <v>0.74865048060235628</v>
      </c>
      <c r="AS156" s="262">
        <f t="shared" ca="1" si="696"/>
        <v>0.71456705353717853</v>
      </c>
      <c r="AT156" s="262">
        <f t="shared" ref="AT156:AU156" ca="1" si="697">IF(ISERR((AT6-AT155)/AT6),"-",(AT6-AT155)/AT6)</f>
        <v>0.73846668530051163</v>
      </c>
      <c r="AU156" s="262">
        <f t="shared" ca="1" si="697"/>
        <v>0.81113033459634776</v>
      </c>
      <c r="AV156" s="262">
        <f t="shared" ref="AV156" ca="1" si="698">IF(ISERR((AV6-AV155)/AV6),"-",(AV6-AV155)/AV6)</f>
        <v>0.74195897552302048</v>
      </c>
    </row>
    <row r="157" spans="1:50" x14ac:dyDescent="0.2">
      <c r="A157" s="65"/>
      <c r="D157" s="57"/>
      <c r="E157" s="57"/>
      <c r="F157" s="57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</row>
    <row r="158" spans="1:50" x14ac:dyDescent="0.2">
      <c r="A158" s="65" t="str">
        <f ca="1">Language!A1303</f>
        <v>Рентабельность собственного капитала, ROE</v>
      </c>
      <c r="C158" s="130" t="str">
        <f ca="1">Language!$A$471</f>
        <v>% в год</v>
      </c>
      <c r="D158" s="57"/>
      <c r="E158" s="57"/>
      <c r="F158" s="57" t="s">
        <v>756</v>
      </c>
      <c r="G158" s="262">
        <f ca="1">IFERROR(G30/(G114+IF(G2=1,Старт!$B44/Параметры!G$64,F114)/2 )* 12/Параметры!G31, "-")</f>
        <v>0.13027538295160462</v>
      </c>
      <c r="H158" s="262">
        <f ca="1">IFERROR(H30/(H114+IF(H2=1,Старт!$B44/Параметры!H$64,G114)/2 )* 12/Параметры!H31, "-")</f>
        <v>-0.19990781090146439</v>
      </c>
      <c r="I158" s="262">
        <f ca="1">IFERROR(I30/(I114+IF(I2=1,Старт!$B44/Параметры!I$64,H114)/2 )* 12/Параметры!I31, "-")</f>
        <v>-0.22390802481401906</v>
      </c>
      <c r="J158" s="262">
        <f ca="1">IFERROR(J30/(J114+IF(J2=1,Старт!$B44/Параметры!J$64,I114)/2 )* 12/Параметры!J31, "-")</f>
        <v>-9.6220830337500354E-2</v>
      </c>
      <c r="K158" s="262">
        <f ca="1">IFERROR(K30/(K114+IF(K2=1,Старт!$B44/Параметры!K$64,J114)/2 )* 12/Параметры!K31, "-")</f>
        <v>0.44047845928438062</v>
      </c>
      <c r="L158" s="262">
        <f ca="1">IFERROR(L30/(L114+IF(L2=1,Старт!$B44/Параметры!L$64,K114)/2 )* 12/Параметры!L31, "-")</f>
        <v>-1.5457288378310561E-2</v>
      </c>
      <c r="M158" s="262">
        <f ca="1">IFERROR(M30/(M114+IF(M2=1,Старт!$B44/Параметры!M$64,L114)/2 )* 12/Параметры!M31, "-")</f>
        <v>-8.0966633425842691E-2</v>
      </c>
      <c r="N158" s="262">
        <f ca="1">IFERROR(N30/(N114+IF(N2=1,Старт!$B44/Параметры!N$64,M114)/2 )* 12/Параметры!N31, "-")</f>
        <v>3.8287884920979953E-2</v>
      </c>
      <c r="O158" s="262">
        <f ca="1">IFERROR(O30/(O114+IF(O2=1,Старт!$B44/Параметры!O$64,N114)/2 )* 12/Параметры!O31, "-")</f>
        <v>0.53485267700049222</v>
      </c>
      <c r="P158" s="262">
        <f ca="1">IFERROR(P30/(P114+IF(P2=1,Старт!$B44/Параметры!P$64,O114)/2 )* 12/Параметры!P31, "-")</f>
        <v>9.0254997397584982E-2</v>
      </c>
      <c r="Q158" s="262">
        <f ca="1">IFERROR(Q30/(Q114+IF(Q2=1,Старт!$B44/Параметры!Q$64,P114)/2 )* 12/Параметры!Q31, "-")</f>
        <v>4.5301254237163024E-2</v>
      </c>
      <c r="R158" s="262">
        <f ca="1">IFERROR(R30/(R114+IF(R2=1,Старт!$B44/Параметры!R$64,Q114)/2 )* 12/Параметры!R31, "-")</f>
        <v>0.11363063655561445</v>
      </c>
      <c r="S158" s="262">
        <f ca="1">IFERROR(S30/(S114+IF(S2=1,Старт!$B44/Параметры!S$64,R114)/2 )* 12/Параметры!S31, "-")</f>
        <v>0.47658793152061696</v>
      </c>
      <c r="T158" s="262">
        <f ca="1">IFERROR(T30/(T114+IF(T2=1,Старт!$B44/Параметры!T$64,S114)/2 )* 12/Параметры!T31, "-")</f>
        <v>9.7963414200829282E-2</v>
      </c>
      <c r="U158" s="262">
        <f ca="1">IFERROR(U30/(U114+IF(U2=1,Старт!$B44/Параметры!U$64,T114)/2 )* 12/Параметры!U31, "-")</f>
        <v>6.838992626851087E-2</v>
      </c>
      <c r="V158" s="262">
        <f ca="1">IFERROR(V30/(V114+IF(V2=1,Старт!$B44/Параметры!V$64,U114)/2 )* 12/Параметры!V31, "-")</f>
        <v>0.12169592678724822</v>
      </c>
      <c r="W158" s="262">
        <f ca="1">IFERROR(W30/(W114+IF(W2=1,Старт!$B44/Параметры!W$64,V114)/2 )* 12/Параметры!W31, "-")</f>
        <v>0.41257016538400409</v>
      </c>
      <c r="X158" s="262">
        <f ca="1">IFERROR(X30/(X114+IF(X2=1,Старт!$B44/Параметры!X$64,W114)/2 )* 12/Параметры!X31, "-")</f>
        <v>0.10688669912741548</v>
      </c>
      <c r="Y158" s="262">
        <f ca="1">IFERROR(Y30/(Y114+IF(Y2=1,Старт!$B44/Параметры!Y$64,X114)/2 )* 12/Параметры!Y31, "-")</f>
        <v>6.1708750253714535E-2</v>
      </c>
      <c r="Z158" s="262">
        <f ca="1">IFERROR(Z30/(Z114+IF(Z2=1,Старт!$B44/Параметры!Z$64,Y114)/2 )* 12/Параметры!Z31, "-")</f>
        <v>0.10514613647879094</v>
      </c>
      <c r="AA158" s="262">
        <f ca="1">IFERROR(AA30/(AA114+IF(AA2=1,Старт!$B44/Параметры!AA$64,Z114)/2 )* 12/Параметры!AA31, "-")</f>
        <v>0.34795649190019473</v>
      </c>
      <c r="AB158" s="262">
        <f ca="1">IFERROR(AB30/(AB114+IF(AB2=1,Старт!$B44/Параметры!AB$64,AA114)/2 )* 12/Параметры!AB31, "-")</f>
        <v>9.483808622162411E-2</v>
      </c>
      <c r="AC158" s="262">
        <f ca="1">IFERROR(AC30/(AC114+IF(AC2=1,Старт!$B44/Параметры!AC$64,AB114)/2 )* 12/Параметры!AC31, "-")</f>
        <v>6.5508277818862662E-2</v>
      </c>
      <c r="AD158" s="262">
        <f ca="1">IFERROR(AD30/(AD114+IF(AD2=1,Старт!$B44/Параметры!AD$64,AC114)/2 )* 12/Параметры!AD31, "-")</f>
        <v>0.10168710293018259</v>
      </c>
      <c r="AE158" s="262">
        <f ca="1">IFERROR(AE30/(AE114+IF(AE2=1,Старт!$B44/Параметры!AE$64,AD114)/2 )* 12/Параметры!AE31, "-")</f>
        <v>0.30787628008947987</v>
      </c>
      <c r="AF158" s="262">
        <f ca="1">IFERROR(AF30/(AF114+IF(AF2=1,Старт!$B44/Параметры!AF$64,AE114)/2 )* 12/Параметры!AF31, "-")</f>
        <v>9.2698538869182112E-2</v>
      </c>
      <c r="AG158" s="262">
        <f ca="1">IFERROR(AG30/(AG114+IF(AG2=1,Старт!$B44/Параметры!AG$64,AF114)/2 )* 12/Параметры!AG31, "-")</f>
        <v>6.3063227861619262E-2</v>
      </c>
      <c r="AH158" s="262">
        <f ca="1">IFERROR(AH30/(AH114+IF(AH2=1,Старт!$B44/Параметры!AH$64,AG114)/2 )* 12/Параметры!AH31, "-")</f>
        <v>9.400817877708377E-2</v>
      </c>
      <c r="AI158" s="262">
        <f ca="1">IFERROR(AI30/(AI114+IF(AI2=1,Старт!$B44/Параметры!AI$64,AH114)/2 )* 12/Параметры!AI31, "-")</f>
        <v>0.27289123724905634</v>
      </c>
      <c r="AJ158" s="262">
        <f ca="1">IFERROR(AJ30/(AJ114+IF(AJ2=1,Старт!$B44/Параметры!AJ$64,AI114)/2 )* 12/Параметры!AJ31, "-")</f>
        <v>8.6789617925677576E-2</v>
      </c>
      <c r="AK158" s="262">
        <f ca="1">IFERROR(AK30/(AK114+IF(AK2=1,Старт!$B44/Параметры!AK$64,AJ114)/2 )* 12/Параметры!AK31, "-")</f>
        <v>5.8771992897412355E-2</v>
      </c>
      <c r="AL158" s="262">
        <f ca="1">IFERROR(AL30/(AL114+IF(AL2=1,Старт!$B44/Параметры!AL$64,AK114)/2 )* 12/Параметры!AL31, "-")</f>
        <v>8.5871553932437575E-2</v>
      </c>
      <c r="AM158" s="262">
        <f ca="1">IFERROR(AM30/(AM114+IF(AM2=1,Старт!$B44/Параметры!AM$64,AL114)/2 )* 12/Параметры!AM31, "-")</f>
        <v>0.24379572915909883</v>
      </c>
      <c r="AN158" s="262">
        <f ca="1">IFERROR(AN30/(AN114+IF(AN2=1,Старт!$B44/Параметры!AN$64,AM114)/2 )* 12/Параметры!AN31, "-")</f>
        <v>7.9553312247023736E-2</v>
      </c>
      <c r="AO158" s="262">
        <f ca="1">IFERROR(AO30/(AO114+IF(AO2=1,Старт!$B44/Параметры!AO$64,AN114)/2 )* 12/Параметры!AO31, "-")</f>
        <v>5.4948828385304328E-2</v>
      </c>
      <c r="AP158" s="262">
        <f ca="1">IFERROR(AP30/(AP114+IF(AP2=1,Старт!$B44/Параметры!AP$64,AO114)/2 )* 12/Параметры!AP31, "-")</f>
        <v>7.8906057485069042E-2</v>
      </c>
      <c r="AQ158" s="262">
        <f ca="1">IFERROR(AQ30/(AQ114+IF(AQ2=1,Старт!$B44/Параметры!AQ$64,AP114)/2 )* 12/Параметры!AQ31, "-")</f>
        <v>0.25580290426824237</v>
      </c>
      <c r="AR158" s="262">
        <f ca="1">IFERROR(AR30/(AR114+IF(AR2=1,Старт!$B44/Параметры!AR$64,AQ114)/2 )* 12/Параметры!AR31, "-")</f>
        <v>0.10704404236154502</v>
      </c>
      <c r="AS158" s="262">
        <f ca="1">IFERROR(AS30/(AS114+IF(AS2=1,Старт!$B44/Параметры!AS$64,AR114)/2 )* 12/Параметры!AS31, "-")</f>
        <v>7.1105777690695815E-2</v>
      </c>
      <c r="AT158" s="262">
        <f ca="1">IFERROR(AT30/(AT114+IF(AT2=1,Старт!$B44/Параметры!AT$64,AS114)/2 )* 12/Параметры!AT31, "-")</f>
        <v>9.0800019394840878E-2</v>
      </c>
      <c r="AU158" s="262">
        <f ca="1">IFERROR(AU30/(AU114+IF(AU2=1,Старт!$B44/Параметры!AU$64,AT114)/2 )* 12/Параметры!AU31, "-")</f>
        <v>0.21543212988020585</v>
      </c>
      <c r="AV158" s="262">
        <f ca="1">IFERROR(AV30/(AV114+IF(AV2=1,Старт!$B44/Параметры!AV$64,AU114)/2 )* 12/Параметры!AV31, "-")</f>
        <v>8.6045136045899848E-2</v>
      </c>
    </row>
    <row r="159" spans="1:50" x14ac:dyDescent="0.2">
      <c r="A159" s="65" t="str">
        <f ca="1">Language!A1304</f>
        <v>Рентабельность инвестированного капитала, ROIC</v>
      </c>
      <c r="C159" s="130" t="str">
        <f ca="1">Language!$A$471</f>
        <v>% в год</v>
      </c>
      <c r="D159" s="57"/>
      <c r="E159" s="57"/>
      <c r="F159" s="57" t="s">
        <v>756</v>
      </c>
      <c r="G159" s="262">
        <f ca="1">IFERROR((G30-G21)/((G109+G114+IF(G2=1,(Старт!$B39+Старт!$B44)/Параметры!G$64,F109+F114))/2) * 12/Параметры!G31, "-")</f>
        <v>0.15157783151044038</v>
      </c>
      <c r="H159" s="262">
        <f ca="1">IFERROR((H30-H21)/((H109+H114+IF(H2=1,(Старт!$B39+Старт!$B44)/Параметры!H$64,G109+G114))/2) * 12/Параметры!H31, "-")</f>
        <v>2.1715491569723671E-2</v>
      </c>
      <c r="I159" s="262">
        <f ca="1">IFERROR((I30-I21)/((I109+I114+IF(I2=1,(Старт!$B39+Старт!$B44)/Параметры!I$64,H109+H114))/2) * 12/Параметры!I31, "-")</f>
        <v>2.5606272912286222E-2</v>
      </c>
      <c r="J159" s="262">
        <f ca="1">IFERROR((J30-J21)/((J109+J114+IF(J2=1,(Старт!$B39+Старт!$B44)/Параметры!J$64,I109+I114))/2) * 12/Параметры!J31, "-")</f>
        <v>7.745109331262702E-2</v>
      </c>
      <c r="K159" s="262">
        <f ca="1">IFERROR((K30-K21)/((K109+K114+IF(K2=1,(Старт!$B39+Старт!$B44)/Параметры!K$64,J109+J114))/2) * 12/Параметры!K31, "-")</f>
        <v>0.26988540900372854</v>
      </c>
      <c r="L159" s="262">
        <f ca="1">IFERROR((L30-L21)/((L109+L114+IF(L2=1,(Старт!$B39+Старт!$B44)/Параметры!L$64,K109+K114))/2) * 12/Параметры!L31, "-")</f>
        <v>9.91513154983618E-2</v>
      </c>
      <c r="M159" s="262">
        <f ca="1">IFERROR((M30-M21)/((M109+M114+IF(M2=1,(Старт!$B39+Старт!$B44)/Параметры!M$64,L109+L114))/2) * 12/Параметры!M31, "-")</f>
        <v>7.5204881992449929E-2</v>
      </c>
      <c r="N159" s="262">
        <f ca="1">IFERROR((N30-N21)/((N109+N114+IF(N2=1,(Старт!$B39+Старт!$B44)/Параметры!N$64,M109+M114))/2) * 12/Параметры!N31, "-")</f>
        <v>0.12008080061516054</v>
      </c>
      <c r="O159" s="262">
        <f ca="1">IFERROR((O30-O21)/((O109+O114+IF(O2=1,(Старт!$B39+Старт!$B44)/Параметры!O$64,N109+N114))/2) * 12/Параметры!O31, "-")</f>
        <v>0.32817147873378338</v>
      </c>
      <c r="P159" s="262">
        <f ca="1">IFERROR((P30-P21)/((P109+P114+IF(P2=1,(Старт!$B39+Старт!$B44)/Параметры!P$64,O109+O114))/2) * 12/Параметры!P31, "-")</f>
        <v>0.1394578494029165</v>
      </c>
      <c r="Q159" s="262">
        <f ca="1">IFERROR((Q30-Q21)/((Q109+Q114+IF(Q2=1,(Старт!$B39+Старт!$B44)/Параметры!Q$64,P109+P114))/2) * 12/Параметры!Q31, "-")</f>
        <v>0.1189860344858984</v>
      </c>
      <c r="R159" s="262">
        <f ca="1">IFERROR((R30-R21)/((R109+R114+IF(R2=1,(Старт!$B39+Старт!$B44)/Параметры!R$64,Q109+Q114))/2) * 12/Параметры!R31, "-")</f>
        <v>0.15030754314260375</v>
      </c>
      <c r="S159" s="262">
        <f ca="1">IFERROR((S30-S21)/((S109+S114+IF(S2=1,(Старт!$B39+Старт!$B44)/Параметры!S$64,R109+R114))/2) * 12/Параметры!S31, "-")</f>
        <v>0.33911383526335942</v>
      </c>
      <c r="T159" s="262">
        <f ca="1">IFERROR((T30-T21)/((T109+T114+IF(T2=1,(Старт!$B39+Старт!$B44)/Параметры!T$64,S109+S114))/2) * 12/Параметры!T31, "-")</f>
        <v>0.14334379976638983</v>
      </c>
      <c r="U159" s="262">
        <f ca="1">IFERROR((U30-U21)/((U109+U114+IF(U2=1,(Старт!$B39+Старт!$B44)/Параметры!U$64,T109+T114))/2) * 12/Параметры!U31, "-")</f>
        <v>0.12598861549879103</v>
      </c>
      <c r="V159" s="262">
        <f ca="1">IFERROR((V30-V21)/((V109+V114+IF(V2=1,(Старт!$B39+Старт!$B44)/Параметры!V$64,U109+U114))/2) * 12/Параметры!V31, "-")</f>
        <v>0.15557753163206678</v>
      </c>
      <c r="W159" s="262">
        <f ca="1">IFERROR((W30-W21)/((W109+W114+IF(W2=1,(Старт!$B39+Старт!$B44)/Параметры!W$64,V109+V114))/2) * 12/Параметры!W31, "-")</f>
        <v>0.34401933857854944</v>
      </c>
      <c r="X159" s="262">
        <f ca="1">IFERROR((X30-X21)/((X109+X114+IF(X2=1,(Старт!$B39+Старт!$B44)/Параметры!X$64,W109+W114))/2) * 12/Параметры!X31, "-")</f>
        <v>0.14688888670106681</v>
      </c>
      <c r="Y159" s="262">
        <f ca="1">IFERROR((Y30-Y21)/((Y109+Y114+IF(Y2=1,(Старт!$B39+Старт!$B44)/Параметры!Y$64,X109+X114))/2) * 12/Параметры!Y31, "-")</f>
        <v>0.115744148241893</v>
      </c>
      <c r="Z159" s="262">
        <f ca="1">IFERROR((Z30-Z21)/((Z109+Z114+IF(Z2=1,(Старт!$B39+Старт!$B44)/Параметры!Z$64,Y109+Y114))/2) * 12/Параметры!Z31, "-")</f>
        <v>0.14680621531352889</v>
      </c>
      <c r="AA159" s="262">
        <f ca="1">IFERROR((AA30-AA21)/((AA109+AA114+IF(AA2=1,(Старт!$B39+Старт!$B44)/Параметры!AA$64,Z109+Z114))/2) * 12/Параметры!AA31, "-")</f>
        <v>0.34580497807253147</v>
      </c>
      <c r="AB159" s="262">
        <f ca="1">IFERROR((AB30-AB21)/((AB109+AB114+IF(AB2=1,(Старт!$B39+Старт!$B44)/Параметры!AB$64,AA109+AA114))/2) * 12/Параметры!AB31, "-")</f>
        <v>0.13742802793519601</v>
      </c>
      <c r="AC159" s="262">
        <f ca="1">IFERROR((AC30-AC21)/((AC109+AC114+IF(AC2=1,(Старт!$B39+Старт!$B44)/Параметры!AC$64,AB109+AB114))/2) * 12/Параметры!AC31, "-")</f>
        <v>0.11189050909921844</v>
      </c>
      <c r="AD159" s="262">
        <f ca="1">IFERROR((AD30-AD21)/((AD109+AD114+IF(AD2=1,(Старт!$B39+Старт!$B44)/Параметры!AD$64,AC109+AC114))/2) * 12/Параметры!AD31, "-")</f>
        <v>0.144340372114657</v>
      </c>
      <c r="AE159" s="262">
        <f ca="1">IFERROR((AE30-AE21)/((AE109+AE114+IF(AE2=1,(Старт!$B39+Старт!$B44)/Параметры!AE$64,AD109+AD114))/2) * 12/Параметры!AE31, "-")</f>
        <v>0.35424375454748452</v>
      </c>
      <c r="AF159" s="262">
        <f ca="1">IFERROR((AF30-AF21)/((AF109+AF114+IF(AF2=1,(Старт!$B39+Старт!$B44)/Параметры!AF$64,AE109+AE114))/2) * 12/Параметры!AF31, "-")</f>
        <v>0.13378751777825185</v>
      </c>
      <c r="AG159" s="262">
        <f ca="1">IFERROR((AG30-AG21)/((AG109+AG114+IF(AG2=1,(Старт!$B39+Старт!$B44)/Параметры!AG$64,AF109+AF114))/2) * 12/Параметры!AG31, "-")</f>
        <v>0.10153940711218756</v>
      </c>
      <c r="AH159" s="262">
        <f ca="1">IFERROR((AH30-AH21)/((AH109+AH114+IF(AH2=1,(Старт!$B39+Старт!$B44)/Параметры!AH$64,AG109+AG114))/2) * 12/Параметры!AH31, "-")</f>
        <v>0.13558855918552315</v>
      </c>
      <c r="AI159" s="262">
        <f ca="1">IFERROR((AI30-AI21)/((AI109+AI114+IF(AI2=1,(Старт!$B39+Старт!$B44)/Параметры!AI$64,AH109+AH114))/2) * 12/Параметры!AI31, "-")</f>
        <v>0.3574789695677969</v>
      </c>
      <c r="AJ159" s="262">
        <f ca="1">IFERROR((AJ30-AJ21)/((AJ109+AJ114+IF(AJ2=1,(Старт!$B39+Старт!$B44)/Параметры!AJ$64,AI109+AI114))/2) * 12/Параметры!AJ31, "-")</f>
        <v>0.12407636804899913</v>
      </c>
      <c r="AK159" s="262">
        <f ca="1">IFERROR((AK30-AK21)/((AK109+AK114+IF(AK2=1,(Старт!$B39+Старт!$B44)/Параметры!AK$64,AJ109+AJ114))/2) * 12/Параметры!AK31, "-")</f>
        <v>8.6603723857653594E-2</v>
      </c>
      <c r="AL159" s="262">
        <f ca="1">IFERROR((AL30-AL21)/((AL109+AL114+IF(AL2=1,(Старт!$B39+Старт!$B44)/Параметры!AL$64,AK109+AK114))/2) * 12/Параметры!AL31, "-")</f>
        <v>0.12242124218035551</v>
      </c>
      <c r="AM159" s="262">
        <f ca="1">IFERROR((AM30-AM21)/((AM109+AM114+IF(AM2=1,(Старт!$B39+Старт!$B44)/Параметры!AM$64,AL109+AL114))/2) * 12/Параметры!AM31, "-")</f>
        <v>0.35576071450490504</v>
      </c>
      <c r="AN159" s="262">
        <f ca="1">IFERROR((AN30-AN21)/((AN109+AN114+IF(AN2=1,(Старт!$B39+Старт!$B44)/Параметры!AN$64,AM109+AM114))/2) * 12/Параметры!AN31, "-")</f>
        <v>0.11567372230178079</v>
      </c>
      <c r="AO159" s="262">
        <f ca="1">IFERROR((AO30-AO21)/((AO109+AO114+IF(AO2=1,(Старт!$B39+Старт!$B44)/Параметры!AO$64,AN109+AN114))/2) * 12/Параметры!AO31, "-")</f>
        <v>7.984517711533784E-2</v>
      </c>
      <c r="AP159" s="262">
        <f ca="1">IFERROR((AP30-AP21)/((AP109+AP114+IF(AP2=1,(Старт!$B39+Старт!$B44)/Параметры!AP$64,AO109+AO114))/2) * 12/Параметры!AP31, "-")</f>
        <v>0.11492876010492575</v>
      </c>
      <c r="AQ159" s="262">
        <f ca="1">IFERROR((AQ30-AQ21)/((AQ109+AQ114+IF(AQ2=1,(Старт!$B39+Старт!$B44)/Параметры!AQ$64,AP109+AP114))/2) * 12/Параметры!AQ31, "-")</f>
        <v>0.37756913971466949</v>
      </c>
      <c r="AR159" s="262">
        <f ca="1">IFERROR((AR30-AR21)/((AR109+AR114+IF(AR2=1,(Старт!$B39+Старт!$B44)/Параметры!AR$64,AQ109+AQ114))/2) * 12/Параметры!AR31, "-")</f>
        <v>0.15684692945609846</v>
      </c>
      <c r="AS159" s="262">
        <f ca="1">IFERROR((AS30-AS21)/((AS109+AS114+IF(AS2=1,(Старт!$B39+Старт!$B44)/Параметры!AS$64,AR109+AR114))/2) * 12/Параметры!AS31, "-")</f>
        <v>0.10405487214520696</v>
      </c>
      <c r="AT159" s="262">
        <f ca="1">IFERROR((AT30-AT21)/((AT109+AT114+IF(AT2=1,(Старт!$B39+Старт!$B44)/Параметры!AT$64,AS109+AS114))/2) * 12/Параметры!AT31, "-")</f>
        <v>0.13315480929714882</v>
      </c>
      <c r="AU159" s="262">
        <f ca="1">IFERROR((AU30-AU21)/((AU109+AU114+IF(AU2=1,(Старт!$B39+Старт!$B44)/Параметры!AU$64,AT109+AT114))/2) * 12/Параметры!AU31, "-")</f>
        <v>0.31892568149903289</v>
      </c>
      <c r="AV159" s="262">
        <f ca="1">IFERROR((AV30-AV21)/((AV109+AV114+IF(AV2=1,(Старт!$B39+Старт!$B44)/Параметры!AV$64,AU109+AU114))/2) * 12/Параметры!AV31, "-")</f>
        <v>0.12652867260333514</v>
      </c>
    </row>
    <row r="160" spans="1:50" x14ac:dyDescent="0.2">
      <c r="A160" s="65" t="str">
        <f ca="1">Language!A1305</f>
        <v>Рентабельность суммарных активов, ROTA</v>
      </c>
      <c r="C160" s="130" t="str">
        <f ca="1">Language!$A$471</f>
        <v>% в год</v>
      </c>
      <c r="D160" s="57"/>
      <c r="E160" s="57"/>
      <c r="F160" s="57" t="s">
        <v>756</v>
      </c>
      <c r="G160" s="262">
        <f ca="1">IFERROR((G17+G19+G20)/((G95+IF(G2=1,Старт!$B26/Параметры!G$64,F95))/2) * 12/Параметры!G31, "-")</f>
        <v>5.409197405714631E-2</v>
      </c>
      <c r="H160" s="262">
        <f ca="1">IFERROR((H17+H19+H20)/((H95+IF(H2=1,Старт!$B26/Параметры!H$64,G95))/2) * 12/Параметры!H31, "-")</f>
        <v>-6.8292868175919286E-2</v>
      </c>
      <c r="I160" s="262">
        <f ca="1">IFERROR((I17+I19+I20)/((I95+IF(I2=1,Старт!$B26/Параметры!I$64,H95))/2) * 12/Параметры!I31, "-")</f>
        <v>-7.1463459912674152E-2</v>
      </c>
      <c r="J160" s="262">
        <f ca="1">IFERROR((J17+J19+J20)/((J95+IF(J2=1,Старт!$B26/Параметры!J$64,I95))/2) * 12/Параметры!J31, "-")</f>
        <v>-2.4786855917814394E-2</v>
      </c>
      <c r="K160" s="262">
        <f ca="1">IFERROR((K17+K19+K20)/((K95+IF(K2=1,Старт!$B26/Параметры!K$64,J95))/2) * 12/Параметры!K31, "-")</f>
        <v>0.16562906110933254</v>
      </c>
      <c r="L160" s="262">
        <f ca="1">IFERROR((L17+L19+L20)/((L95+IF(L2=1,Старт!$B26/Параметры!L$64,K95))/2) * 12/Параметры!L31, "-")</f>
        <v>1.086433843527148E-3</v>
      </c>
      <c r="M160" s="262">
        <f ca="1">IFERROR((M17+M19+M20)/((M95+IF(M2=1,Старт!$B26/Параметры!M$64,L95))/2) * 12/Параметры!M31, "-")</f>
        <v>-2.2710233436521465E-2</v>
      </c>
      <c r="N160" s="262">
        <f ca="1">IFERROR((N17+N19+N20)/((N95+IF(N2=1,Старт!$B26/Параметры!N$64,M95))/2) * 12/Параметры!N31, "-")</f>
        <v>2.0876974383162657E-2</v>
      </c>
      <c r="O160" s="262">
        <f ca="1">IFERROR((O17+O19+O20)/((O95+IF(O2=1,Старт!$B26/Параметры!O$64,N95))/2) * 12/Параметры!O31, "-")</f>
        <v>0.22665725583610549</v>
      </c>
      <c r="P160" s="262">
        <f ca="1">IFERROR((P17+P19+P20)/((P95+IF(P2=1,Старт!$B26/Параметры!P$64,O95))/2) * 12/Параметры!P31, "-")</f>
        <v>4.569316323499803E-2</v>
      </c>
      <c r="Q160" s="262">
        <f ca="1">IFERROR((Q17+Q19+Q20)/((Q95+IF(Q2=1,Старт!$B26/Параметры!Q$64,P95))/2) * 12/Параметры!Q31, "-")</f>
        <v>2.6427117240303156E-2</v>
      </c>
      <c r="R160" s="262">
        <f ca="1">IFERROR((R17+R19+R20)/((R95+IF(R2=1,Старт!$B26/Параметры!R$64,Q95))/2) * 12/Параметры!R31, "-")</f>
        <v>5.7848571146730178E-2</v>
      </c>
      <c r="S160" s="262">
        <f ca="1">IFERROR((S17+S19+S20)/((S95+IF(S2=1,Старт!$B26/Параметры!S$64,R95))/2) * 12/Параметры!S31, "-")</f>
        <v>0.24554895582364369</v>
      </c>
      <c r="T160" s="262">
        <f ca="1">IFERROR((T17+T19+T20)/((T95+IF(T2=1,Старт!$B26/Параметры!T$64,S95))/2) * 12/Параметры!T31, "-")</f>
        <v>5.7469788499092685E-2</v>
      </c>
      <c r="U160" s="262">
        <f ca="1">IFERROR((U17+U19+U20)/((U95+IF(U2=1,Старт!$B26/Параметры!U$64,T95))/2) * 12/Параметры!U31, "-")</f>
        <v>4.2681315884014338E-2</v>
      </c>
      <c r="V160" s="262">
        <f ca="1">IFERROR((V17+V19+V20)/((V95+IF(V2=1,Старт!$B26/Параметры!V$64,U95))/2) * 12/Параметры!V31, "-")</f>
        <v>7.4095034233487525E-2</v>
      </c>
      <c r="W160" s="262">
        <f ca="1">IFERROR((W17+W19+W20)/((W95+IF(W2=1,Старт!$B26/Параметры!W$64,V95))/2) * 12/Параметры!W31, "-")</f>
        <v>0.26477738279409702</v>
      </c>
      <c r="X160" s="262">
        <f ca="1">IFERROR((X17+X19+X20)/((X95+IF(X2=1,Старт!$B26/Параметры!X$64,W95))/2) * 12/Параметры!X31, "-")</f>
        <v>7.709150743314791E-2</v>
      </c>
      <c r="Y160" s="262">
        <f ca="1">IFERROR((Y17+Y19+Y20)/((Y95+IF(Y2=1,Старт!$B26/Параметры!Y$64,X95))/2) * 12/Параметры!Y31, "-")</f>
        <v>4.8098379338565124E-2</v>
      </c>
      <c r="Z160" s="262">
        <f ca="1">IFERROR((Z17+Z19+Z20)/((Z95+IF(Z2=1,Старт!$B26/Параметры!Z$64,Y95))/2) * 12/Параметры!Z31, "-")</f>
        <v>8.1313841518534505E-2</v>
      </c>
      <c r="AA160" s="262">
        <f ca="1">IFERROR((AA17+AA19+AA20)/((AA95+IF(AA2=1,Старт!$B26/Параметры!AA$64,Z95))/2) * 12/Параметры!AA31, "-")</f>
        <v>0.28264099100398504</v>
      </c>
      <c r="AB160" s="262">
        <f ca="1">IFERROR((AB17+AB19+AB20)/((AB95+IF(AB2=1,Старт!$B26/Параметры!AB$64,AA95))/2) * 12/Параметры!AB31, "-")</f>
        <v>8.4385916415103054E-2</v>
      </c>
      <c r="AC160" s="262">
        <f ca="1">IFERROR((AC17+AC19+AC20)/((AC95+IF(AC2=1,Старт!$B26/Параметры!AC$64,AB95))/2) * 12/Параметры!AC31, "-")</f>
        <v>6.1498927577064294E-2</v>
      </c>
      <c r="AD160" s="262">
        <f ca="1">IFERROR((AD17+AD19+AD20)/((AD95+IF(AD2=1,Старт!$B26/Параметры!AD$64,AC95))/2) * 12/Параметры!AD31, "-")</f>
        <v>9.6726552030726443E-2</v>
      </c>
      <c r="AE160" s="262">
        <f ca="1">IFERROR((AE17+AE19+AE20)/((AE95+IF(AE2=1,Старт!$B26/Параметры!AE$64,AD95))/2) * 12/Параметры!AE31, "-")</f>
        <v>0.30924333567373719</v>
      </c>
      <c r="AF160" s="262">
        <f ca="1">IFERROR((AF17+AF19+AF20)/((AF95+IF(AF2=1,Старт!$B26/Параметры!AF$64,AE95))/2) * 12/Параметры!AF31, "-")</f>
        <v>9.9878724837273822E-2</v>
      </c>
      <c r="AG160" s="262">
        <f ca="1">IFERROR((AG17+AG19+AG20)/((AG95+IF(AG2=1,Старт!$B26/Параметры!AG$64,AF95))/2) * 12/Параметры!AG31, "-")</f>
        <v>7.1149781517302058E-2</v>
      </c>
      <c r="AH160" s="262">
        <f ca="1">IFERROR((AH17+AH19+AH20)/((AH95+IF(AH2=1,Старт!$B26/Параметры!AH$64,AG95))/2) * 12/Параметры!AH31, "-")</f>
        <v>0.10852188752478899</v>
      </c>
      <c r="AI160" s="262">
        <f ca="1">IFERROR((AI17+AI19+AI20)/((AI95+IF(AI2=1,Старт!$B26/Параметры!AI$64,AH95))/2) * 12/Параметры!AI31, "-")</f>
        <v>0.3331697989826099</v>
      </c>
      <c r="AJ160" s="262">
        <f ca="1">IFERROR((AJ17+AJ19+AJ20)/((AJ95+IF(AJ2=1,Старт!$B26/Параметры!AJ$64,AI95))/2) * 12/Параметры!AJ31, "-")</f>
        <v>0.11177932255939488</v>
      </c>
      <c r="AK160" s="262">
        <f ca="1">IFERROR((AK17+AK19+AK20)/((AK95+IF(AK2=1,Старт!$B26/Параметры!AK$64,AJ95))/2) * 12/Параметры!AK31, "-")</f>
        <v>7.8680191818509146E-2</v>
      </c>
      <c r="AL160" s="262">
        <f ca="1">IFERROR((AL17+AL19+AL20)/((AL95+IF(AL2=1,Старт!$B26/Параметры!AL$64,AK95))/2) * 12/Параметры!AL31, "-")</f>
        <v>0.11838858486777833</v>
      </c>
      <c r="AM160" s="262">
        <f ca="1">IFERROR((AM17+AM19+AM20)/((AM95+IF(AM2=1,Старт!$B26/Параметры!AM$64,AL95))/2) * 12/Параметры!AM31, "-")</f>
        <v>0.34768046419189763</v>
      </c>
      <c r="AN160" s="262">
        <f ca="1">IFERROR((AN17+AN19+AN20)/((AN95+IF(AN2=1,Старт!$B26/Параметры!AN$64,AM95))/2) * 12/Параметры!AN31, "-")</f>
        <v>0.11317471468216193</v>
      </c>
      <c r="AO160" s="262">
        <f ca="1">IFERROR((AO17+AO19+AO20)/((AO95+IF(AO2=1,Старт!$B26/Параметры!AO$64,AN95))/2) * 12/Параметры!AO31, "-")</f>
        <v>7.8244080640349226E-2</v>
      </c>
      <c r="AP160" s="262">
        <f ca="1">IFERROR((AP17+AP19+AP20)/((AP95+IF(AP2=1,Старт!$B26/Параметры!AP$64,AO95))/2) * 12/Параметры!AP31, "-")</f>
        <v>0.11267279534104835</v>
      </c>
      <c r="AQ160" s="262">
        <f ca="1">IFERROR((AQ17+AQ19+AQ20)/((AQ95+IF(AQ2=1,Старт!$B26/Параметры!AQ$64,AP95))/2) * 12/Параметры!AQ31, "-")</f>
        <v>0.37018346825881049</v>
      </c>
      <c r="AR160" s="262">
        <f ca="1">IFERROR((AR17+AR19+AR20)/((AR95+IF(AR2=1,Старт!$B26/Параметры!AR$64,AQ95))/2) * 12/Параметры!AR31, "-")</f>
        <v>0.15396353319915249</v>
      </c>
      <c r="AS160" s="262">
        <f ca="1">IFERROR((AS17+AS19+AS20)/((AS95+IF(AS2=1,Старт!$B26/Параметры!AS$64,AR95))/2) * 12/Параметры!AS31, "-")</f>
        <v>0.10230600641190805</v>
      </c>
      <c r="AT160" s="262">
        <f ca="1">IFERROR((AT17+AT19+AT20)/((AT95+IF(AT2=1,Старт!$B26/Параметры!AT$64,AS95))/2) * 12/Параметры!AT31, "-")</f>
        <v>0.13098522529158346</v>
      </c>
      <c r="AU160" s="262">
        <f ca="1">IFERROR((AU17+AU19+AU20)/((AU95+IF(AU2=1,Старт!$B26/Параметры!AU$64,AT95))/2) * 12/Параметры!AU31, "-")</f>
        <v>0.31370299965663251</v>
      </c>
      <c r="AV160" s="262">
        <f ca="1">IFERROR((AV17+AV19+AV20)/((AV95+IF(AV2=1,Старт!$B26/Параметры!AV$64,AU95))/2) * 12/Параметры!AV31, "-")</f>
        <v>0.1245607751489851</v>
      </c>
    </row>
    <row r="161" spans="1:50" x14ac:dyDescent="0.2">
      <c r="A161" s="265" t="str">
        <f ca="1">Language!A1306</f>
        <v>Рентабельность внеоборотных активов, ROFA</v>
      </c>
      <c r="B161" s="244"/>
      <c r="C161" s="127" t="str">
        <f ca="1">Language!$A$471</f>
        <v>% в год</v>
      </c>
      <c r="D161" s="128"/>
      <c r="E161" s="128"/>
      <c r="F161" s="128" t="s">
        <v>756</v>
      </c>
      <c r="G161" s="266">
        <f ca="1">IFERROR((G17+G19+G20)/((G93+IF(G2=1,Старт!$B24/Параметры!G$64,F93))/2) * 12/Параметры!G31, "-")</f>
        <v>6.6504883168262821E-2</v>
      </c>
      <c r="H161" s="266">
        <f ca="1">IFERROR((H17+H19+H20)/((H93+IF(H2=1,Старт!$B24/Параметры!H$64,G93))/2) * 12/Параметры!H31, "-")</f>
        <v>-8.3394909924961361E-2</v>
      </c>
      <c r="I161" s="266">
        <f ca="1">IFERROR((I17+I19+I20)/((I93+IF(I2=1,Старт!$B24/Параметры!I$64,H93))/2) * 12/Параметры!I31, "-")</f>
        <v>-8.8320000946701269E-2</v>
      </c>
      <c r="J161" s="266">
        <f ca="1">IFERROR((J17+J19+J20)/((J93+IF(J2=1,Старт!$B24/Параметры!J$64,I93))/2) * 12/Параметры!J31, "-")</f>
        <v>-3.1525178667316113E-2</v>
      </c>
      <c r="K161" s="266">
        <f ca="1">IFERROR((K17+K19+K20)/((K93+IF(K2=1,Старт!$B24/Параметры!K$64,J93))/2) * 12/Параметры!K31, "-")</f>
        <v>0.22139612792758256</v>
      </c>
      <c r="L161" s="266">
        <f ca="1">IFERROR((L17+L19+L20)/((L93+IF(L2=1,Старт!$B24/Параметры!L$64,K93))/2) * 12/Параметры!L31, "-")</f>
        <v>1.523783025405195E-3</v>
      </c>
      <c r="M161" s="266">
        <f ca="1">IFERROR((M17+M19+M20)/((M93+IF(M2=1,Старт!$B24/Параметры!M$64,L93))/2) * 12/Параметры!M31, "-")</f>
        <v>-3.2652530652416002E-2</v>
      </c>
      <c r="N161" s="266">
        <f ca="1">IFERROR((N17+N19+N20)/((N93+IF(N2=1,Старт!$B24/Параметры!N$64,M93))/2) * 12/Параметры!N31, "-")</f>
        <v>3.0903556574060645E-2</v>
      </c>
      <c r="O161" s="266">
        <f ca="1">IFERROR((O17+O19+O20)/((O93+IF(O2=1,Старт!$B24/Параметры!O$64,N93))/2) * 12/Параметры!O31, "-")</f>
        <v>0.35719319527563459</v>
      </c>
      <c r="P161" s="266">
        <f ca="1">IFERROR((P17+P19+P20)/((P93+IF(P2=1,Старт!$B24/Параметры!P$64,O93))/2) * 12/Параметры!P31, "-")</f>
        <v>7.6848393198258272E-2</v>
      </c>
      <c r="Q161" s="266">
        <f ca="1">IFERROR((Q17+Q19+Q20)/((Q93+IF(Q2=1,Старт!$B24/Параметры!Q$64,P93))/2) * 12/Параметры!Q31, "-")</f>
        <v>4.6285804055472272E-2</v>
      </c>
      <c r="R161" s="266">
        <f ca="1">IFERROR((R17+R19+R20)/((R93+IF(R2=1,Старт!$B24/Параметры!R$64,Q93))/2) * 12/Параметры!R31, "-")</f>
        <v>0.10590353192403597</v>
      </c>
      <c r="S161" s="266">
        <f ca="1">IFERROR((S17+S19+S20)/((S93+IF(S2=1,Старт!$B24/Параметры!S$64,R93))/2) * 12/Параметры!S31, "-")</f>
        <v>0.48422105837244583</v>
      </c>
      <c r="T161" s="266">
        <f ca="1">IFERROR((T17+T19+T20)/((T93+IF(T2=1,Старт!$B24/Параметры!T$64,S93))/2) * 12/Параметры!T31, "-")</f>
        <v>0.12202051909715943</v>
      </c>
      <c r="U161" s="266">
        <f ca="1">IFERROR((U17+U19+U20)/((U93+IF(U2=1,Старт!$B24/Параметры!U$64,T93))/2) * 12/Параметры!U31, "-")</f>
        <v>9.4642036487835368E-2</v>
      </c>
      <c r="V161" s="266">
        <f ca="1">IFERROR((V17+V19+V20)/((V93+IF(V2=1,Старт!$B24/Параметры!V$64,U93))/2) * 12/Параметры!V31, "-")</f>
        <v>0.1707502154776587</v>
      </c>
      <c r="W161" s="266">
        <f ca="1">IFERROR((W17+W19+W20)/((W93+IF(W2=1,Старт!$B24/Параметры!W$64,V93))/2) * 12/Параметры!W31, "-")</f>
        <v>0.64482692694683574</v>
      </c>
      <c r="X161" s="266">
        <f ca="1">IFERROR((X17+X19+X20)/((X93+IF(X2=1,Старт!$B24/Параметры!X$64,W93))/2) * 12/Параметры!X31, "-")</f>
        <v>0.19725393137986655</v>
      </c>
      <c r="Y161" s="266">
        <f ca="1">IFERROR((Y17+Y19+Y20)/((Y93+IF(Y2=1,Старт!$B24/Параметры!Y$64,X93))/2) * 12/Параметры!Y31, "-")</f>
        <v>0.12759252078678754</v>
      </c>
      <c r="Z161" s="266">
        <f ca="1">IFERROR((Z17+Z19+Z20)/((Z93+IF(Z2=1,Старт!$B24/Параметры!Z$64,Y93))/2) * 12/Параметры!Z31, "-")</f>
        <v>0.22580245739138236</v>
      </c>
      <c r="AA161" s="266">
        <f ca="1">IFERROR((AA17+AA19+AA20)/((AA93+IF(AA2=1,Старт!$B24/Параметры!AA$64,Z93))/2) * 12/Параметры!AA31, "-")</f>
        <v>0.83700123065829324</v>
      </c>
      <c r="AB161" s="266">
        <f ca="1">IFERROR((AB17+AB19+AB20)/((AB93+IF(AB2=1,Старт!$B24/Параметры!AB$64,AA93))/2) * 12/Параметры!AB31, "-")</f>
        <v>0.26506220817647136</v>
      </c>
      <c r="AC161" s="266">
        <f ca="1">IFERROR((AC17+AC19+AC20)/((AC93+IF(AC2=1,Старт!$B24/Параметры!AC$64,AB93))/2) * 12/Параметры!AC31, "-")</f>
        <v>0.20232357807980828</v>
      </c>
      <c r="AD161" s="266">
        <f ca="1">IFERROR((AD17+AD19+AD20)/((AD93+IF(AD2=1,Старт!$B24/Параметры!AD$64,AC93))/2) * 12/Параметры!AD31, "-")</f>
        <v>0.33716239725234076</v>
      </c>
      <c r="AE161" s="266">
        <f ca="1">IFERROR((AE17+AE19+AE20)/((AE93+IF(AE2=1,Старт!$B24/Параметры!AE$64,AD93))/2) * 12/Параметры!AE31, "-")</f>
        <v>1.1658942892084976</v>
      </c>
      <c r="AF161" s="266">
        <f ca="1">IFERROR((AF17+AF19+AF20)/((AF93+IF(AF2=1,Старт!$B24/Параметры!AF$64,AE93))/2) * 12/Параметры!AF31, "-")</f>
        <v>0.40559075187375665</v>
      </c>
      <c r="AG161" s="266">
        <f ca="1">IFERROR((AG17+AG19+AG20)/((AG93+IF(AG2=1,Старт!$B24/Параметры!AG$64,AF93))/2) * 12/Параметры!AG31, "-")</f>
        <v>0.30752827270936151</v>
      </c>
      <c r="AH161" s="266">
        <f ca="1">IFERROR((AH17+AH19+AH20)/((AH93+IF(AH2=1,Старт!$B24/Параметры!AH$64,AG93))/2) * 12/Параметры!AH31, "-")</f>
        <v>0.50645540908617925</v>
      </c>
      <c r="AI161" s="266">
        <f ca="1">IFERROR((AI17+AI19+AI20)/((AI93+IF(AI2=1,Старт!$B24/Параметры!AI$64,AH93))/2) * 12/Параметры!AI31, "-")</f>
        <v>1.7211452226189354</v>
      </c>
      <c r="AJ161" s="266">
        <f ca="1">IFERROR((AJ17+AJ19+AJ20)/((AJ93+IF(AJ2=1,Старт!$B24/Параметры!AJ$64,AI93))/2) * 12/Параметры!AJ31, "-")</f>
        <v>0.63873028977840562</v>
      </c>
      <c r="AK161" s="266">
        <f ca="1">IFERROR((AK17+AK19+AK20)/((AK93+IF(AK2=1,Старт!$B24/Параметры!AK$64,AJ93))/2) * 12/Параметры!AK31, "-")</f>
        <v>0.49332349389607283</v>
      </c>
      <c r="AL161" s="266">
        <f ca="1">IFERROR((AL17+AL19+AL20)/((AL93+IF(AL2=1,Старт!$B24/Параметры!AL$64,AK93))/2) * 12/Параметры!AL31, "-")</f>
        <v>0.83205896859571593</v>
      </c>
      <c r="AM161" s="266">
        <f ca="1">IFERROR((AM17+AM19+AM20)/((AM93+IF(AM2=1,Старт!$B24/Параметры!AM$64,AL93))/2) * 12/Параметры!AM31, "-")</f>
        <v>2.9088977433960377</v>
      </c>
      <c r="AN161" s="266">
        <f ca="1">IFERROR((AN17+AN19+AN20)/((AN93+IF(AN2=1,Старт!$B24/Параметры!AN$64,AM93))/2) * 12/Параметры!AN31, "-")</f>
        <v>1.1671762369983723</v>
      </c>
      <c r="AO161" s="266">
        <f ca="1">IFERROR((AO17+AO19+AO20)/((AO93+IF(AO2=1,Старт!$B24/Параметры!AO$64,AN93))/2) * 12/Параметры!AO31, "-")</f>
        <v>0.99407985406421107</v>
      </c>
      <c r="AP161" s="266">
        <f ca="1">IFERROR((AP17+AP19+AP20)/((AP93+IF(AP2=1,Старт!$B24/Параметры!AP$64,AO93))/2) * 12/Параметры!AP31, "-")</f>
        <v>1.8423262283230544</v>
      </c>
      <c r="AQ161" s="266">
        <f ca="1">IFERROR((AQ17+AQ19+AQ20)/((AQ93+IF(AQ2=1,Старт!$B24/Параметры!AQ$64,AP93))/2) * 12/Параметры!AQ31, "-")</f>
        <v>7.4926443994879186</v>
      </c>
      <c r="AR161" s="266">
        <f ca="1">IFERROR((AR17+AR19+AR20)/((AR93+IF(AR2=1,Старт!$B24/Параметры!AR$64,AQ93))/2) * 12/Параметры!AR31, "-")</f>
        <v>3.4180883062967897</v>
      </c>
      <c r="AS161" s="266">
        <f ca="1">IFERROR((AS17+AS19+AS20)/((AS93+IF(AS2=1,Старт!$B24/Параметры!AS$64,AR93))/2) * 12/Параметры!AS31, "-")</f>
        <v>2.4103081375701345</v>
      </c>
      <c r="AT161" s="266">
        <f ca="1">IFERROR((AT17+AT19+AT20)/((AT93+IF(AT2=1,Старт!$B24/Параметры!AT$64,AS93))/2) * 12/Параметры!AT31, "-")</f>
        <v>3.2720281938777922</v>
      </c>
      <c r="AU161" s="266">
        <f ca="1">IFERROR((AU17+AU19+AU20)/((AU93+IF(AU2=1,Старт!$B24/Параметры!AU$64,AT93))/2) * 12/Параметры!AU31, "-")</f>
        <v>8.4376149321348528</v>
      </c>
      <c r="AV161" s="266">
        <f ca="1">IFERROR((AV17+AV19+AV20)/((AV93+IF(AV2=1,Старт!$B24/Параметры!AV$64,AU93))/2) * 12/Параметры!AV31, "-")</f>
        <v>3.5485839961749726</v>
      </c>
    </row>
    <row r="162" spans="1:50" x14ac:dyDescent="0.2">
      <c r="A162" s="65"/>
      <c r="D162" s="57"/>
      <c r="E162" s="57"/>
      <c r="F162" s="57"/>
    </row>
    <row r="163" spans="1:50" x14ac:dyDescent="0.2">
      <c r="A163" s="65" t="str">
        <f ca="1">Language!A1307</f>
        <v>Коэффициент текущей ликвидности</v>
      </c>
      <c r="C163" s="130" t="str">
        <f ca="1">Language!$A$1449</f>
        <v>раз</v>
      </c>
      <c r="D163" s="57"/>
      <c r="E163" s="57"/>
      <c r="F163" s="57" t="s">
        <v>756</v>
      </c>
      <c r="G163" s="267">
        <f ca="1">IF(G104=0,"-",G84/G104)</f>
        <v>2.0193373635654117</v>
      </c>
      <c r="H163" s="267">
        <f t="shared" ref="H163:K163" ca="1" si="699">IF(H104=0,"-",H84/H104)</f>
        <v>2.678134337529916</v>
      </c>
      <c r="I163" s="267">
        <f t="shared" ca="1" si="699"/>
        <v>4.5462986177180227</v>
      </c>
      <c r="J163" s="267">
        <f t="shared" ca="1" si="699"/>
        <v>8.989938382169548</v>
      </c>
      <c r="K163" s="267">
        <f t="shared" ca="1" si="699"/>
        <v>10.871685941903456</v>
      </c>
      <c r="L163" s="267">
        <f t="shared" ref="L163:M163" ca="1" si="700">IF(L104=0,"-",L84/L104)</f>
        <v>12.203701053474223</v>
      </c>
      <c r="M163" s="267">
        <f t="shared" ca="1" si="700"/>
        <v>12.844544991896603</v>
      </c>
      <c r="N163" s="267">
        <f t="shared" ref="N163:O163" ca="1" si="701">IF(N104=0,"-",N84/N104)</f>
        <v>13.570433161576883</v>
      </c>
      <c r="O163" s="267">
        <f t="shared" ca="1" si="701"/>
        <v>15.698936822181746</v>
      </c>
      <c r="P163" s="267">
        <f t="shared" ref="P163:Q163" ca="1" si="702">IF(P104=0,"-",P84/P104)</f>
        <v>17.829663194193117</v>
      </c>
      <c r="Q163" s="267">
        <f t="shared" ca="1" si="702"/>
        <v>19.144445958376917</v>
      </c>
      <c r="R163" s="267">
        <f t="shared" ref="R163:S163" ca="1" si="703">IF(R104=0,"-",R84/R104)</f>
        <v>20.154060437475511</v>
      </c>
      <c r="S163" s="267">
        <f t="shared" ca="1" si="703"/>
        <v>22.197773823625042</v>
      </c>
      <c r="T163" s="267">
        <f t="shared" ref="T163:U163" ca="1" si="704">IF(T104=0,"-",T84/T104)</f>
        <v>24.997160761478948</v>
      </c>
      <c r="U163" s="267">
        <f t="shared" ca="1" si="704"/>
        <v>26.022307826614167</v>
      </c>
      <c r="V163" s="267">
        <f t="shared" ref="V163:W163" ca="1" si="705">IF(V104=0,"-",V84/V104)</f>
        <v>26.205131495341217</v>
      </c>
      <c r="W163" s="267">
        <f t="shared" ca="1" si="705"/>
        <v>26.351443980606248</v>
      </c>
      <c r="X163" s="267">
        <f t="shared" ref="X163:Y163" ca="1" si="706">IF(X104=0,"-",X84/X104)</f>
        <v>28.181970902603577</v>
      </c>
      <c r="Y163" s="267">
        <f t="shared" ca="1" si="706"/>
        <v>29.373168294283875</v>
      </c>
      <c r="Z163" s="267">
        <f t="shared" ref="Z163:AA163" ca="1" si="707">IF(Z104=0,"-",Z84/Z104)</f>
        <v>29.418067200277008</v>
      </c>
      <c r="AA163" s="267">
        <f t="shared" ca="1" si="707"/>
        <v>29.279437647084272</v>
      </c>
      <c r="AB163" s="267">
        <f t="shared" ref="AB163:AC163" ca="1" si="708">IF(AB104=0,"-",AB84/AB104)</f>
        <v>31.340868528294461</v>
      </c>
      <c r="AC163" s="267">
        <f t="shared" ca="1" si="708"/>
        <v>32.539721445787499</v>
      </c>
      <c r="AD163" s="267">
        <f t="shared" ref="AD163:AE163" ca="1" si="709">IF(AD104=0,"-",AD84/AD104)</f>
        <v>32.46102568830797</v>
      </c>
      <c r="AE163" s="267">
        <f t="shared" ca="1" si="709"/>
        <v>32.045988214971857</v>
      </c>
      <c r="AF163" s="267">
        <f t="shared" ref="AF163:AG163" ca="1" si="710">IF(AF104=0,"-",AF84/AF104)</f>
        <v>34.360753492585893</v>
      </c>
      <c r="AG163" s="267">
        <f t="shared" ca="1" si="710"/>
        <v>35.650364867921233</v>
      </c>
      <c r="AH163" s="267">
        <f t="shared" ref="AH163:AI163" ca="1" si="711">IF(AH104=0,"-",AH84/AH104)</f>
        <v>35.420912392639146</v>
      </c>
      <c r="AI163" s="267">
        <f t="shared" ca="1" si="711"/>
        <v>34.695966965163002</v>
      </c>
      <c r="AJ163" s="267">
        <f t="shared" ref="AJ163:AK163" ca="1" si="712">IF(AJ104=0,"-",AJ84/AJ104)</f>
        <v>37.261518118893363</v>
      </c>
      <c r="AK163" s="267">
        <f t="shared" ca="1" si="712"/>
        <v>38.629667694635415</v>
      </c>
      <c r="AL163" s="267">
        <f t="shared" ref="AL163:AM163" ca="1" si="713">IF(AL104=0,"-",AL84/AL104)</f>
        <v>38.229467483609461</v>
      </c>
      <c r="AM163" s="267">
        <f t="shared" ca="1" si="713"/>
        <v>39.259356975153523</v>
      </c>
      <c r="AN163" s="267">
        <f t="shared" ref="AN163:AO163" ca="1" si="714">IF(AN104=0,"-",AN84/AN104)</f>
        <v>44.547827647980114</v>
      </c>
      <c r="AO163" s="267">
        <f t="shared" ca="1" si="714"/>
        <v>47.372831103730896</v>
      </c>
      <c r="AP163" s="267">
        <f t="shared" ref="AP163:AQ163" ca="1" si="715">IF(AP104=0,"-",AP84/AP104)</f>
        <v>48.271836618867397</v>
      </c>
      <c r="AQ163" s="267">
        <f t="shared" ca="1" si="715"/>
        <v>48.893092124784758</v>
      </c>
      <c r="AR163" s="267">
        <f t="shared" ref="AR163:AS163" ca="1" si="716">IF(AR104=0,"-",AR84/AR104)</f>
        <v>55.261865106747315</v>
      </c>
      <c r="AS163" s="267">
        <f t="shared" ca="1" si="716"/>
        <v>58.742888340217938</v>
      </c>
      <c r="AT163" s="267">
        <f t="shared" ref="AT163:AU163" ca="1" si="717">IF(AT104=0,"-",AT84/AT104)</f>
        <v>59.085047348594031</v>
      </c>
      <c r="AU163" s="267">
        <f t="shared" ca="1" si="717"/>
        <v>58.530879421098945</v>
      </c>
      <c r="AV163" s="267">
        <f t="shared" ref="AV163" ca="1" si="718">IF(AV104=0,"-",AV84/AV104)</f>
        <v>65.867351587905304</v>
      </c>
    </row>
    <row r="164" spans="1:50" x14ac:dyDescent="0.2">
      <c r="A164" s="65"/>
      <c r="D164" s="57"/>
      <c r="E164" s="57"/>
      <c r="F164" s="57"/>
    </row>
    <row r="165" spans="1:50" x14ac:dyDescent="0.2">
      <c r="A165" s="65" t="str">
        <f ca="1">Language!A1308</f>
        <v>Период сбора дебиторской задолженности</v>
      </c>
      <c r="C165" s="130" t="str">
        <f ca="1">Language!$A$45</f>
        <v>дн.</v>
      </c>
      <c r="D165" s="57"/>
      <c r="E165" s="57"/>
      <c r="F165" s="57" t="s">
        <v>756</v>
      </c>
      <c r="G165" s="268">
        <f ca="1">IFERROR((G76+IF(G2=1,Старт!$B7/Параметры!G$64,F76))/2/G6 * Параметры!G30, "-")</f>
        <v>37.96245728313788</v>
      </c>
      <c r="H165" s="268">
        <f ca="1">IFERROR((H76+IF(H2=1,Старт!$B7/Параметры!H$64,G76))/2/H6 * Параметры!H30, "-")</f>
        <v>49.819235910203105</v>
      </c>
      <c r="I165" s="268">
        <f ca="1">IFERROR((I76+IF(I2=1,Старт!$B7/Параметры!I$64,H76))/2/I6 * Параметры!I30, "-")</f>
        <v>31.905743405283406</v>
      </c>
      <c r="J165" s="268">
        <f ca="1">IFERROR((J76+IF(J2=1,Старт!$B7/Параметры!J$64,I76))/2/J6 * Параметры!J30, "-")</f>
        <v>34.317337607285133</v>
      </c>
      <c r="K165" s="268">
        <f ca="1">IFERROR((K76+IF(K2=1,Старт!$B7/Параметры!K$64,J76))/2/K6 * Параметры!K30, "-")</f>
        <v>27.876905004792086</v>
      </c>
      <c r="L165" s="268">
        <f ca="1">IFERROR((L76+IF(L2=1,Старт!$B7/Параметры!L$64,K76))/2/L6 * Параметры!L30, "-")</f>
        <v>47.071425149122753</v>
      </c>
      <c r="M165" s="268">
        <f ca="1">IFERROR((M76+IF(M2=1,Старт!$B7/Параметры!M$64,L76))/2/M6 * Параметры!M30, "-")</f>
        <v>34.820007494001906</v>
      </c>
      <c r="N165" s="268">
        <f ca="1">IFERROR((N76+IF(N2=1,Старт!$B7/Параметры!N$64,M76))/2/N6 * Параметры!N30, "-")</f>
        <v>35.084404272772765</v>
      </c>
      <c r="O165" s="268">
        <f ca="1">IFERROR((O76+IF(O2=1,Старт!$B7/Параметры!O$64,N76))/2/O6 * Параметры!O30, "-")</f>
        <v>28.723623652612474</v>
      </c>
      <c r="P165" s="268">
        <f ca="1">IFERROR((P76+IF(P2=1,Старт!$B7/Параметры!P$64,O76))/2/P6 * Параметры!P30, "-")</f>
        <v>45.496291873303072</v>
      </c>
      <c r="Q165" s="268">
        <f ca="1">IFERROR((Q76+IF(Q2=1,Старт!$B7/Параметры!Q$64,P76))/2/Q6 * Параметры!Q30, "-")</f>
        <v>35.273482024624379</v>
      </c>
      <c r="R165" s="268">
        <f ca="1">IFERROR((R76+IF(R2=1,Старт!$B7/Параметры!R$64,Q76))/2/R6 * Параметры!R30, "-")</f>
        <v>36.037521264624296</v>
      </c>
      <c r="S165" s="268">
        <f ca="1">IFERROR((S76+IF(S2=1,Старт!$B7/Параметры!S$64,R76))/2/S6 * Параметры!S30, "-")</f>
        <v>29.673232321372556</v>
      </c>
      <c r="T165" s="268">
        <f ca="1">IFERROR((T76+IF(T2=1,Старт!$B7/Параметры!T$64,S76))/2/T6 * Параметры!T30, "-")</f>
        <v>45.916811261709817</v>
      </c>
      <c r="U165" s="268">
        <f ca="1">IFERROR((U76+IF(U2=1,Старт!$B7/Параметры!U$64,T76))/2/U6 * Параметры!U30, "-")</f>
        <v>35.242900094113892</v>
      </c>
      <c r="V165" s="268">
        <f ca="1">IFERROR((V76+IF(V2=1,Старт!$B7/Параметры!V$64,U76))/2/V6 * Параметры!V30, "-")</f>
        <v>36.037521264624274</v>
      </c>
      <c r="W165" s="268">
        <f ca="1">IFERROR((W76+IF(W2=1,Старт!$B7/Параметры!W$64,V76))/2/W6 * Параметры!W30, "-")</f>
        <v>29.858288291932489</v>
      </c>
      <c r="X165" s="268">
        <f ca="1">IFERROR((X76+IF(X2=1,Старт!$B7/Параметры!X$64,W76))/2/X6 * Параметры!X30, "-")</f>
        <v>45.477941456041385</v>
      </c>
      <c r="Y165" s="268">
        <f ca="1">IFERROR((Y76+IF(Y2=1,Старт!$B7/Параметры!Y$64,X76))/2/Y6 * Параметры!Y30, "-")</f>
        <v>36.000747493706633</v>
      </c>
      <c r="Z165" s="268">
        <f ca="1">IFERROR((Z76+IF(Z2=1,Старт!$B7/Параметры!Z$64,Y76))/2/Z6 * Параметры!Z30, "-")</f>
        <v>36.037521264624282</v>
      </c>
      <c r="AA165" s="268">
        <f ca="1">IFERROR((AA76+IF(AA2=1,Старт!$B7/Параметры!AA$64,Z76))/2/AA6 * Параметры!AA30, "-")</f>
        <v>29.86660926960818</v>
      </c>
      <c r="AB165" s="268">
        <f ca="1">IFERROR((AB76+IF(AB2=1,Старт!$B7/Параметры!AB$64,AA76))/2/AB6 * Параметры!AB30, "-")</f>
        <v>45.458533521070983</v>
      </c>
      <c r="AC165" s="268">
        <f ca="1">IFERROR((AC76+IF(AC2=1,Старт!$B7/Параметры!AC$64,AB76))/2/AC6 * Параметры!AC30, "-")</f>
        <v>35.700471612345865</v>
      </c>
      <c r="AD165" s="268">
        <f ca="1">IFERROR((AD76+IF(AD2=1,Старт!$B7/Параметры!AD$64,AC76))/2/AD6 * Параметры!AD30, "-")</f>
        <v>36.037521264624282</v>
      </c>
      <c r="AE165" s="268">
        <f ca="1">IFERROR((AE76+IF(AE2=1,Старт!$B7/Параметры!AE$64,AD76))/2/AE6 * Параметры!AE30, "-")</f>
        <v>29.94327074605949</v>
      </c>
      <c r="AF165" s="268">
        <f ca="1">IFERROR((AF76+IF(AF2=1,Старт!$B7/Параметры!AF$64,AE76))/2/AF6 * Параметры!AF30, "-")</f>
        <v>45.281015973604759</v>
      </c>
      <c r="AG165" s="268">
        <f ca="1">IFERROR((AG76+IF(AG2=1,Старт!$B7/Параметры!AG$64,AF76))/2/AG6 * Параметры!AG30, "-")</f>
        <v>35.953219421185253</v>
      </c>
      <c r="AH165" s="268">
        <f ca="1">IFERROR((AH76+IF(AH2=1,Старт!$B7/Параметры!AH$64,AG76))/2/AH6 * Параметры!AH30, "-")</f>
        <v>36.037521264624282</v>
      </c>
      <c r="AI165" s="268">
        <f ca="1">IFERROR((AI76+IF(AI2=1,Старт!$B7/Параметры!AI$64,AH76))/2/AI6 * Параметры!AI30, "-")</f>
        <v>29.962237334159393</v>
      </c>
      <c r="AJ165" s="268">
        <f ca="1">IFERROR((AJ76+IF(AJ2=1,Старт!$B7/Параметры!AJ$64,AI76))/2/AJ6 * Параметры!AJ30, "-")</f>
        <v>45.237452439437106</v>
      </c>
      <c r="AK165" s="268">
        <f ca="1">IFERROR((AK76+IF(AK2=1,Старт!$B7/Параметры!AK$64,AJ76))/2/AK6 * Параметры!AK30, "-")</f>
        <v>36.067495255329874</v>
      </c>
      <c r="AL165" s="268">
        <f ca="1">IFERROR((AL76+IF(AL2=1,Старт!$B7/Параметры!AL$64,AK76))/2/AL6 * Параметры!AL30, "-")</f>
        <v>36.037521264624282</v>
      </c>
      <c r="AM165" s="268">
        <f ca="1">IFERROR((AM76+IF(AM2=1,Старт!$B7/Параметры!AM$64,AL76))/2/AM6 * Параметры!AM30, "-")</f>
        <v>29.95551846959582</v>
      </c>
      <c r="AN165" s="268">
        <f ca="1">IFERROR((AN76+IF(AN2=1,Старт!$B7/Параметры!AN$64,AM76))/2/AN6 * Параметры!AN30, "-")</f>
        <v>45.252868697925173</v>
      </c>
      <c r="AO165" s="268">
        <f ca="1">IFERROR((AO76+IF(AO2=1,Старт!$B7/Параметры!AO$64,AN76))/2/AO6 * Параметры!AO30, "-")</f>
        <v>36.041354652007051</v>
      </c>
      <c r="AP165" s="268">
        <f ca="1">IFERROR((AP76+IF(AP2=1,Старт!$B7/Параметры!AP$64,AO76))/2/AP6 * Параметры!AP30, "-")</f>
        <v>36.037521264624282</v>
      </c>
      <c r="AQ165" s="268">
        <f ca="1">IFERROR((AQ76+IF(AQ2=1,Старт!$B7/Параметры!AQ$64,AP76))/2/AQ6 * Параметры!AQ30, "-")</f>
        <v>29.954658303305045</v>
      </c>
      <c r="AR165" s="268">
        <f ca="1">IFERROR((AR76+IF(AR2=1,Старт!$B7/Параметры!AR$64,AQ76))/2/AR6 * Параметры!AR30, "-")</f>
        <v>45.254843594058393</v>
      </c>
      <c r="AS165" s="268">
        <f ca="1">IFERROR((AS76+IF(AS2=1,Старт!$B7/Параметры!AS$64,AR76))/2/AS6 * Параметры!AS30, "-")</f>
        <v>36.779371878665579</v>
      </c>
      <c r="AT165" s="268">
        <f ca="1">IFERROR((AT76+IF(AT2=1,Старт!$B7/Параметры!AT$64,AS76))/2/AT6 * Параметры!AT30, "-")</f>
        <v>36.037521264624274</v>
      </c>
      <c r="AU165" s="268">
        <f ca="1">IFERROR((AU76+IF(AU2=1,Старт!$B7/Параметры!AU$64,AT76))/2/AU6 * Параметры!AU30, "-")</f>
        <v>29.790487719010709</v>
      </c>
      <c r="AV165" s="268">
        <f ca="1">IFERROR((AV76+IF(AV2=1,Старт!$B7/Параметры!AV$64,AU76))/2/AV6 * Параметры!AV30, "-")</f>
        <v>45.637114347437219</v>
      </c>
    </row>
    <row r="166" spans="1:50" x14ac:dyDescent="0.2">
      <c r="A166" s="65" t="str">
        <f ca="1">Language!A1309</f>
        <v>Период хранения запасов продукции</v>
      </c>
      <c r="C166" s="130" t="str">
        <f ca="1">Language!$A$45</f>
        <v>дн.</v>
      </c>
      <c r="D166" s="57"/>
      <c r="E166" s="57"/>
      <c r="F166" s="57" t="s">
        <v>756</v>
      </c>
      <c r="G166" s="268">
        <f ca="1">IFERROR((G78+IF(G2=1,Старт!$B9/Параметры!G$64,F78))/2/G6 * Параметры!G30, "-")</f>
        <v>0</v>
      </c>
      <c r="H166" s="268">
        <f ca="1">IFERROR((H78+IF(H2=1,Старт!$B9/Параметры!H$64,G78))/2/H6 * Параметры!H30, "-")</f>
        <v>0</v>
      </c>
      <c r="I166" s="268">
        <f ca="1">IFERROR((I78+IF(I2=1,Старт!$B9/Параметры!I$64,H78))/2/I6 * Параметры!I30, "-")</f>
        <v>0</v>
      </c>
      <c r="J166" s="268">
        <f ca="1">IFERROR((J78+IF(J2=1,Старт!$B9/Параметры!J$64,I78))/2/J6 * Параметры!J30, "-")</f>
        <v>0</v>
      </c>
      <c r="K166" s="268">
        <f ca="1">IFERROR((K78+IF(K2=1,Старт!$B9/Параметры!K$64,J78))/2/K6 * Параметры!K30, "-")</f>
        <v>0</v>
      </c>
      <c r="L166" s="268">
        <f ca="1">IFERROR((L78+IF(L2=1,Старт!$B9/Параметры!L$64,K78))/2/L6 * Параметры!L30, "-")</f>
        <v>0</v>
      </c>
      <c r="M166" s="268">
        <f ca="1">IFERROR((M78+IF(M2=1,Старт!$B9/Параметры!M$64,L78))/2/M6 * Параметры!M30, "-")</f>
        <v>0</v>
      </c>
      <c r="N166" s="268">
        <f ca="1">IFERROR((N78+IF(N2=1,Старт!$B9/Параметры!N$64,M78))/2/N6 * Параметры!N30, "-")</f>
        <v>0</v>
      </c>
      <c r="O166" s="268">
        <f ca="1">IFERROR((O78+IF(O2=1,Старт!$B9/Параметры!O$64,N78))/2/O6 * Параметры!O30, "-")</f>
        <v>0</v>
      </c>
      <c r="P166" s="268">
        <f ca="1">IFERROR((P78+IF(P2=1,Старт!$B9/Параметры!P$64,O78))/2/P6 * Параметры!P30, "-")</f>
        <v>0</v>
      </c>
      <c r="Q166" s="268">
        <f ca="1">IFERROR((Q78+IF(Q2=1,Старт!$B9/Параметры!Q$64,P78))/2/Q6 * Параметры!Q30, "-")</f>
        <v>0</v>
      </c>
      <c r="R166" s="268">
        <f ca="1">IFERROR((R78+IF(R2=1,Старт!$B9/Параметры!R$64,Q78))/2/R6 * Параметры!R30, "-")</f>
        <v>0</v>
      </c>
      <c r="S166" s="268">
        <f ca="1">IFERROR((S78+IF(S2=1,Старт!$B9/Параметры!S$64,R78))/2/S6 * Параметры!S30, "-")</f>
        <v>0</v>
      </c>
      <c r="T166" s="268">
        <f ca="1">IFERROR((T78+IF(T2=1,Старт!$B9/Параметры!T$64,S78))/2/T6 * Параметры!T30, "-")</f>
        <v>0</v>
      </c>
      <c r="U166" s="268">
        <f ca="1">IFERROR((U78+IF(U2=1,Старт!$B9/Параметры!U$64,T78))/2/U6 * Параметры!U30, "-")</f>
        <v>0</v>
      </c>
      <c r="V166" s="268">
        <f ca="1">IFERROR((V78+IF(V2=1,Старт!$B9/Параметры!V$64,U78))/2/V6 * Параметры!V30, "-")</f>
        <v>0</v>
      </c>
      <c r="W166" s="268">
        <f ca="1">IFERROR((W78+IF(W2=1,Старт!$B9/Параметры!W$64,V78))/2/W6 * Параметры!W30, "-")</f>
        <v>0</v>
      </c>
      <c r="X166" s="268">
        <f ca="1">IFERROR((X78+IF(X2=1,Старт!$B9/Параметры!X$64,W78))/2/X6 * Параметры!X30, "-")</f>
        <v>0</v>
      </c>
      <c r="Y166" s="268">
        <f ca="1">IFERROR((Y78+IF(Y2=1,Старт!$B9/Параметры!Y$64,X78))/2/Y6 * Параметры!Y30, "-")</f>
        <v>0</v>
      </c>
      <c r="Z166" s="268">
        <f ca="1">IFERROR((Z78+IF(Z2=1,Старт!$B9/Параметры!Z$64,Y78))/2/Z6 * Параметры!Z30, "-")</f>
        <v>0</v>
      </c>
      <c r="AA166" s="268">
        <f ca="1">IFERROR((AA78+IF(AA2=1,Старт!$B9/Параметры!AA$64,Z78))/2/AA6 * Параметры!AA30, "-")</f>
        <v>0</v>
      </c>
      <c r="AB166" s="268">
        <f ca="1">IFERROR((AB78+IF(AB2=1,Старт!$B9/Параметры!AB$64,AA78))/2/AB6 * Параметры!AB30, "-")</f>
        <v>0</v>
      </c>
      <c r="AC166" s="268">
        <f ca="1">IFERROR((AC78+IF(AC2=1,Старт!$B9/Параметры!AC$64,AB78))/2/AC6 * Параметры!AC30, "-")</f>
        <v>0</v>
      </c>
      <c r="AD166" s="268">
        <f ca="1">IFERROR((AD78+IF(AD2=1,Старт!$B9/Параметры!AD$64,AC78))/2/AD6 * Параметры!AD30, "-")</f>
        <v>0</v>
      </c>
      <c r="AE166" s="268">
        <f ca="1">IFERROR((AE78+IF(AE2=1,Старт!$B9/Параметры!AE$64,AD78))/2/AE6 * Параметры!AE30, "-")</f>
        <v>0</v>
      </c>
      <c r="AF166" s="268">
        <f ca="1">IFERROR((AF78+IF(AF2=1,Старт!$B9/Параметры!AF$64,AE78))/2/AF6 * Параметры!AF30, "-")</f>
        <v>0</v>
      </c>
      <c r="AG166" s="268">
        <f ca="1">IFERROR((AG78+IF(AG2=1,Старт!$B9/Параметры!AG$64,AF78))/2/AG6 * Параметры!AG30, "-")</f>
        <v>0</v>
      </c>
      <c r="AH166" s="268">
        <f ca="1">IFERROR((AH78+IF(AH2=1,Старт!$B9/Параметры!AH$64,AG78))/2/AH6 * Параметры!AH30, "-")</f>
        <v>0</v>
      </c>
      <c r="AI166" s="268">
        <f ca="1">IFERROR((AI78+IF(AI2=1,Старт!$B9/Параметры!AI$64,AH78))/2/AI6 * Параметры!AI30, "-")</f>
        <v>0</v>
      </c>
      <c r="AJ166" s="268">
        <f ca="1">IFERROR((AJ78+IF(AJ2=1,Старт!$B9/Параметры!AJ$64,AI78))/2/AJ6 * Параметры!AJ30, "-")</f>
        <v>0</v>
      </c>
      <c r="AK166" s="268">
        <f ca="1">IFERROR((AK78+IF(AK2=1,Старт!$B9/Параметры!AK$64,AJ78))/2/AK6 * Параметры!AK30, "-")</f>
        <v>0</v>
      </c>
      <c r="AL166" s="268">
        <f ca="1">IFERROR((AL78+IF(AL2=1,Старт!$B9/Параметры!AL$64,AK78))/2/AL6 * Параметры!AL30, "-")</f>
        <v>0</v>
      </c>
      <c r="AM166" s="268">
        <f ca="1">IFERROR((AM78+IF(AM2=1,Старт!$B9/Параметры!AM$64,AL78))/2/AM6 * Параметры!AM30, "-")</f>
        <v>0</v>
      </c>
      <c r="AN166" s="268">
        <f ca="1">IFERROR((AN78+IF(AN2=1,Старт!$B9/Параметры!AN$64,AM78))/2/AN6 * Параметры!AN30, "-")</f>
        <v>0</v>
      </c>
      <c r="AO166" s="268">
        <f ca="1">IFERROR((AO78+IF(AO2=1,Старт!$B9/Параметры!AO$64,AN78))/2/AO6 * Параметры!AO30, "-")</f>
        <v>0</v>
      </c>
      <c r="AP166" s="268">
        <f ca="1">IFERROR((AP78+IF(AP2=1,Старт!$B9/Параметры!AP$64,AO78))/2/AP6 * Параметры!AP30, "-")</f>
        <v>0</v>
      </c>
      <c r="AQ166" s="268">
        <f ca="1">IFERROR((AQ78+IF(AQ2=1,Старт!$B9/Параметры!AQ$64,AP78))/2/AQ6 * Параметры!AQ30, "-")</f>
        <v>0</v>
      </c>
      <c r="AR166" s="268">
        <f ca="1">IFERROR((AR78+IF(AR2=1,Старт!$B9/Параметры!AR$64,AQ78))/2/AR6 * Параметры!AR30, "-")</f>
        <v>0</v>
      </c>
      <c r="AS166" s="268">
        <f ca="1">IFERROR((AS78+IF(AS2=1,Старт!$B9/Параметры!AS$64,AR78))/2/AS6 * Параметры!AS30, "-")</f>
        <v>0</v>
      </c>
      <c r="AT166" s="268">
        <f ca="1">IFERROR((AT78+IF(AT2=1,Старт!$B9/Параметры!AT$64,AS78))/2/AT6 * Параметры!AT30, "-")</f>
        <v>0</v>
      </c>
      <c r="AU166" s="268">
        <f ca="1">IFERROR((AU78+IF(AU2=1,Старт!$B9/Параметры!AU$64,AT78))/2/AU6 * Параметры!AU30, "-")</f>
        <v>0</v>
      </c>
      <c r="AV166" s="268">
        <f ca="1">IFERROR((AV78+IF(AV2=1,Старт!$B9/Параметры!AV$64,AU78))/2/AV6 * Параметры!AV30, "-")</f>
        <v>0</v>
      </c>
    </row>
    <row r="167" spans="1:50" x14ac:dyDescent="0.2">
      <c r="A167" s="65" t="str">
        <f ca="1">Language!A1310</f>
        <v>Период хранения сырья и материалов</v>
      </c>
      <c r="C167" s="130" t="str">
        <f ca="1">Language!$A$45</f>
        <v>дн.</v>
      </c>
      <c r="D167" s="57"/>
      <c r="E167" s="57"/>
      <c r="F167" s="57" t="s">
        <v>756</v>
      </c>
      <c r="G167" s="268">
        <f ca="1">IFERROR((G80+IF(G2=1,Старт!$B11/Параметры!G$64,F80))/2/G8 * Параметры!G30, "-")</f>
        <v>-581.42162233861768</v>
      </c>
      <c r="H167" s="268">
        <f ca="1">IFERROR((H80+IF(H2=1,Старт!$B11/Параметры!H$64,G80))/2/H8 * Параметры!H30, "-")</f>
        <v>-589.48010730670421</v>
      </c>
      <c r="I167" s="268">
        <f ca="1">IFERROR((I80+IF(I2=1,Старт!$B11/Параметры!I$64,H80))/2/I8 * Параметры!I30, "-")</f>
        <v>-375.6048329236117</v>
      </c>
      <c r="J167" s="268">
        <f ca="1">IFERROR((J80+IF(J2=1,Старт!$B11/Параметры!J$64,I80))/2/J8 * Параметры!J30, "-")</f>
        <v>-447.42162536693519</v>
      </c>
      <c r="K167" s="268">
        <f ca="1">IFERROR((K80+IF(K2=1,Старт!$B11/Параметры!K$64,J80))/2/K8 * Параметры!K30, "-")</f>
        <v>-388.77993492057271</v>
      </c>
      <c r="L167" s="268">
        <f ca="1">IFERROR((L80+IF(L2=1,Старт!$B11/Параметры!L$64,K80))/2/L8 * Параметры!L30, "-")</f>
        <v>-397.55662302401947</v>
      </c>
      <c r="M167" s="268">
        <f ca="1">IFERROR((M80+IF(M2=1,Старт!$B11/Параметры!M$64,L80))/2/M8 * Параметры!M30, "-")</f>
        <v>-291.81349221061714</v>
      </c>
      <c r="N167" s="268">
        <f ca="1">IFERROR((N80+IF(N2=1,Старт!$B11/Параметры!N$64,M80))/2/N8 * Параметры!N30, "-")</f>
        <v>-340.29626705815969</v>
      </c>
      <c r="O167" s="268">
        <f ca="1">IFERROR((O80+IF(O2=1,Старт!$B11/Параметры!O$64,N80))/2/O8 * Параметры!O30, "-")</f>
        <v>-302.63407882760714</v>
      </c>
      <c r="P167" s="268">
        <f ca="1">IFERROR((P80+IF(P2=1,Старт!$B11/Параметры!P$64,O80))/2/P8 * Параметры!P30, "-")</f>
        <v>-307.44555615542049</v>
      </c>
      <c r="Q167" s="268">
        <f ca="1">IFERROR((Q80+IF(Q2=1,Старт!$B11/Параметры!Q$64,P80))/2/Q8 * Параметры!Q30, "-")</f>
        <v>-242.58663059051565</v>
      </c>
      <c r="R167" s="268">
        <f ca="1">IFERROR((R80+IF(R2=1,Старт!$B11/Параметры!R$64,Q80))/2/R8 * Параметры!R30, "-")</f>
        <v>-286.12425349596117</v>
      </c>
      <c r="S167" s="268">
        <f ca="1">IFERROR((S80+IF(S2=1,Старт!$B11/Параметры!S$64,R80))/2/S8 * Параметры!S30, "-")</f>
        <v>-265.28175299736114</v>
      </c>
      <c r="T167" s="268">
        <f ca="1">IFERROR((T80+IF(T2=1,Старт!$B11/Параметры!T$64,S80))/2/T8 * Параметры!T30, "-")</f>
        <v>-277.90844229815309</v>
      </c>
      <c r="U167" s="268">
        <f ca="1">IFERROR((U80+IF(U2=1,Старт!$B11/Параметры!U$64,T80))/2/U8 * Параметры!U30, "-")</f>
        <v>-224.07502699447352</v>
      </c>
      <c r="V167" s="268">
        <f ca="1">IFERROR((V80+IF(V2=1,Старт!$B11/Параметры!V$64,U80))/2/V8 * Параметры!V30, "-")</f>
        <v>-263.20846101627103</v>
      </c>
      <c r="W167" s="268">
        <f ca="1">IFERROR((W80+IF(W2=1,Старт!$B11/Параметры!W$64,V80))/2/W8 * Параметры!W30, "-")</f>
        <v>-244.39568042701737</v>
      </c>
      <c r="X167" s="268">
        <f ca="1">IFERROR((X80+IF(X2=1,Старт!$B11/Параметры!X$64,W80))/2/X8 * Параметры!X30, "-")</f>
        <v>-255.65065703791714</v>
      </c>
      <c r="Y167" s="268">
        <f ca="1">IFERROR((Y80+IF(Y2=1,Старт!$B11/Параметры!Y$64,X80))/2/Y8 * Параметры!Y30, "-")</f>
        <v>-209.10096209863855</v>
      </c>
      <c r="Z167" s="268">
        <f ca="1">IFERROR((Z80+IF(Z2=1,Старт!$B11/Параметры!Z$64,Y80))/2/Z8 * Параметры!Z30, "-")</f>
        <v>-245.10963800079946</v>
      </c>
      <c r="AA167" s="268">
        <f ca="1">IFERROR((AA80+IF(AA2=1,Старт!$B11/Параметры!AA$64,Z80))/2/AA8 * Параметры!AA30, "-")</f>
        <v>-227.76027927220807</v>
      </c>
      <c r="AB167" s="268">
        <f ca="1">IFERROR((AB80+IF(AB2=1,Старт!$B11/Параметры!AB$64,AA80))/2/AB8 * Параметры!AB30, "-")</f>
        <v>-238.07152611768331</v>
      </c>
      <c r="AC167" s="268">
        <f ca="1">IFERROR((AC80+IF(AC2=1,Старт!$B11/Параметры!AC$64,AB80))/2/AC8 * Параметры!AC30, "-")</f>
        <v>-195.72787383887481</v>
      </c>
      <c r="AD167" s="268">
        <f ca="1">IFERROR((AD80+IF(AD2=1,Старт!$B11/Параметры!AD$64,AC80))/2/AD8 * Параметры!AD30, "-")</f>
        <v>-229.09547332148534</v>
      </c>
      <c r="AE167" s="268">
        <f ca="1">IFERROR((AE80+IF(AE2=1,Старт!$B11/Параметры!AE$64,AD80))/2/AE8 * Параметры!AE30, "-")</f>
        <v>-212.9922774124978</v>
      </c>
      <c r="AF167" s="268">
        <f ca="1">IFERROR((AF80+IF(AF2=1,Старт!$B11/Параметры!AF$64,AE80))/2/AF8 * Параметры!AF30, "-")</f>
        <v>-222.51719436720444</v>
      </c>
      <c r="AG167" s="268">
        <f ca="1">IFERROR((AG80+IF(AG2=1,Старт!$B11/Параметры!AG$64,AF80))/2/AG8 * Параметры!AG30, "-")</f>
        <v>-184.41944132924704</v>
      </c>
      <c r="AH167" s="268">
        <f ca="1">IFERROR((AH80+IF(AH2=1,Старт!$B11/Параметры!AH$64,AG80))/2/AH8 * Параметры!AH30, "-")</f>
        <v>-215.80885073014818</v>
      </c>
      <c r="AI167" s="268">
        <f ca="1">IFERROR((AI80+IF(AI2=1,Старт!$B11/Параметры!AI$64,AH80))/2/AI8 * Параметры!AI30, "-")</f>
        <v>-200.65635057226373</v>
      </c>
      <c r="AJ167" s="268">
        <f ca="1">IFERROR((AJ80+IF(AJ2=1,Старт!$B11/Параметры!AJ$64,AI80))/2/AJ8 * Параметры!AJ30, "-")</f>
        <v>-209.61208568576203</v>
      </c>
      <c r="AK167" s="268">
        <f ca="1">IFERROR((AK80+IF(AK2=1,Старт!$B11/Параметры!AK$64,AJ80))/2/AK8 * Параметры!AK30, "-")</f>
        <v>-173.83764593855943</v>
      </c>
      <c r="AL167" s="268">
        <f ca="1">IFERROR((AL80+IF(AL2=1,Старт!$B11/Параметры!AL$64,AK80))/2/AL8 * Параметры!AL30, "-")</f>
        <v>-203.39464752563401</v>
      </c>
      <c r="AM167" s="268">
        <f ca="1">IFERROR((AM80+IF(AM2=1,Старт!$B11/Параметры!AM$64,AL80))/2/AM8 * Параметры!AM30, "-")</f>
        <v>-189.12421743152402</v>
      </c>
      <c r="AN167" s="268">
        <f ca="1">IFERROR((AN80+IF(AN2=1,Старт!$B11/Параметры!AN$64,AM80))/2/AN8 * Параметры!AN30, "-")</f>
        <v>-197.55434562078719</v>
      </c>
      <c r="AO167" s="268">
        <f ca="1">IFERROR((AO80+IF(AO2=1,Старт!$B11/Параметры!AO$64,AN80))/2/AO8 * Параметры!AO30, "-")</f>
        <v>-163.78434010269945</v>
      </c>
      <c r="AP167" s="268">
        <f ca="1">IFERROR((AP80+IF(AP2=1,Старт!$B11/Параметры!AP$64,AO80))/2/AP8 * Параметры!AP30, "-")</f>
        <v>-191.58533762676029</v>
      </c>
      <c r="AQ167" s="268">
        <f ca="1">IFERROR((AQ80+IF(AQ2=1,Старт!$B11/Параметры!AQ$64,AP80))/2/AQ8 * Параметры!AQ30, "-")</f>
        <v>-178.1590177969419</v>
      </c>
      <c r="AR167" s="268">
        <f ca="1">IFERROR((AR80+IF(AR2=1,Старт!$B11/Параметры!AR$64,AQ80))/2/AR8 * Параметры!AR30, "-")</f>
        <v>-186.08412987181546</v>
      </c>
      <c r="AS167" s="268">
        <f ca="1">IFERROR((AS80+IF(AS2=1,Старт!$B11/Параметры!AS$64,AR80))/2/AS8 * Параметры!AS30, "-")</f>
        <v>-152.25622139864626</v>
      </c>
      <c r="AT167" s="268">
        <f ca="1">IFERROR((AT80+IF(AT2=1,Старт!$B11/Параметры!AT$64,AS80))/2/AT8 * Параметры!AT30, "-")</f>
        <v>-177.61543393330223</v>
      </c>
      <c r="AU167" s="268">
        <f ca="1">IFERROR((AU80+IF(AU2=1,Старт!$B11/Параметры!AU$64,AT80))/2/AU8 * Параметры!AU30, "-")</f>
        <v>-165.32947004718721</v>
      </c>
      <c r="AV167" s="268">
        <f ca="1">IFERROR((AV80+IF(AV2=1,Старт!$B11/Параметры!AV$64,AU80))/2/AV8 * Параметры!AV30, "-")</f>
        <v>-172.51535991586712</v>
      </c>
    </row>
    <row r="168" spans="1:50" x14ac:dyDescent="0.2">
      <c r="A168" s="65"/>
      <c r="D168" s="57"/>
      <c r="E168" s="57"/>
      <c r="F168" s="57"/>
    </row>
    <row r="169" spans="1:50" x14ac:dyDescent="0.2">
      <c r="A169" s="65" t="str">
        <f ca="1">Language!A1311</f>
        <v>Оборачиваемость внеоборотных активов</v>
      </c>
      <c r="C169" s="130" t="str">
        <f ca="1">Language!$A$1450</f>
        <v>раз в год</v>
      </c>
      <c r="D169" s="57"/>
      <c r="E169" s="57"/>
      <c r="F169" s="57" t="s">
        <v>756</v>
      </c>
      <c r="G169" s="268">
        <f ca="1">IFERROR(G6/((G93+IF(G2=1,Старт!$B24/Параметры!G$64,F93))/2) * 12/Параметры!G31, "-")</f>
        <v>0.35838707795447772</v>
      </c>
      <c r="H169" s="268">
        <f ca="1">IFERROR(H6/((H93+IF(H2=1,Старт!$B24/Параметры!H$64,G93))/2) * 12/Параметры!H31, "-")</f>
        <v>0.19872483385897435</v>
      </c>
      <c r="I169" s="268">
        <f ca="1">IFERROR(I6/((I93+IF(I2=1,Старт!$B24/Параметры!I$64,H93))/2) * 12/Параметры!I31, "-")</f>
        <v>0.2693134516687028</v>
      </c>
      <c r="J169" s="268">
        <f ca="1">IFERROR(J6/((J93+IF(J2=1,Старт!$B24/Параметры!J$64,I93))/2) * 12/Параметры!J31, "-")</f>
        <v>0.3107625022561486</v>
      </c>
      <c r="K169" s="268">
        <f ca="1">IFERROR(K6/((K93+IF(K2=1,Старт!$B24/Параметры!K$64,J93))/2) * 12/Параметры!K31, "-")</f>
        <v>0.59648584264601767</v>
      </c>
      <c r="L169" s="268">
        <f ca="1">IFERROR(L6/((L93+IF(L2=1,Старт!$B24/Параметры!L$64,K93))/2) * 12/Параметры!L31, "-")</f>
        <v>0.38537487380709723</v>
      </c>
      <c r="M169" s="268">
        <f ca="1">IFERROR(M6/((M93+IF(M2=1,Старт!$B24/Параметры!M$64,L93))/2) * 12/Параметры!M31, "-")</f>
        <v>0.43234321976144069</v>
      </c>
      <c r="N169" s="268">
        <f ca="1">IFERROR(N6/((N93+IF(N2=1,Старт!$B24/Параметры!N$64,M93))/2) * 12/Параметры!N31, "-")</f>
        <v>0.47790462648420046</v>
      </c>
      <c r="O169" s="268">
        <f ca="1">IFERROR(O6/((O93+IF(O2=1,Старт!$B24/Параметры!O$64,N93))/2) * 12/Параметры!O31, "-")</f>
        <v>0.84688984177767723</v>
      </c>
      <c r="P169" s="268">
        <f ca="1">IFERROR(P6/((P93+IF(P2=1,Старт!$B24/Параметры!P$64,O93))/2) * 12/Параметры!P31, "-")</f>
        <v>0.58088899754029211</v>
      </c>
      <c r="Q169" s="268">
        <f ca="1">IFERROR(Q6/((Q93+IF(Q2=1,Старт!$B24/Параметры!Q$64,P93))/2) * 12/Параметры!Q31, "-")</f>
        <v>0.63701820917985952</v>
      </c>
      <c r="R169" s="268">
        <f ca="1">IFERROR(R6/((R93+IF(R2=1,Старт!$B24/Параметры!R$64,Q93))/2) * 12/Параметры!R31, "-")</f>
        <v>0.66953427371411911</v>
      </c>
      <c r="S169" s="268">
        <f ca="1">IFERROR(S6/((S93+IF(S2=1,Старт!$B24/Параметры!S$64,R93))/2) * 12/Параметры!S31, "-")</f>
        <v>1.0937749515820037</v>
      </c>
      <c r="T169" s="268">
        <f ca="1">IFERROR(T6/((T93+IF(T2=1,Старт!$B24/Параметры!T$64,S93))/2) * 12/Параметры!T31, "-")</f>
        <v>0.74256095031821256</v>
      </c>
      <c r="U169" s="268">
        <f ca="1">IFERROR(U6/((U93+IF(U2=1,Старт!$B24/Параметры!U$64,T93))/2) * 12/Параметры!U31, "-")</f>
        <v>0.82015224017566057</v>
      </c>
      <c r="V169" s="268">
        <f ca="1">IFERROR(V6/((V93+IF(V2=1,Старт!$B24/Параметры!V$64,U93))/2) * 12/Параметры!V31, "-")</f>
        <v>0.86700889776713785</v>
      </c>
      <c r="W169" s="268">
        <f ca="1">IFERROR(W6/((W93+IF(W2=1,Старт!$B24/Параметры!W$64,V93))/2) * 12/Параметры!W31, "-")</f>
        <v>1.4027183018018736</v>
      </c>
      <c r="X169" s="268">
        <f ca="1">IFERROR(X6/((X93+IF(X2=1,Старт!$B24/Параметры!X$64,W93))/2) * 12/Параметры!X31, "-")</f>
        <v>0.97416590590661623</v>
      </c>
      <c r="Y169" s="268">
        <f ca="1">IFERROR(Y6/((Y93+IF(Y2=1,Старт!$B24/Параметры!Y$64,X93))/2) * 12/Параметры!Y31, "-")</f>
        <v>1.0378927877131061</v>
      </c>
      <c r="Z169" s="268">
        <f ca="1">IFERROR(Z6/((Z93+IF(Z2=1,Старт!$B24/Параметры!Z$64,Y93))/2) * 12/Параметры!Z31, "-")</f>
        <v>1.1060476549104479</v>
      </c>
      <c r="AA169" s="268">
        <f ca="1">IFERROR(AA6/((AA93+IF(AA2=1,Старт!$B24/Параметры!AA$64,Z93))/2) * 12/Параметры!AA31, "-")</f>
        <v>1.8040212114157181</v>
      </c>
      <c r="AB169" s="268">
        <f ca="1">IFERROR(AB6/((AB93+IF(AB2=1,Старт!$B24/Параметры!AB$64,AA93))/2) * 12/Параметры!AB31, "-")</f>
        <v>1.2659912828032489</v>
      </c>
      <c r="AC169" s="268">
        <f ca="1">IFERROR(AC6/((AC93+IF(AC2=1,Старт!$B24/Параметры!AC$64,AB93))/2) * 12/Параметры!AC31, "-")</f>
        <v>1.3867148768915272</v>
      </c>
      <c r="AD169" s="268">
        <f ca="1">IFERROR(AD6/((AD93+IF(AD2=1,Старт!$B24/Параметры!AD$64,AC93))/2) * 12/Параметры!AD31, "-")</f>
        <v>1.4955667631507337</v>
      </c>
      <c r="AE169" s="268">
        <f ca="1">IFERROR(AE6/((AE93+IF(AE2=1,Старт!$B24/Параметры!AE$64,AD93))/2) * 12/Параметры!AE31, "-")</f>
        <v>2.4561899594951058</v>
      </c>
      <c r="AF169" s="268">
        <f ca="1">IFERROR(AF6/((AF93+IF(AF2=1,Старт!$B24/Параметры!AF$64,AE93))/2) * 12/Параметры!AF31, "-")</f>
        <v>1.7613568158691091</v>
      </c>
      <c r="AG169" s="268">
        <f ca="1">IFERROR(AG6/((AG93+IF(AG2=1,Старт!$B24/Параметры!AG$64,AF93))/2) * 12/Параметры!AG31, "-")</f>
        <v>1.9348815839029341</v>
      </c>
      <c r="AH169" s="268">
        <f ca="1">IFERROR(AH6/((AH93+IF(AH2=1,Старт!$B24/Параметры!AH$64,AG93))/2) * 12/Параметры!AH31, "-")</f>
        <v>2.1282768884031156</v>
      </c>
      <c r="AI169" s="268">
        <f ca="1">IFERROR(AI6/((AI93+IF(AI2=1,Старт!$B24/Параметры!AI$64,AH93))/2) * 12/Параметры!AI31, "-")</f>
        <v>3.5702482092056869</v>
      </c>
      <c r="AJ169" s="268">
        <f ca="1">IFERROR(AJ6/((AJ93+IF(AJ2=1,Старт!$B24/Параметры!AJ$64,AI93))/2) * 12/Параметры!AJ31, "-")</f>
        <v>2.6339323412576356</v>
      </c>
      <c r="AK169" s="268">
        <f ca="1">IFERROR(AK6/((AK93+IF(AK2=1,Старт!$B24/Параметры!AK$64,AJ93))/2) * 12/Параметры!AK31, "-")</f>
        <v>2.9679529643226878</v>
      </c>
      <c r="AL169" s="268">
        <f ca="1">IFERROR(AL6/((AL93+IF(AL2=1,Старт!$B24/Параметры!AL$64,AK93))/2) * 12/Параметры!AL31, "-")</f>
        <v>3.3927844640188418</v>
      </c>
      <c r="AM169" s="268">
        <f ca="1">IFERROR(AM6/((AM93+IF(AM2=1,Старт!$B24/Параметры!AM$64,AL93))/2) * 12/Параметры!AM31, "-")</f>
        <v>5.9722581729664297</v>
      </c>
      <c r="AN169" s="268">
        <f ca="1">IFERROR(AN6/((AN93+IF(AN2=1,Старт!$B24/Параметры!AN$64,AM93))/2) * 12/Параметры!AN31, "-")</f>
        <v>4.6775030245437375</v>
      </c>
      <c r="AO169" s="268">
        <f ca="1">IFERROR(AO6/((AO93+IF(AO2=1,Старт!$B24/Параметры!AO$64,AN93))/2) * 12/Параметры!AO31, "-")</f>
        <v>5.7138315455316588</v>
      </c>
      <c r="AP169" s="268">
        <f ca="1">IFERROR(AP6/((AP93+IF(AP2=1,Старт!$B24/Параметры!AP$64,AO93))/2) * 12/Параметры!AP31, "-")</f>
        <v>7.284868401141348</v>
      </c>
      <c r="AQ169" s="268">
        <f ca="1">IFERROR(AQ6/((AQ93+IF(AQ2=1,Старт!$B24/Параметры!AQ$64,AP93))/2) * 12/Параметры!AQ31, "-")</f>
        <v>13.024303843771483</v>
      </c>
      <c r="AR169" s="268">
        <f ca="1">IFERROR(AR6/((AR93+IF(AR2=1,Старт!$B24/Параметры!AR$64,AQ93))/2) * 12/Параметры!AR31, "-")</f>
        <v>8.9665534096470214</v>
      </c>
      <c r="AS169" s="268">
        <f ca="1">IFERROR(AS6/((AS93+IF(AS2=1,Старт!$B24/Параметры!AS$64,AR93))/2) * 12/Параметры!AS31, "-")</f>
        <v>8.9885296570241451</v>
      </c>
      <c r="AT169" s="268">
        <f ca="1">IFERROR(AT6/((AT93+IF(AT2=1,Старт!$B24/Параметры!AT$64,AS93))/2) * 12/Параметры!AT31, "-")</f>
        <v>9.3921146653601184</v>
      </c>
      <c r="AU169" s="268">
        <f ca="1">IFERROR(AU6/((AU93+IF(AU2=1,Старт!$B24/Параметры!AU$64,AT93))/2) * 12/Параметры!AU31, "-")</f>
        <v>14.890243364936753</v>
      </c>
      <c r="AV169" s="268">
        <f ca="1">IFERROR(AV6/((AV93+IF(AV2=1,Старт!$B24/Параметры!AV$64,AU93))/2) * 12/Параметры!AV31, "-")</f>
        <v>9.8647074494572173</v>
      </c>
    </row>
    <row r="170" spans="1:50" x14ac:dyDescent="0.2">
      <c r="A170" s="65" t="str">
        <f ca="1">Language!A1312</f>
        <v>Оборачиваемость суммарных активов</v>
      </c>
      <c r="C170" s="130" t="str">
        <f ca="1">Language!$A$1450</f>
        <v>раз в год</v>
      </c>
      <c r="D170" s="57"/>
      <c r="E170" s="57"/>
      <c r="F170" s="57" t="s">
        <v>756</v>
      </c>
      <c r="G170" s="268">
        <f ca="1">IFERROR(G6/((G95+IF(G2=1,Старт!$B26/Параметры!G$64,F95))/2) * 12/Параметры!G31, "-")</f>
        <v>0.29149535492126566</v>
      </c>
      <c r="H170" s="268">
        <f ca="1">IFERROR(H6/((H95+IF(H2=1,Старт!$B26/Параметры!H$64,G95))/2) * 12/Параметры!H31, "-")</f>
        <v>0.16273761665099234</v>
      </c>
      <c r="I170" s="268">
        <f ca="1">IFERROR(I6/((I95+IF(I2=1,Старт!$B26/Параметры!I$64,H95))/2) * 12/Параметры!I31, "-")</f>
        <v>0.21791293988872051</v>
      </c>
      <c r="J170" s="268">
        <f ca="1">IFERROR(J6/((J95+IF(J2=1,Старт!$B26/Параметры!J$64,I95))/2) * 12/Параметры!J31, "-")</f>
        <v>0.24433883307594292</v>
      </c>
      <c r="K170" s="268">
        <f ca="1">IFERROR(K6/((K95+IF(K2=1,Старт!$B26/Параметры!K$64,J95))/2) * 12/Параметры!K31, "-")</f>
        <v>0.44623811178298656</v>
      </c>
      <c r="L170" s="268">
        <f ca="1">IFERROR(L6/((L95+IF(L2=1,Старт!$B26/Параметры!L$64,K95))/2) * 12/Параметры!L31, "-")</f>
        <v>0.27476635345619521</v>
      </c>
      <c r="M170" s="268">
        <f ca="1">IFERROR(M6/((M95+IF(M2=1,Старт!$B26/Параметры!M$64,L95))/2) * 12/Параметры!M31, "-")</f>
        <v>0.30069998402262044</v>
      </c>
      <c r="N170" s="268">
        <f ca="1">IFERROR(N6/((N95+IF(N2=1,Старт!$B26/Параметры!N$64,M95))/2) * 12/Параметры!N31, "-")</f>
        <v>0.32284965715176234</v>
      </c>
      <c r="O170" s="268">
        <f ca="1">IFERROR(O6/((O95+IF(O2=1,Старт!$B26/Параметры!O$64,N95))/2) * 12/Параметры!O31, "-")</f>
        <v>0.53739469304469056</v>
      </c>
      <c r="P170" s="268">
        <f ca="1">IFERROR(P6/((P95+IF(P2=1,Старт!$B26/Параметры!P$64,O95))/2) * 12/Параметры!P31, "-")</f>
        <v>0.34538986023489837</v>
      </c>
      <c r="Q170" s="268">
        <f ca="1">IFERROR(Q6/((Q95+IF(Q2=1,Старт!$B26/Параметры!Q$64,P95))/2) * 12/Параметры!Q31, "-")</f>
        <v>0.36370881400328181</v>
      </c>
      <c r="R170" s="268">
        <f ca="1">IFERROR(R6/((R95+IF(R2=1,Старт!$B26/Параметры!R$64,Q95))/2) * 12/Параметры!R31, "-")</f>
        <v>0.36572530079457127</v>
      </c>
      <c r="S170" s="268">
        <f ca="1">IFERROR(S6/((S95+IF(S2=1,Старт!$B26/Параметры!S$64,R95))/2) * 12/Параметры!S31, "-")</f>
        <v>0.55465431051211889</v>
      </c>
      <c r="T170" s="268">
        <f ca="1">IFERROR(T6/((T95+IF(T2=1,Старт!$B26/Параметры!T$64,S95))/2) * 12/Параметры!T31, "-")</f>
        <v>0.34973479115010914</v>
      </c>
      <c r="U170" s="268">
        <f ca="1">IFERROR(U6/((U95+IF(U2=1,Старт!$B26/Параметры!U$64,T95))/2) * 12/Параметры!U31, "-")</f>
        <v>0.3698692265610608</v>
      </c>
      <c r="V170" s="268">
        <f ca="1">IFERROR(V6/((V95+IF(V2=1,Старт!$B26/Параметры!V$64,U95))/2) * 12/Параметры!V31, "-")</f>
        <v>0.37622824534121757</v>
      </c>
      <c r="W170" s="268">
        <f ca="1">IFERROR(W6/((W95+IF(W2=1,Старт!$B26/Параметры!W$64,V95))/2) * 12/Параметры!W31, "-")</f>
        <v>0.57598103495312325</v>
      </c>
      <c r="X170" s="268">
        <f ca="1">IFERROR(X6/((X95+IF(X2=1,Старт!$B26/Параметры!X$64,W95))/2) * 12/Параметры!X31, "-")</f>
        <v>0.38072710465624987</v>
      </c>
      <c r="Y170" s="268">
        <f ca="1">IFERROR(Y6/((Y95+IF(Y2=1,Старт!$B26/Параметры!Y$64,X95))/2) * 12/Параметры!Y31, "-")</f>
        <v>0.3912530351179897</v>
      </c>
      <c r="Z170" s="268">
        <f ca="1">IFERROR(Z6/((Z95+IF(Z2=1,Старт!$B26/Параметры!Z$64,Y95))/2) * 12/Параметры!Z31, "-")</f>
        <v>0.39829940188581542</v>
      </c>
      <c r="AA170" s="268">
        <f ca="1">IFERROR(AA6/((AA95+IF(AA2=1,Старт!$B26/Параметры!AA$64,Z95))/2) * 12/Параметры!AA31, "-")</f>
        <v>0.60918708875221661</v>
      </c>
      <c r="AB170" s="268">
        <f ca="1">IFERROR(AB6/((AB95+IF(AB2=1,Старт!$B26/Параметры!AB$64,AA95))/2) * 12/Параметры!AB31, "-")</f>
        <v>0.40304438459125141</v>
      </c>
      <c r="AC170" s="268">
        <f ca="1">IFERROR(AC6/((AC95+IF(AC2=1,Старт!$B26/Параметры!AC$64,AB95))/2) * 12/Параметры!AC31, "-")</f>
        <v>0.42151032812571976</v>
      </c>
      <c r="AD170" s="268">
        <f ca="1">IFERROR(AD6/((AD95+IF(AD2=1,Старт!$B26/Параметры!AD$64,AC95))/2) * 12/Параметры!AD31, "-")</f>
        <v>0.42905441861316657</v>
      </c>
      <c r="AE170" s="268">
        <f ca="1">IFERROR(AE6/((AE95+IF(AE2=1,Старт!$B26/Параметры!AE$64,AD95))/2) * 12/Параметры!AE31, "-")</f>
        <v>0.6514830573861532</v>
      </c>
      <c r="AF170" s="268">
        <f ca="1">IFERROR(AF6/((AF95+IF(AF2=1,Старт!$B26/Параметры!AF$64,AE95))/2) * 12/Параметры!AF31, "-")</f>
        <v>0.43374281080058902</v>
      </c>
      <c r="AG170" s="268">
        <f ca="1">IFERROR(AG6/((AG95+IF(AG2=1,Старт!$B26/Параметры!AG$64,AF95))/2) * 12/Параметры!AG31, "-")</f>
        <v>0.44765445708027868</v>
      </c>
      <c r="AH170" s="268">
        <f ca="1">IFERROR(AH6/((AH95+IF(AH2=1,Старт!$B26/Параметры!AH$64,AG95))/2) * 12/Параметры!AH31, "-")</f>
        <v>0.45604138283690338</v>
      </c>
      <c r="AI170" s="268">
        <f ca="1">IFERROR(AI6/((AI95+IF(AI2=1,Старт!$B26/Параметры!AI$64,AH95))/2) * 12/Параметры!AI31, "-")</f>
        <v>0.69110895614555512</v>
      </c>
      <c r="AJ170" s="268">
        <f ca="1">IFERROR(AJ6/((AJ95+IF(AJ2=1,Старт!$B26/Параметры!AJ$64,AI95))/2) * 12/Параметры!AJ31, "-")</f>
        <v>0.46094443536598545</v>
      </c>
      <c r="AK170" s="268">
        <f ca="1">IFERROR(AK6/((AK95+IF(AK2=1,Старт!$B26/Параметры!AK$64,AJ95))/2) * 12/Параметры!AK31, "-")</f>
        <v>0.47335898539309545</v>
      </c>
      <c r="AL170" s="268">
        <f ca="1">IFERROR(AL6/((AL95+IF(AL2=1,Старт!$B26/Параметры!AL$64,AK95))/2) * 12/Параметры!AL31, "-")</f>
        <v>0.48273856375164925</v>
      </c>
      <c r="AM170" s="268">
        <f ca="1">IFERROR(AM6/((AM95+IF(AM2=1,Старт!$B26/Параметры!AM$64,AL95))/2) * 12/Параметры!AM31, "-")</f>
        <v>0.71382278684937672</v>
      </c>
      <c r="AN170" s="268">
        <f ca="1">IFERROR(AN6/((AN95+IF(AN2=1,Старт!$B26/Параметры!AN$64,AM95))/2) * 12/Параметры!AN31, "-")</f>
        <v>0.45355196023274186</v>
      </c>
      <c r="AO170" s="268">
        <f ca="1">IFERROR(AO6/((AO95+IF(AO2=1,Старт!$B26/Параметры!AO$64,AN95))/2) * 12/Параметры!AO31, "-")</f>
        <v>0.4497359989603737</v>
      </c>
      <c r="AP170" s="268">
        <f ca="1">IFERROR(AP6/((AP95+IF(AP2=1,Старт!$B26/Параметры!AP$64,AO95))/2) * 12/Параметры!AP31, "-")</f>
        <v>0.44552722195970368</v>
      </c>
      <c r="AQ170" s="268">
        <f ca="1">IFERROR(AQ6/((AQ95+IF(AQ2=1,Старт!$B26/Параметры!AQ$64,AP95))/2) * 12/Параметры!AQ31, "-")</f>
        <v>0.64348202203128702</v>
      </c>
      <c r="AR170" s="268">
        <f ca="1">IFERROR(AR6/((AR95+IF(AR2=1,Старт!$B26/Параметры!AR$64,AQ95))/2) * 12/Параметры!AR31, "-")</f>
        <v>0.40388723750201838</v>
      </c>
      <c r="AS170" s="268">
        <f ca="1">IFERROR(AS6/((AS95+IF(AS2=1,Старт!$B26/Параметры!AS$64,AR95))/2) * 12/Параметры!AS31, "-")</f>
        <v>0.38151992203460749</v>
      </c>
      <c r="AT170" s="268">
        <f ca="1">IFERROR(AT6/((AT95+IF(AT2=1,Старт!$B26/Параметры!AT$64,AS95))/2) * 12/Параметры!AT31, "-")</f>
        <v>0.37598339088533178</v>
      </c>
      <c r="AU170" s="268">
        <f ca="1">IFERROR(AU6/((AU95+IF(AU2=1,Старт!$B26/Параметры!AU$64,AT95))/2) * 12/Параметры!AU31, "-")</f>
        <v>0.55360597120969357</v>
      </c>
      <c r="AV170" s="268">
        <f ca="1">IFERROR(AV6/((AV95+IF(AV2=1,Старт!$B26/Параметры!AV$64,AU95))/2) * 12/Параметры!AV31, "-")</f>
        <v>0.34626645666182271</v>
      </c>
    </row>
    <row r="171" spans="1:50" x14ac:dyDescent="0.2">
      <c r="A171" s="67"/>
      <c r="B171" s="248"/>
      <c r="C171" s="133"/>
      <c r="D171" s="68"/>
      <c r="E171" s="68" t="s">
        <v>708</v>
      </c>
      <c r="F171" s="68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</row>
    <row r="172" spans="1:50" x14ac:dyDescent="0.2">
      <c r="D172" s="57"/>
      <c r="E172" s="57"/>
      <c r="F172" s="57"/>
    </row>
    <row r="173" spans="1:50" x14ac:dyDescent="0.2">
      <c r="D173" s="57"/>
      <c r="E173" s="57"/>
      <c r="F173" s="57"/>
    </row>
    <row r="174" spans="1:50" s="64" customFormat="1" ht="25.5" customHeight="1" thickBot="1" x14ac:dyDescent="0.25">
      <c r="A174" s="118" t="str">
        <f ca="1">Language!A1313</f>
        <v>ЭФФЕКТИВНОСТЬ ДЛЯ ПРОЕКТА (FCFF)</v>
      </c>
      <c r="B174" s="241"/>
      <c r="C174" s="242"/>
      <c r="D174" s="121"/>
      <c r="E174" s="121" t="s">
        <v>903</v>
      </c>
      <c r="F174" s="121"/>
      <c r="G174" s="69" t="str">
        <f ca="1">Параметры!G$34</f>
        <v>4 кв. 2022</v>
      </c>
      <c r="H174" s="140" t="str">
        <f ca="1">Параметры!H$34</f>
        <v>1 кв. 2023</v>
      </c>
      <c r="I174" s="140" t="str">
        <f ca="1">Параметры!I$34</f>
        <v>2 кв. 2023</v>
      </c>
      <c r="J174" s="140" t="str">
        <f ca="1">Параметры!J$34</f>
        <v>3 кв. 2023</v>
      </c>
      <c r="K174" s="140" t="str">
        <f ca="1">Параметры!K$34</f>
        <v>4 кв. 2023</v>
      </c>
      <c r="L174" s="140" t="str">
        <f ca="1">Параметры!L$34</f>
        <v>1 кв. 2024</v>
      </c>
      <c r="M174" s="140" t="str">
        <f ca="1">Параметры!M$34</f>
        <v>2 кв. 2024</v>
      </c>
      <c r="N174" s="140" t="str">
        <f ca="1">Параметры!N$34</f>
        <v>3 кв. 2024</v>
      </c>
      <c r="O174" s="140" t="str">
        <f ca="1">Параметры!O$34</f>
        <v>4 кв. 2024</v>
      </c>
      <c r="P174" s="140" t="str">
        <f ca="1">Параметры!P$34</f>
        <v>1 кв. 2025</v>
      </c>
      <c r="Q174" s="140" t="str">
        <f ca="1">Параметры!Q$34</f>
        <v>2 кв. 2025</v>
      </c>
      <c r="R174" s="140" t="str">
        <f ca="1">Параметры!R$34</f>
        <v>3 кв. 2025</v>
      </c>
      <c r="S174" s="140" t="str">
        <f ca="1">Параметры!S$34</f>
        <v>4 кв. 2025</v>
      </c>
      <c r="T174" s="140" t="str">
        <f ca="1">Параметры!T$34</f>
        <v>1 кв. 2026</v>
      </c>
      <c r="U174" s="140" t="str">
        <f ca="1">Параметры!U$34</f>
        <v>2 кв. 2026</v>
      </c>
      <c r="V174" s="140" t="str">
        <f ca="1">Параметры!V$34</f>
        <v>3 кв. 2026</v>
      </c>
      <c r="W174" s="140" t="str">
        <f ca="1">Параметры!W$34</f>
        <v>4 кв. 2026</v>
      </c>
      <c r="X174" s="140" t="str">
        <f ca="1">Параметры!X$34</f>
        <v>1 кв. 2027</v>
      </c>
      <c r="Y174" s="140" t="str">
        <f ca="1">Параметры!Y$34</f>
        <v>2 кв. 2027</v>
      </c>
      <c r="Z174" s="140" t="str">
        <f ca="1">Параметры!Z$34</f>
        <v>3 кв. 2027</v>
      </c>
      <c r="AA174" s="140" t="str">
        <f ca="1">Параметры!AA$34</f>
        <v>4 кв. 2027</v>
      </c>
      <c r="AB174" s="140" t="str">
        <f ca="1">Параметры!AB$34</f>
        <v>1 кв. 2028</v>
      </c>
      <c r="AC174" s="140" t="str">
        <f ca="1">Параметры!AC$34</f>
        <v>2 кв. 2028</v>
      </c>
      <c r="AD174" s="140" t="str">
        <f ca="1">Параметры!AD$34</f>
        <v>3 кв. 2028</v>
      </c>
      <c r="AE174" s="140" t="str">
        <f ca="1">Параметры!AE$34</f>
        <v>4 кв. 2028</v>
      </c>
      <c r="AF174" s="140" t="str">
        <f ca="1">Параметры!AF$34</f>
        <v>1 кв. 2029</v>
      </c>
      <c r="AG174" s="140" t="str">
        <f ca="1">Параметры!AG$34</f>
        <v>2 кв. 2029</v>
      </c>
      <c r="AH174" s="140" t="str">
        <f ca="1">Параметры!AH$34</f>
        <v>3 кв. 2029</v>
      </c>
      <c r="AI174" s="140" t="str">
        <f ca="1">Параметры!AI$34</f>
        <v>4 кв. 2029</v>
      </c>
      <c r="AJ174" s="140" t="str">
        <f ca="1">Параметры!AJ$34</f>
        <v>1 кв. 2030</v>
      </c>
      <c r="AK174" s="140" t="str">
        <f ca="1">Параметры!AK$34</f>
        <v>2 кв. 2030</v>
      </c>
      <c r="AL174" s="140" t="str">
        <f ca="1">Параметры!AL$34</f>
        <v>3 кв. 2030</v>
      </c>
      <c r="AM174" s="140" t="str">
        <f ca="1">Параметры!AM$34</f>
        <v>4 кв. 2030</v>
      </c>
      <c r="AN174" s="140" t="str">
        <f ca="1">Параметры!AN$34</f>
        <v>1 кв. 2031</v>
      </c>
      <c r="AO174" s="140" t="str">
        <f ca="1">Параметры!AO$34</f>
        <v>2 кв. 2031</v>
      </c>
      <c r="AP174" s="140" t="str">
        <f ca="1">Параметры!AP$34</f>
        <v>3 кв. 2031</v>
      </c>
      <c r="AQ174" s="140" t="str">
        <f ca="1">Параметры!AQ$34</f>
        <v>4 кв. 2031</v>
      </c>
      <c r="AR174" s="140" t="str">
        <f ca="1">Параметры!AR$34</f>
        <v>1 кв. 2032</v>
      </c>
      <c r="AS174" s="140" t="str">
        <f ca="1">Параметры!AS$34</f>
        <v>2 кв. 2032</v>
      </c>
      <c r="AT174" s="140" t="str">
        <f ca="1">Параметры!AT$34</f>
        <v>3 кв. 2032</v>
      </c>
      <c r="AU174" s="140" t="str">
        <f ca="1">Параметры!AU$34</f>
        <v>4 кв. 2032</v>
      </c>
      <c r="AV174" s="140" t="str">
        <f ca="1">Параметры!AV$34</f>
        <v>1 кв. 2033</v>
      </c>
      <c r="AW174" s="140"/>
      <c r="AX174" s="141" t="str">
        <f ca="1">Language!$A$1445</f>
        <v>ИТОГО</v>
      </c>
    </row>
    <row r="175" spans="1:50" ht="13.5" thickTop="1" x14ac:dyDescent="0.2">
      <c r="A175" s="65"/>
      <c r="D175" s="57"/>
      <c r="E175" s="57"/>
      <c r="F175" s="57"/>
    </row>
    <row r="176" spans="1:50" collapsed="1" x14ac:dyDescent="0.2">
      <c r="A176" s="65" t="str">
        <f ca="1">Language!A1314</f>
        <v>Ставка дисконтирования</v>
      </c>
      <c r="B176" s="269">
        <f>Параметры!B129</f>
        <v>5.9400000000000008E-2</v>
      </c>
      <c r="C176" s="130" t="s">
        <v>1</v>
      </c>
      <c r="D176" s="57"/>
      <c r="E176" s="57"/>
      <c r="F176" s="57"/>
    </row>
    <row r="177" spans="1:50" hidden="1" outlineLevel="1" x14ac:dyDescent="0.2">
      <c r="A177" s="99" t="str">
        <f ca="1">Language!A1315</f>
        <v>ставка на расчетный период</v>
      </c>
      <c r="C177" s="130" t="s">
        <v>1</v>
      </c>
      <c r="D177" s="57"/>
      <c r="E177" s="57"/>
      <c r="F177" s="57" t="s">
        <v>756</v>
      </c>
      <c r="G177" s="270">
        <f>Параметры!G130</f>
        <v>1.4530229758820568E-2</v>
      </c>
      <c r="H177" s="270">
        <f>Параметры!H130</f>
        <v>1.4530229758820568E-2</v>
      </c>
      <c r="I177" s="270">
        <f>Параметры!I130</f>
        <v>1.4530229758820568E-2</v>
      </c>
      <c r="J177" s="270">
        <f>Параметры!J130</f>
        <v>1.4530229758820568E-2</v>
      </c>
      <c r="K177" s="270">
        <f>Параметры!K130</f>
        <v>1.4530229758820568E-2</v>
      </c>
      <c r="L177" s="270">
        <f>Параметры!L130</f>
        <v>1.4530229758820568E-2</v>
      </c>
      <c r="M177" s="270">
        <f>Параметры!M130</f>
        <v>1.4530229758820568E-2</v>
      </c>
      <c r="N177" s="270">
        <f>Параметры!N130</f>
        <v>1.4530229758820568E-2</v>
      </c>
      <c r="O177" s="270">
        <f>Параметры!O130</f>
        <v>1.4530229758820568E-2</v>
      </c>
      <c r="P177" s="270">
        <f>Параметры!P130</f>
        <v>1.4530229758820568E-2</v>
      </c>
      <c r="Q177" s="270">
        <f>Параметры!Q130</f>
        <v>1.4530229758820568E-2</v>
      </c>
      <c r="R177" s="270">
        <f>Параметры!R130</f>
        <v>1.4530229758820568E-2</v>
      </c>
      <c r="S177" s="270">
        <f>Параметры!S130</f>
        <v>1.4530229758820568E-2</v>
      </c>
      <c r="T177" s="270">
        <f>Параметры!T130</f>
        <v>1.4530229758820568E-2</v>
      </c>
      <c r="U177" s="270">
        <f>Параметры!U130</f>
        <v>1.4530229758820568E-2</v>
      </c>
      <c r="V177" s="270">
        <f>Параметры!V130</f>
        <v>1.4530229758820568E-2</v>
      </c>
      <c r="W177" s="270">
        <f>Параметры!W130</f>
        <v>1.4530229758820568E-2</v>
      </c>
      <c r="X177" s="270">
        <f>Параметры!X130</f>
        <v>1.4530229758820568E-2</v>
      </c>
      <c r="Y177" s="270">
        <f>Параметры!Y130</f>
        <v>1.4530229758820568E-2</v>
      </c>
      <c r="Z177" s="270">
        <f>Параметры!Z130</f>
        <v>1.4530229758820568E-2</v>
      </c>
      <c r="AA177" s="270">
        <f>Параметры!AA130</f>
        <v>1.4530229758820568E-2</v>
      </c>
      <c r="AB177" s="270">
        <f>Параметры!AB130</f>
        <v>1.4530229758820568E-2</v>
      </c>
      <c r="AC177" s="270">
        <f>Параметры!AC130</f>
        <v>1.4530229758820568E-2</v>
      </c>
      <c r="AD177" s="270">
        <f>Параметры!AD130</f>
        <v>1.4530229758820568E-2</v>
      </c>
      <c r="AE177" s="270">
        <f>Параметры!AE130</f>
        <v>1.4530229758820568E-2</v>
      </c>
      <c r="AF177" s="270">
        <f>Параметры!AF130</f>
        <v>1.4530229758820568E-2</v>
      </c>
      <c r="AG177" s="270">
        <f>Параметры!AG130</f>
        <v>1.4530229758820568E-2</v>
      </c>
      <c r="AH177" s="270">
        <f>Параметры!AH130</f>
        <v>1.4530229758820568E-2</v>
      </c>
      <c r="AI177" s="270">
        <f>Параметры!AI130</f>
        <v>1.4530229758820568E-2</v>
      </c>
      <c r="AJ177" s="270">
        <f>Параметры!AJ130</f>
        <v>1.4530229758820568E-2</v>
      </c>
      <c r="AK177" s="270">
        <f>Параметры!AK130</f>
        <v>1.4530229758820568E-2</v>
      </c>
      <c r="AL177" s="270">
        <f>Параметры!AL130</f>
        <v>1.4530229758820568E-2</v>
      </c>
      <c r="AM177" s="270">
        <f>Параметры!AM130</f>
        <v>1.4530229758820568E-2</v>
      </c>
      <c r="AN177" s="270">
        <f>Параметры!AN130</f>
        <v>1.4530229758820568E-2</v>
      </c>
      <c r="AO177" s="270">
        <f>Параметры!AO130</f>
        <v>1.4530229758820568E-2</v>
      </c>
      <c r="AP177" s="270">
        <f>Параметры!AP130</f>
        <v>1.4530229758820568E-2</v>
      </c>
      <c r="AQ177" s="270">
        <f>Параметры!AQ130</f>
        <v>1.4530229758820568E-2</v>
      </c>
      <c r="AR177" s="270">
        <f>Параметры!AR130</f>
        <v>1.4530229758820568E-2</v>
      </c>
      <c r="AS177" s="270">
        <f>Параметры!AS130</f>
        <v>1.4530229758820568E-2</v>
      </c>
      <c r="AT177" s="270">
        <f>Параметры!AT130</f>
        <v>1.4530229758820568E-2</v>
      </c>
      <c r="AU177" s="270">
        <f>Параметры!AU130</f>
        <v>1.4530229758820568E-2</v>
      </c>
      <c r="AV177" s="270">
        <f>Параметры!AV130</f>
        <v>1.4530229758820568E-2</v>
      </c>
    </row>
    <row r="178" spans="1:50" hidden="1" outlineLevel="1" x14ac:dyDescent="0.2">
      <c r="A178" s="99" t="str">
        <f ca="1">Language!A1316</f>
        <v>коэффициент дисконта на начало периода</v>
      </c>
      <c r="C178" s="130" t="str">
        <f ca="1">Language!$A$1449</f>
        <v>раз</v>
      </c>
      <c r="D178" s="57"/>
      <c r="E178" s="57"/>
      <c r="F178" s="57" t="s">
        <v>756</v>
      </c>
      <c r="G178" s="91">
        <f>Параметры!G131</f>
        <v>1</v>
      </c>
      <c r="H178" s="91">
        <f>Параметры!H131</f>
        <v>1.0145302297588206</v>
      </c>
      <c r="I178" s="91">
        <f>Параметры!I131</f>
        <v>1.0292715870944853</v>
      </c>
      <c r="J178" s="91">
        <f>Параметры!J131</f>
        <v>1.044227139739194</v>
      </c>
      <c r="K178" s="91">
        <f>Параметры!K131</f>
        <v>1.0594000000000006</v>
      </c>
      <c r="L178" s="91">
        <f>Параметры!L131</f>
        <v>1.074793325406495</v>
      </c>
      <c r="M178" s="91">
        <f>Параметры!M131</f>
        <v>1.0904103193678982</v>
      </c>
      <c r="N178" s="91">
        <f>Параметры!N131</f>
        <v>1.1062542318397026</v>
      </c>
      <c r="O178" s="91">
        <f>Параметры!O131</f>
        <v>1.1223283600000011</v>
      </c>
      <c r="P178" s="91">
        <f>Параметры!P131</f>
        <v>1.1386360489356415</v>
      </c>
      <c r="Q178" s="91">
        <f>Параметры!Q131</f>
        <v>1.1551806923383521</v>
      </c>
      <c r="R178" s="91">
        <f>Параметры!R131</f>
        <v>1.1719657332109819</v>
      </c>
      <c r="S178" s="91">
        <f>Параметры!S131</f>
        <v>1.1889946645840019</v>
      </c>
      <c r="T178" s="91">
        <f>Параметры!T131</f>
        <v>1.2062710302424193</v>
      </c>
      <c r="U178" s="91">
        <f>Параметры!U131</f>
        <v>1.2237984254632508</v>
      </c>
      <c r="V178" s="91">
        <f>Параметры!V131</f>
        <v>1.2415804977637146</v>
      </c>
      <c r="W178" s="91">
        <f>Параметры!W131</f>
        <v>1.2596209476602922</v>
      </c>
      <c r="X178" s="91">
        <f>Параметры!X131</f>
        <v>1.2779235294388196</v>
      </c>
      <c r="Y178" s="91">
        <f>Параметры!Y131</f>
        <v>1.2964920519357686</v>
      </c>
      <c r="Z178" s="91">
        <f>Параметры!Z131</f>
        <v>1.3153303793308799</v>
      </c>
      <c r="AA178" s="91">
        <f>Параметры!AA131</f>
        <v>1.3344424319513142</v>
      </c>
      <c r="AB178" s="91">
        <f>Параметры!AB131</f>
        <v>1.3538321870874861</v>
      </c>
      <c r="AC178" s="91">
        <f>Параметры!AC131</f>
        <v>1.3735036798207538</v>
      </c>
      <c r="AD178" s="91">
        <f>Параметры!AD131</f>
        <v>1.393461003863135</v>
      </c>
      <c r="AE178" s="91">
        <f>Параметры!AE131</f>
        <v>1.4137083124092231</v>
      </c>
      <c r="AF178" s="91">
        <f>Параметры!AF131</f>
        <v>1.4342498190004835</v>
      </c>
      <c r="AG178" s="91">
        <f>Параметры!AG131</f>
        <v>1.4550897984021074</v>
      </c>
      <c r="AH178" s="91">
        <f>Параметры!AH131</f>
        <v>1.4762325874926059</v>
      </c>
      <c r="AI178" s="91">
        <f>Параметры!AI131</f>
        <v>1.4976825861663317</v>
      </c>
      <c r="AJ178" s="91">
        <f>Параметры!AJ131</f>
        <v>1.519444258249113</v>
      </c>
      <c r="AK178" s="91">
        <f>Параметры!AK131</f>
        <v>1.5415221324271933</v>
      </c>
      <c r="AL178" s="91">
        <f>Параметры!AL131</f>
        <v>1.5639208031896674</v>
      </c>
      <c r="AM178" s="91">
        <f>Параметры!AM131</f>
        <v>1.5866449317846125</v>
      </c>
      <c r="AN178" s="91">
        <f>Параметры!AN131</f>
        <v>1.6096992471891112</v>
      </c>
      <c r="AO178" s="91">
        <f>Параметры!AO131</f>
        <v>1.6330885470933694</v>
      </c>
      <c r="AP178" s="91">
        <f>Параметры!AP131</f>
        <v>1.6568176988991345</v>
      </c>
      <c r="AQ178" s="91">
        <f>Параметры!AQ131</f>
        <v>1.6808916407326193</v>
      </c>
      <c r="AR178" s="91">
        <f>Параметры!AR131</f>
        <v>1.7053153824721452</v>
      </c>
      <c r="AS178" s="91">
        <f>Параметры!AS131</f>
        <v>1.7300940067907165</v>
      </c>
      <c r="AT178" s="91">
        <f>Параметры!AT131</f>
        <v>1.755232670213744</v>
      </c>
      <c r="AU178" s="91">
        <f>Параметры!AU131</f>
        <v>1.7807366041921378</v>
      </c>
      <c r="AV178" s="91">
        <f>Параметры!AV131</f>
        <v>1.8066111161909915</v>
      </c>
    </row>
    <row r="179" spans="1:50" x14ac:dyDescent="0.2">
      <c r="A179" s="65" t="str">
        <f ca="1">Language!A1317</f>
        <v>Свободный денежный поток компании, FCFF</v>
      </c>
      <c r="C179" s="130" t="str">
        <f ca="1">Параметры!$C$64</f>
        <v>тыс. руб.</v>
      </c>
      <c r="D179" s="57"/>
      <c r="E179" s="57"/>
      <c r="F179" s="57" t="s">
        <v>753</v>
      </c>
      <c r="G179" s="138">
        <f t="shared" ref="G179:AV179" ca="1" si="719">SUM(G180:G182)</f>
        <v>159460.54771811707</v>
      </c>
      <c r="H179" s="138">
        <f t="shared" ca="1" si="719"/>
        <v>26333.015221464142</v>
      </c>
      <c r="I179" s="138">
        <f t="shared" ca="1" si="719"/>
        <v>-13460.459012748324</v>
      </c>
      <c r="J179" s="138">
        <f t="shared" ca="1" si="719"/>
        <v>51966.285322022799</v>
      </c>
      <c r="K179" s="138">
        <f t="shared" ca="1" si="719"/>
        <v>241398.69262800686</v>
      </c>
      <c r="L179" s="138">
        <f t="shared" ca="1" si="719"/>
        <v>218916.073608429</v>
      </c>
      <c r="M179" s="138">
        <f t="shared" ca="1" si="719"/>
        <v>132986.85524138424</v>
      </c>
      <c r="N179" s="138">
        <f t="shared" ca="1" si="719"/>
        <v>175939.09372942464</v>
      </c>
      <c r="O179" s="138">
        <f t="shared" ca="1" si="719"/>
        <v>295570.17973432835</v>
      </c>
      <c r="P179" s="138">
        <f t="shared" ca="1" si="719"/>
        <v>269147.73803665274</v>
      </c>
      <c r="Q179" s="138">
        <f t="shared" ca="1" si="719"/>
        <v>179199.78097389673</v>
      </c>
      <c r="R179" s="138">
        <f t="shared" ca="1" si="719"/>
        <v>219151.72048817965</v>
      </c>
      <c r="S179" s="138">
        <f t="shared" ca="1" si="719"/>
        <v>335009.23560752411</v>
      </c>
      <c r="T179" s="138">
        <f t="shared" ca="1" si="719"/>
        <v>295720.46050562896</v>
      </c>
      <c r="U179" s="138">
        <f t="shared" ca="1" si="719"/>
        <v>195733.25577490771</v>
      </c>
      <c r="V179" s="138">
        <f t="shared" ca="1" si="719"/>
        <v>235884.78074636351</v>
      </c>
      <c r="W179" s="138">
        <f t="shared" ca="1" si="719"/>
        <v>352920.46233665285</v>
      </c>
      <c r="X179" s="138">
        <f t="shared" ca="1" si="719"/>
        <v>306477.66567656182</v>
      </c>
      <c r="Y179" s="138">
        <f t="shared" ca="1" si="719"/>
        <v>191470.91563308594</v>
      </c>
      <c r="Z179" s="138">
        <f t="shared" ca="1" si="719"/>
        <v>227336.6080672004</v>
      </c>
      <c r="AA179" s="138">
        <f t="shared" ca="1" si="719"/>
        <v>351139.88972480758</v>
      </c>
      <c r="AB179" s="138">
        <f t="shared" ca="1" si="719"/>
        <v>301653.24395116838</v>
      </c>
      <c r="AC179" s="138">
        <f t="shared" ca="1" si="719"/>
        <v>184753.15199397964</v>
      </c>
      <c r="AD179" s="138">
        <f t="shared" ca="1" si="719"/>
        <v>225137.58726759348</v>
      </c>
      <c r="AE179" s="138">
        <f t="shared" ca="1" si="719"/>
        <v>356008.2004453736</v>
      </c>
      <c r="AF179" s="138">
        <f t="shared" ca="1" si="719"/>
        <v>303184.56940042012</v>
      </c>
      <c r="AG179" s="138">
        <f t="shared" ca="1" si="719"/>
        <v>176315.76707386202</v>
      </c>
      <c r="AH179" s="138">
        <f t="shared" ca="1" si="719"/>
        <v>216311.9206679413</v>
      </c>
      <c r="AI179" s="138">
        <f t="shared" ca="1" si="719"/>
        <v>354705.37977566081</v>
      </c>
      <c r="AJ179" s="138">
        <f t="shared" ca="1" si="719"/>
        <v>298378.0854837111</v>
      </c>
      <c r="AK179" s="138">
        <f t="shared" ca="1" si="719"/>
        <v>161683.46702978329</v>
      </c>
      <c r="AL179" s="138">
        <f t="shared" ca="1" si="719"/>
        <v>202591.75949739973</v>
      </c>
      <c r="AM179" s="138">
        <f t="shared" ca="1" si="719"/>
        <v>356610.09357837564</v>
      </c>
      <c r="AN179" s="138">
        <f t="shared" ca="1" si="719"/>
        <v>304389.31270437461</v>
      </c>
      <c r="AO179" s="138">
        <f t="shared" ca="1" si="719"/>
        <v>163869.81099400215</v>
      </c>
      <c r="AP179" s="138">
        <f t="shared" ca="1" si="719"/>
        <v>212828.56480315898</v>
      </c>
      <c r="AQ179" s="138">
        <f t="shared" ca="1" si="719"/>
        <v>377540.30579911149</v>
      </c>
      <c r="AR179" s="138">
        <f t="shared" ca="1" si="719"/>
        <v>322179.43428775296</v>
      </c>
      <c r="AS179" s="138">
        <f t="shared" ca="1" si="719"/>
        <v>155243.8034234533</v>
      </c>
      <c r="AT179" s="138">
        <f t="shared" ca="1" si="719"/>
        <v>198701.68774011367</v>
      </c>
      <c r="AU179" s="138">
        <f t="shared" ca="1" si="719"/>
        <v>372901.45675774344</v>
      </c>
      <c r="AV179" s="138">
        <f t="shared" ca="1" si="719"/>
        <v>313818.46509628498</v>
      </c>
      <c r="AX179" s="171">
        <f ca="1">SUM(G179:AW179)</f>
        <v>10007108.865533156</v>
      </c>
    </row>
    <row r="180" spans="1:50" x14ac:dyDescent="0.2">
      <c r="A180" s="99" t="str">
        <f ca="1">Language!A1318</f>
        <v>Денежные потоки от операционной деятельности</v>
      </c>
      <c r="C180" s="130" t="str">
        <f ca="1">Параметры!$C$64</f>
        <v>тыс. руб.</v>
      </c>
      <c r="D180" s="57"/>
      <c r="E180" s="57"/>
      <c r="F180" s="57" t="s">
        <v>753</v>
      </c>
      <c r="G180" s="138">
        <f t="shared" ref="G180:AV180" ca="1" si="720">G49</f>
        <v>180209.79571811709</v>
      </c>
      <c r="H180" s="138">
        <f t="shared" ca="1" si="720"/>
        <v>70594.315221464145</v>
      </c>
      <c r="I180" s="138">
        <f t="shared" ca="1" si="720"/>
        <v>-9824.1590127483214</v>
      </c>
      <c r="J180" s="138">
        <f t="shared" ca="1" si="720"/>
        <v>41110.585322022802</v>
      </c>
      <c r="K180" s="138">
        <f t="shared" ca="1" si="720"/>
        <v>148524.99262800685</v>
      </c>
      <c r="L180" s="138">
        <f t="shared" ca="1" si="720"/>
        <v>126042.37360842898</v>
      </c>
      <c r="M180" s="138">
        <f t="shared" ca="1" si="720"/>
        <v>40113.155241384236</v>
      </c>
      <c r="N180" s="138">
        <f t="shared" ca="1" si="720"/>
        <v>83065.393729424628</v>
      </c>
      <c r="O180" s="138">
        <f t="shared" ca="1" si="720"/>
        <v>202696.47973432834</v>
      </c>
      <c r="P180" s="138">
        <f t="shared" ca="1" si="720"/>
        <v>176274.03803665275</v>
      </c>
      <c r="Q180" s="138">
        <f t="shared" ca="1" si="720"/>
        <v>86326.080973896751</v>
      </c>
      <c r="R180" s="138">
        <f t="shared" ca="1" si="720"/>
        <v>126278.02048817964</v>
      </c>
      <c r="S180" s="138">
        <f t="shared" ca="1" si="720"/>
        <v>242135.5356075241</v>
      </c>
      <c r="T180" s="138">
        <f t="shared" ca="1" si="720"/>
        <v>202846.76050562898</v>
      </c>
      <c r="U180" s="138">
        <f t="shared" ca="1" si="720"/>
        <v>104807.28310406437</v>
      </c>
      <c r="V180" s="138">
        <f t="shared" ca="1" si="720"/>
        <v>147980.74920872075</v>
      </c>
      <c r="W180" s="138">
        <f t="shared" ca="1" si="720"/>
        <v>271413.1326023931</v>
      </c>
      <c r="X180" s="138">
        <f t="shared" ca="1" si="720"/>
        <v>230323.78874410767</v>
      </c>
      <c r="Y180" s="138">
        <f t="shared" ca="1" si="720"/>
        <v>117678.50866840444</v>
      </c>
      <c r="Z180" s="138">
        <f t="shared" ca="1" si="720"/>
        <v>156995.79400492081</v>
      </c>
      <c r="AA180" s="138">
        <f t="shared" ca="1" si="720"/>
        <v>287830.5065519113</v>
      </c>
      <c r="AB180" s="138">
        <f t="shared" ca="1" si="720"/>
        <v>244272.06413937832</v>
      </c>
      <c r="AC180" s="138">
        <f t="shared" ca="1" si="720"/>
        <v>130277.89519401088</v>
      </c>
      <c r="AD180" s="138">
        <f t="shared" ca="1" si="720"/>
        <v>174805.34237025067</v>
      </c>
      <c r="AE180" s="138">
        <f t="shared" ca="1" si="720"/>
        <v>313622.42282538762</v>
      </c>
      <c r="AF180" s="138">
        <f t="shared" ca="1" si="720"/>
        <v>267584.81628848863</v>
      </c>
      <c r="AG180" s="138">
        <f t="shared" ca="1" si="720"/>
        <v>144235.75735740989</v>
      </c>
      <c r="AH180" s="138">
        <f t="shared" ca="1" si="720"/>
        <v>189001.8527050488</v>
      </c>
      <c r="AI180" s="138">
        <f t="shared" ca="1" si="720"/>
        <v>336202.49041745818</v>
      </c>
      <c r="AJ180" s="138">
        <f t="shared" ca="1" si="720"/>
        <v>287457.96162542264</v>
      </c>
      <c r="AK180" s="138">
        <f t="shared" ca="1" si="720"/>
        <v>154837.42369790512</v>
      </c>
      <c r="AL180" s="138">
        <f t="shared" ca="1" si="720"/>
        <v>201116.97679926013</v>
      </c>
      <c r="AM180" s="138">
        <f t="shared" ca="1" si="720"/>
        <v>356610.09357837564</v>
      </c>
      <c r="AN180" s="138">
        <f t="shared" ca="1" si="720"/>
        <v>304389.31270437461</v>
      </c>
      <c r="AO180" s="138">
        <f t="shared" ca="1" si="720"/>
        <v>163869.81099400215</v>
      </c>
      <c r="AP180" s="138">
        <f t="shared" ca="1" si="720"/>
        <v>212828.56480315898</v>
      </c>
      <c r="AQ180" s="138">
        <f t="shared" ca="1" si="720"/>
        <v>377540.30579911149</v>
      </c>
      <c r="AR180" s="138">
        <f t="shared" ca="1" si="720"/>
        <v>322179.43428775296</v>
      </c>
      <c r="AS180" s="138">
        <f t="shared" ca="1" si="720"/>
        <v>155243.8034234533</v>
      </c>
      <c r="AT180" s="138">
        <f t="shared" ca="1" si="720"/>
        <v>198701.68774011367</v>
      </c>
      <c r="AU180" s="138">
        <f t="shared" ca="1" si="720"/>
        <v>372901.45675774344</v>
      </c>
      <c r="AV180" s="138">
        <f t="shared" ca="1" si="720"/>
        <v>313818.46509628498</v>
      </c>
      <c r="AX180" s="171">
        <f ca="1">SUM(G180:AW180)</f>
        <v>8254921.0692912247</v>
      </c>
    </row>
    <row r="181" spans="1:50" x14ac:dyDescent="0.2">
      <c r="A181" s="99" t="str">
        <f ca="1">Language!A1319</f>
        <v>Скорректированные проценты по кредитам, * (1 - налог)</v>
      </c>
      <c r="C181" s="130" t="str">
        <f ca="1">Параметры!$C$64</f>
        <v>тыс. руб.</v>
      </c>
      <c r="D181" s="57"/>
      <c r="E181" s="57"/>
      <c r="F181" s="57" t="s">
        <v>753</v>
      </c>
      <c r="G181" s="138">
        <f>-G44 * (1-Параметры!G81)</f>
        <v>78358.751999999993</v>
      </c>
      <c r="H181" s="138">
        <f>-H44 * (1-Параметры!H81)</f>
        <v>83498.7</v>
      </c>
      <c r="I181" s="138">
        <f>-I44 * (1-Параметры!I81)</f>
        <v>89123.7</v>
      </c>
      <c r="J181" s="138">
        <f>-J44 * (1-Параметры!J81)</f>
        <v>92873.7</v>
      </c>
      <c r="K181" s="138">
        <f>-K44 * (1-Параметры!K81)</f>
        <v>92873.7</v>
      </c>
      <c r="L181" s="138">
        <f>-L44 * (1-Параметры!L81)</f>
        <v>92873.7</v>
      </c>
      <c r="M181" s="138">
        <f>-M44 * (1-Параметры!M81)</f>
        <v>92873.7</v>
      </c>
      <c r="N181" s="138">
        <f>-N44 * (1-Параметры!N81)</f>
        <v>92873.7</v>
      </c>
      <c r="O181" s="138">
        <f>-O44 * (1-Параметры!O81)</f>
        <v>92873.7</v>
      </c>
      <c r="P181" s="138">
        <f>-P44 * (1-Параметры!P81)</f>
        <v>92873.7</v>
      </c>
      <c r="Q181" s="138">
        <f>-Q44 * (1-Параметры!Q81)</f>
        <v>92873.7</v>
      </c>
      <c r="R181" s="138">
        <f>-R44 * (1-Параметры!R81)</f>
        <v>92873.7</v>
      </c>
      <c r="S181" s="138">
        <f>-S44 * (1-Параметры!S81)</f>
        <v>92873.7</v>
      </c>
      <c r="T181" s="138">
        <f>-T44 * (1-Параметры!T81)</f>
        <v>92873.7</v>
      </c>
      <c r="U181" s="138">
        <f>-U44 * (1-Параметры!U81)</f>
        <v>90925.972670843345</v>
      </c>
      <c r="V181" s="138">
        <f>-V44 * (1-Параметры!V81)</f>
        <v>87904.031537642775</v>
      </c>
      <c r="W181" s="138">
        <f>-W44 * (1-Параметры!W81)</f>
        <v>81507.329734259736</v>
      </c>
      <c r="X181" s="138">
        <f>-X44 * (1-Параметры!X81)</f>
        <v>76153.876932454164</v>
      </c>
      <c r="Y181" s="138">
        <f>-Y44 * (1-Параметры!Y81)</f>
        <v>73792.406964681519</v>
      </c>
      <c r="Z181" s="138">
        <f>-Z44 * (1-Параметры!Z81)</f>
        <v>70340.814062279576</v>
      </c>
      <c r="AA181" s="138">
        <f>-AA44 * (1-Параметры!AA81)</f>
        <v>63309.383172896283</v>
      </c>
      <c r="AB181" s="138">
        <f>-AB44 * (1-Параметры!AB81)</f>
        <v>57381.179811790062</v>
      </c>
      <c r="AC181" s="138">
        <f>-AC44 * (1-Параметры!AC81)</f>
        <v>54475.256799968745</v>
      </c>
      <c r="AD181" s="138">
        <f>-AD44 * (1-Параметры!AD81)</f>
        <v>50332.244897342818</v>
      </c>
      <c r="AE181" s="138">
        <f>-AE44 * (1-Параметры!AE81)</f>
        <v>42385.777619985973</v>
      </c>
      <c r="AF181" s="138">
        <f>-AF44 * (1-Параметры!AF81)</f>
        <v>35599.753111931474</v>
      </c>
      <c r="AG181" s="138">
        <f>-AG44 * (1-Параметры!AG81)</f>
        <v>32080.009716452128</v>
      </c>
      <c r="AH181" s="138">
        <f>-AH44 * (1-Параметры!AH81)</f>
        <v>27310.067962892499</v>
      </c>
      <c r="AI181" s="138">
        <f>-AI44 * (1-Параметры!AI81)</f>
        <v>18502.88935820261</v>
      </c>
      <c r="AJ181" s="138">
        <f>-AJ44 * (1-Параметры!AJ81)</f>
        <v>10920.123858288463</v>
      </c>
      <c r="AK181" s="138">
        <f>-AK44 * (1-Параметры!AK81)</f>
        <v>6846.0433318781834</v>
      </c>
      <c r="AL181" s="138">
        <f>-AL44 * (1-Параметры!AL81)</f>
        <v>1474.7826981396122</v>
      </c>
      <c r="AM181" s="138">
        <f>-AM44 * (1-Параметры!AM81)</f>
        <v>0</v>
      </c>
      <c r="AN181" s="138">
        <f>-AN44 * (1-Параметры!AN81)</f>
        <v>0</v>
      </c>
      <c r="AO181" s="138">
        <f>-AO44 * (1-Параметры!AO81)</f>
        <v>0</v>
      </c>
      <c r="AP181" s="138">
        <f>-AP44 * (1-Параметры!AP81)</f>
        <v>0</v>
      </c>
      <c r="AQ181" s="138">
        <f>-AQ44 * (1-Параметры!AQ81)</f>
        <v>0</v>
      </c>
      <c r="AR181" s="138">
        <f>-AR44 * (1-Параметры!AR81)</f>
        <v>0</v>
      </c>
      <c r="AS181" s="138">
        <f>-AS44 * (1-Параметры!AS81)</f>
        <v>0</v>
      </c>
      <c r="AT181" s="138">
        <f>-AT44 * (1-Параметры!AT81)</f>
        <v>0</v>
      </c>
      <c r="AU181" s="138">
        <f>-AU44 * (1-Параметры!AU81)</f>
        <v>0</v>
      </c>
      <c r="AV181" s="138">
        <f>-AV44 * (1-Параметры!AV81)</f>
        <v>0</v>
      </c>
      <c r="AX181" s="171">
        <f>SUM(G181:AW181)</f>
        <v>2153833.7962419293</v>
      </c>
    </row>
    <row r="182" spans="1:50" x14ac:dyDescent="0.2">
      <c r="A182" s="99" t="str">
        <f ca="1">Language!A1320</f>
        <v>Денежные потоки от инвестиционной деятельности</v>
      </c>
      <c r="C182" s="130" t="str">
        <f ca="1">Параметры!$C$64</f>
        <v>тыс. руб.</v>
      </c>
      <c r="D182" s="57"/>
      <c r="E182" s="57"/>
      <c r="F182" s="57" t="s">
        <v>753</v>
      </c>
      <c r="G182" s="138">
        <f t="shared" ref="G182:AV182" si="721">G58</f>
        <v>-99108</v>
      </c>
      <c r="H182" s="138">
        <f t="shared" si="721"/>
        <v>-127760.00000000001</v>
      </c>
      <c r="I182" s="138">
        <f t="shared" si="721"/>
        <v>-92760</v>
      </c>
      <c r="J182" s="138">
        <f t="shared" si="721"/>
        <v>-82018</v>
      </c>
      <c r="K182" s="138">
        <f t="shared" si="721"/>
        <v>0</v>
      </c>
      <c r="L182" s="138">
        <f t="shared" si="721"/>
        <v>0</v>
      </c>
      <c r="M182" s="138">
        <f t="shared" si="721"/>
        <v>0</v>
      </c>
      <c r="N182" s="138">
        <f t="shared" si="721"/>
        <v>0</v>
      </c>
      <c r="O182" s="138">
        <f t="shared" si="721"/>
        <v>0</v>
      </c>
      <c r="P182" s="138">
        <f t="shared" si="721"/>
        <v>0</v>
      </c>
      <c r="Q182" s="138">
        <f t="shared" si="721"/>
        <v>0</v>
      </c>
      <c r="R182" s="138">
        <f t="shared" si="721"/>
        <v>0</v>
      </c>
      <c r="S182" s="138">
        <f t="shared" si="721"/>
        <v>0</v>
      </c>
      <c r="T182" s="138">
        <f t="shared" si="721"/>
        <v>0</v>
      </c>
      <c r="U182" s="138">
        <f t="shared" si="721"/>
        <v>0</v>
      </c>
      <c r="V182" s="138">
        <f t="shared" si="721"/>
        <v>0</v>
      </c>
      <c r="W182" s="138">
        <f t="shared" si="721"/>
        <v>0</v>
      </c>
      <c r="X182" s="138">
        <f t="shared" si="721"/>
        <v>0</v>
      </c>
      <c r="Y182" s="138">
        <f t="shared" si="721"/>
        <v>0</v>
      </c>
      <c r="Z182" s="138">
        <f t="shared" si="721"/>
        <v>0</v>
      </c>
      <c r="AA182" s="138">
        <f t="shared" si="721"/>
        <v>0</v>
      </c>
      <c r="AB182" s="138">
        <f t="shared" si="721"/>
        <v>0</v>
      </c>
      <c r="AC182" s="138">
        <f t="shared" si="721"/>
        <v>0</v>
      </c>
      <c r="AD182" s="138">
        <f t="shared" si="721"/>
        <v>0</v>
      </c>
      <c r="AE182" s="138">
        <f t="shared" si="721"/>
        <v>0</v>
      </c>
      <c r="AF182" s="138">
        <f t="shared" si="721"/>
        <v>0</v>
      </c>
      <c r="AG182" s="138">
        <f t="shared" si="721"/>
        <v>0</v>
      </c>
      <c r="AH182" s="138">
        <f t="shared" si="721"/>
        <v>0</v>
      </c>
      <c r="AI182" s="138">
        <f t="shared" si="721"/>
        <v>0</v>
      </c>
      <c r="AJ182" s="138">
        <f t="shared" si="721"/>
        <v>0</v>
      </c>
      <c r="AK182" s="138">
        <f t="shared" si="721"/>
        <v>0</v>
      </c>
      <c r="AL182" s="138">
        <f t="shared" si="721"/>
        <v>0</v>
      </c>
      <c r="AM182" s="138">
        <f t="shared" si="721"/>
        <v>0</v>
      </c>
      <c r="AN182" s="138">
        <f t="shared" si="721"/>
        <v>0</v>
      </c>
      <c r="AO182" s="138">
        <f t="shared" si="721"/>
        <v>0</v>
      </c>
      <c r="AP182" s="138">
        <f t="shared" si="721"/>
        <v>0</v>
      </c>
      <c r="AQ182" s="138">
        <f t="shared" si="721"/>
        <v>0</v>
      </c>
      <c r="AR182" s="138">
        <f t="shared" si="721"/>
        <v>0</v>
      </c>
      <c r="AS182" s="138">
        <f t="shared" si="721"/>
        <v>0</v>
      </c>
      <c r="AT182" s="138">
        <f t="shared" si="721"/>
        <v>0</v>
      </c>
      <c r="AU182" s="138">
        <f t="shared" si="721"/>
        <v>0</v>
      </c>
      <c r="AV182" s="138">
        <f t="shared" si="721"/>
        <v>0</v>
      </c>
      <c r="AX182" s="171">
        <f>SUM(G182:AW182)</f>
        <v>-401646</v>
      </c>
    </row>
    <row r="183" spans="1:50" x14ac:dyDescent="0.2">
      <c r="A183" s="65" t="str">
        <f ca="1">Language!A1324</f>
        <v>Дисконтированный денежный поток</v>
      </c>
      <c r="C183" s="130" t="str">
        <f ca="1">Параметры!$C$64</f>
        <v>тыс. руб.</v>
      </c>
      <c r="D183" s="57"/>
      <c r="E183" s="57"/>
      <c r="F183" s="57" t="s">
        <v>753</v>
      </c>
      <c r="G183" s="138">
        <f t="shared" ref="G183:AV183" ca="1" si="722">G179/G178</f>
        <v>159460.54771811707</v>
      </c>
      <c r="H183" s="138">
        <f t="shared" ca="1" si="722"/>
        <v>25955.870460088867</v>
      </c>
      <c r="I183" s="138">
        <f t="shared" ca="1" si="722"/>
        <v>-13077.655287022586</v>
      </c>
      <c r="J183" s="138">
        <f t="shared" ca="1" si="722"/>
        <v>49765.308087090983</v>
      </c>
      <c r="K183" s="138">
        <f t="shared" ca="1" si="722"/>
        <v>227863.59508024045</v>
      </c>
      <c r="L183" s="138">
        <f t="shared" ca="1" si="722"/>
        <v>203682.01814579868</v>
      </c>
      <c r="M183" s="138">
        <f t="shared" ca="1" si="722"/>
        <v>121960.37847337654</v>
      </c>
      <c r="N183" s="138">
        <f t="shared" ca="1" si="722"/>
        <v>159040.38029019572</v>
      </c>
      <c r="O183" s="138">
        <f t="shared" ca="1" si="722"/>
        <v>263354.46048456628</v>
      </c>
      <c r="P183" s="138">
        <f t="shared" ca="1" si="722"/>
        <v>236377.32029320777</v>
      </c>
      <c r="Q183" s="138">
        <f t="shared" ca="1" si="722"/>
        <v>155127.05688592757</v>
      </c>
      <c r="R183" s="138">
        <f t="shared" ca="1" si="722"/>
        <v>186994.98993690041</v>
      </c>
      <c r="S183" s="138">
        <f t="shared" ca="1" si="722"/>
        <v>281758.40109823796</v>
      </c>
      <c r="T183" s="138">
        <f t="shared" ca="1" si="722"/>
        <v>245152.58436257002</v>
      </c>
      <c r="U183" s="138">
        <f t="shared" ca="1" si="722"/>
        <v>159939.13025408232</v>
      </c>
      <c r="V183" s="138">
        <f t="shared" ca="1" si="722"/>
        <v>189987.50477414054</v>
      </c>
      <c r="W183" s="138">
        <f t="shared" ca="1" si="722"/>
        <v>280179.89300050301</v>
      </c>
      <c r="X183" s="138">
        <f t="shared" ca="1" si="722"/>
        <v>239824.73020991072</v>
      </c>
      <c r="Y183" s="138">
        <f t="shared" ca="1" si="722"/>
        <v>147683.83296079928</v>
      </c>
      <c r="Z183" s="138">
        <f t="shared" ca="1" si="722"/>
        <v>172836.12667932792</v>
      </c>
      <c r="AA183" s="138">
        <f t="shared" ca="1" si="722"/>
        <v>263136.0344345065</v>
      </c>
      <c r="AB183" s="138">
        <f t="shared" ca="1" si="722"/>
        <v>222814.35382336291</v>
      </c>
      <c r="AC183" s="138">
        <f t="shared" ca="1" si="722"/>
        <v>134512.30943778064</v>
      </c>
      <c r="AD183" s="138">
        <f t="shared" ca="1" si="722"/>
        <v>161567.19609909254</v>
      </c>
      <c r="AE183" s="138">
        <f t="shared" ca="1" si="722"/>
        <v>251825.78140088113</v>
      </c>
      <c r="AF183" s="138">
        <f t="shared" ca="1" si="722"/>
        <v>211388.95426997988</v>
      </c>
      <c r="AG183" s="138">
        <f t="shared" ca="1" si="722"/>
        <v>121171.74298622769</v>
      </c>
      <c r="AH183" s="138">
        <f t="shared" ca="1" si="722"/>
        <v>146529.70168836945</v>
      </c>
      <c r="AI183" s="138">
        <f t="shared" ca="1" si="722"/>
        <v>236836.1514328694</v>
      </c>
      <c r="AJ183" s="138">
        <f t="shared" ca="1" si="722"/>
        <v>196373.16990327658</v>
      </c>
      <c r="AK183" s="138">
        <f t="shared" ca="1" si="722"/>
        <v>104885.59562567271</v>
      </c>
      <c r="AL183" s="138">
        <f t="shared" ca="1" si="722"/>
        <v>129540.93268930705</v>
      </c>
      <c r="AM183" s="138">
        <f t="shared" ca="1" si="722"/>
        <v>224757.33948695811</v>
      </c>
      <c r="AN183" s="138">
        <f t="shared" ca="1" si="722"/>
        <v>189097.00879583889</v>
      </c>
      <c r="AO183" s="138">
        <f t="shared" ca="1" si="722"/>
        <v>100343.49410242551</v>
      </c>
      <c r="AP183" s="138">
        <f t="shared" ca="1" si="722"/>
        <v>128456.23567672654</v>
      </c>
      <c r="AQ183" s="138">
        <f t="shared" ca="1" si="722"/>
        <v>224607.16482268897</v>
      </c>
      <c r="AR183" s="138">
        <f t="shared" ca="1" si="722"/>
        <v>188926.59832851504</v>
      </c>
      <c r="AS183" s="138">
        <f t="shared" ca="1" si="722"/>
        <v>89731.426624283195</v>
      </c>
      <c r="AT183" s="138">
        <f t="shared" ca="1" si="722"/>
        <v>113205.32662824508</v>
      </c>
      <c r="AU183" s="138">
        <f t="shared" ca="1" si="722"/>
        <v>209408.54244242184</v>
      </c>
      <c r="AV183" s="138">
        <f t="shared" ca="1" si="722"/>
        <v>173705.59844551998</v>
      </c>
      <c r="AX183" s="171">
        <f ca="1">SUM(G183:AW183)</f>
        <v>7316687.1330530085</v>
      </c>
    </row>
    <row r="184" spans="1:50" x14ac:dyDescent="0.2">
      <c r="A184" s="65" t="str">
        <f ca="1">Language!A1325</f>
        <v>Дисконтированный поток нарастающим итогом</v>
      </c>
      <c r="C184" s="130" t="str">
        <f ca="1">Параметры!$C$64</f>
        <v>тыс. руб.</v>
      </c>
      <c r="D184" s="57"/>
      <c r="E184" s="57"/>
      <c r="F184" s="57" t="s">
        <v>754</v>
      </c>
      <c r="G184" s="138">
        <f ca="1">G183 + IF(G$2&gt;1, F184)</f>
        <v>159460.54771811707</v>
      </c>
      <c r="H184" s="138">
        <f t="shared" ref="H184:AV184" ca="1" si="723">H183 + IF(H$2&gt;1, G184)</f>
        <v>185416.41817820593</v>
      </c>
      <c r="I184" s="138">
        <f t="shared" ca="1" si="723"/>
        <v>172338.76289118335</v>
      </c>
      <c r="J184" s="138">
        <f t="shared" ca="1" si="723"/>
        <v>222104.07097827434</v>
      </c>
      <c r="K184" s="138">
        <f t="shared" ca="1" si="723"/>
        <v>449967.66605851479</v>
      </c>
      <c r="L184" s="138">
        <f t="shared" ca="1" si="723"/>
        <v>653649.68420431344</v>
      </c>
      <c r="M184" s="138">
        <f t="shared" ca="1" si="723"/>
        <v>775610.06267768994</v>
      </c>
      <c r="N184" s="138">
        <f t="shared" ca="1" si="723"/>
        <v>934650.44296788564</v>
      </c>
      <c r="O184" s="138">
        <f t="shared" ca="1" si="723"/>
        <v>1198004.9034524518</v>
      </c>
      <c r="P184" s="138">
        <f t="shared" ca="1" si="723"/>
        <v>1434382.2237456595</v>
      </c>
      <c r="Q184" s="138">
        <f t="shared" ca="1" si="723"/>
        <v>1589509.2806315869</v>
      </c>
      <c r="R184" s="138">
        <f t="shared" ca="1" si="723"/>
        <v>1776504.2705684872</v>
      </c>
      <c r="S184" s="138">
        <f t="shared" ca="1" si="723"/>
        <v>2058262.6716667251</v>
      </c>
      <c r="T184" s="138">
        <f t="shared" ca="1" si="723"/>
        <v>2303415.2560292953</v>
      </c>
      <c r="U184" s="138">
        <f t="shared" ca="1" si="723"/>
        <v>2463354.3862833777</v>
      </c>
      <c r="V184" s="138">
        <f t="shared" ca="1" si="723"/>
        <v>2653341.8910575183</v>
      </c>
      <c r="W184" s="138">
        <f t="shared" ca="1" si="723"/>
        <v>2933521.7840580214</v>
      </c>
      <c r="X184" s="138">
        <f t="shared" ca="1" si="723"/>
        <v>3173346.5142679322</v>
      </c>
      <c r="Y184" s="138">
        <f t="shared" ca="1" si="723"/>
        <v>3321030.3472287315</v>
      </c>
      <c r="Z184" s="138">
        <f t="shared" ca="1" si="723"/>
        <v>3493866.4739080593</v>
      </c>
      <c r="AA184" s="138">
        <f t="shared" ca="1" si="723"/>
        <v>3757002.508342566</v>
      </c>
      <c r="AB184" s="138">
        <f t="shared" ca="1" si="723"/>
        <v>3979816.8621659288</v>
      </c>
      <c r="AC184" s="138">
        <f t="shared" ca="1" si="723"/>
        <v>4114329.1716037095</v>
      </c>
      <c r="AD184" s="138">
        <f t="shared" ca="1" si="723"/>
        <v>4275896.3677028017</v>
      </c>
      <c r="AE184" s="138">
        <f t="shared" ca="1" si="723"/>
        <v>4527722.1491036825</v>
      </c>
      <c r="AF184" s="138">
        <f t="shared" ca="1" si="723"/>
        <v>4739111.1033736626</v>
      </c>
      <c r="AG184" s="138">
        <f t="shared" ca="1" si="723"/>
        <v>4860282.84635989</v>
      </c>
      <c r="AH184" s="138">
        <f t="shared" ca="1" si="723"/>
        <v>5006812.5480482597</v>
      </c>
      <c r="AI184" s="138">
        <f t="shared" ca="1" si="723"/>
        <v>5243648.6994811287</v>
      </c>
      <c r="AJ184" s="138">
        <f t="shared" ca="1" si="723"/>
        <v>5440021.8693844052</v>
      </c>
      <c r="AK184" s="138">
        <f t="shared" ca="1" si="723"/>
        <v>5544907.4650100777</v>
      </c>
      <c r="AL184" s="138">
        <f t="shared" ca="1" si="723"/>
        <v>5674448.397699385</v>
      </c>
      <c r="AM184" s="138">
        <f t="shared" ca="1" si="723"/>
        <v>5899205.7371863434</v>
      </c>
      <c r="AN184" s="138">
        <f t="shared" ca="1" si="723"/>
        <v>6088302.7459821822</v>
      </c>
      <c r="AO184" s="138">
        <f t="shared" ca="1" si="723"/>
        <v>6188646.2400846081</v>
      </c>
      <c r="AP184" s="138">
        <f t="shared" ca="1" si="723"/>
        <v>6317102.4757613344</v>
      </c>
      <c r="AQ184" s="138">
        <f t="shared" ca="1" si="723"/>
        <v>6541709.6405840237</v>
      </c>
      <c r="AR184" s="138">
        <f t="shared" ca="1" si="723"/>
        <v>6730636.2389125386</v>
      </c>
      <c r="AS184" s="138">
        <f t="shared" ca="1" si="723"/>
        <v>6820367.6655368218</v>
      </c>
      <c r="AT184" s="138">
        <f t="shared" ca="1" si="723"/>
        <v>6933572.9921650672</v>
      </c>
      <c r="AU184" s="138">
        <f t="shared" ca="1" si="723"/>
        <v>7142981.5346074887</v>
      </c>
      <c r="AV184" s="138">
        <f t="shared" ca="1" si="723"/>
        <v>7316687.1330530085</v>
      </c>
      <c r="AX184" s="171"/>
    </row>
    <row r="185" spans="1:50" x14ac:dyDescent="0.2">
      <c r="A185" s="65" t="str">
        <f ca="1">Language!A1357</f>
        <v>Чистая приведенная стоимость потоков проекта</v>
      </c>
      <c r="B185" s="215">
        <f ca="1">AX183</f>
        <v>7316687.1330530085</v>
      </c>
      <c r="C185" s="130" t="str">
        <f ca="1">Параметры!$C$64</f>
        <v>тыс. руб.</v>
      </c>
      <c r="D185" s="57"/>
      <c r="E185" s="57"/>
      <c r="F185" s="57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</row>
    <row r="186" spans="1:50" x14ac:dyDescent="0.2">
      <c r="A186" s="65"/>
      <c r="B186" s="215"/>
      <c r="D186" s="57"/>
      <c r="E186" s="57"/>
      <c r="F186" s="57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</row>
    <row r="187" spans="1:50" x14ac:dyDescent="0.2">
      <c r="A187" s="65" t="str">
        <f ca="1">Language!A1358</f>
        <v>Учет активов начального баланса</v>
      </c>
      <c r="B187" s="215" t="str">
        <f ca="1">Параметры!C134</f>
        <v>Да</v>
      </c>
      <c r="C187" s="130" t="str">
        <f ca="1">Параметры!$C$64</f>
        <v>тыс. руб.</v>
      </c>
      <c r="D187" s="57"/>
      <c r="E187" s="57" t="s">
        <v>1570</v>
      </c>
      <c r="F187" s="57" t="s">
        <v>753</v>
      </c>
      <c r="G187" s="138">
        <f>IF(G$2=1, -(Старт!$B$51+Проект!G819)/Параметры!$G$64, 0)</f>
        <v>-877894</v>
      </c>
      <c r="H187" s="138">
        <f>IF(H$2=1, -(Старт!$B$51+Проект!H819)/Параметры!$G$64, 0)</f>
        <v>0</v>
      </c>
      <c r="I187" s="138">
        <f>IF(I$2=1, -(Старт!$B$51+Проект!I819)/Параметры!$G$64, 0)</f>
        <v>0</v>
      </c>
      <c r="J187" s="138">
        <f>IF(J$2=1, -(Старт!$B$51+Проект!J819)/Параметры!$G$64, 0)</f>
        <v>0</v>
      </c>
      <c r="K187" s="138">
        <f>IF(K$2=1, -(Старт!$B$51+Проект!K819)/Параметры!$G$64, 0)</f>
        <v>0</v>
      </c>
      <c r="L187" s="138">
        <f>IF(L$2=1, -(Старт!$B$51+Проект!L819)/Параметры!$G$64, 0)</f>
        <v>0</v>
      </c>
      <c r="M187" s="138">
        <f>IF(M$2=1, -(Старт!$B$51+Проект!M819)/Параметры!$G$64, 0)</f>
        <v>0</v>
      </c>
      <c r="N187" s="138">
        <f>IF(N$2=1, -(Старт!$B$51+Проект!N819)/Параметры!$G$64, 0)</f>
        <v>0</v>
      </c>
      <c r="O187" s="138">
        <f>IF(O$2=1, -(Старт!$B$51+Проект!O819)/Параметры!$G$64, 0)</f>
        <v>0</v>
      </c>
      <c r="P187" s="138">
        <f>IF(P$2=1, -(Старт!$B$51+Проект!P819)/Параметры!$G$64, 0)</f>
        <v>0</v>
      </c>
      <c r="Q187" s="138">
        <f>IF(Q$2=1, -(Старт!$B$51+Проект!Q819)/Параметры!$G$64, 0)</f>
        <v>0</v>
      </c>
      <c r="R187" s="138">
        <f>IF(R$2=1, -(Старт!$B$51+Проект!R819)/Параметры!$G$64, 0)</f>
        <v>0</v>
      </c>
      <c r="S187" s="138">
        <f>IF(S$2=1, -(Старт!$B$51+Проект!S819)/Параметры!$G$64, 0)</f>
        <v>0</v>
      </c>
      <c r="T187" s="138">
        <f>IF(T$2=1, -(Старт!$B$51+Проект!T819)/Параметры!$G$64, 0)</f>
        <v>0</v>
      </c>
      <c r="U187" s="138">
        <f>IF(U$2=1, -(Старт!$B$51+Проект!U819)/Параметры!$G$64, 0)</f>
        <v>0</v>
      </c>
      <c r="V187" s="138">
        <f>IF(V$2=1, -(Старт!$B$51+Проект!V819)/Параметры!$G$64, 0)</f>
        <v>0</v>
      </c>
      <c r="W187" s="138">
        <f>IF(W$2=1, -(Старт!$B$51+Проект!W819)/Параметры!$G$64, 0)</f>
        <v>0</v>
      </c>
      <c r="X187" s="138">
        <f>IF(X$2=1, -(Старт!$B$51+Проект!X819)/Параметры!$G$64, 0)</f>
        <v>0</v>
      </c>
      <c r="Y187" s="138">
        <f>IF(Y$2=1, -(Старт!$B$51+Проект!Y819)/Параметры!$G$64, 0)</f>
        <v>0</v>
      </c>
      <c r="Z187" s="138">
        <f>IF(Z$2=1, -(Старт!$B$51+Проект!Z819)/Параметры!$G$64, 0)</f>
        <v>0</v>
      </c>
      <c r="AA187" s="138">
        <f>IF(AA$2=1, -(Старт!$B$51+Проект!AA819)/Параметры!$G$64, 0)</f>
        <v>0</v>
      </c>
      <c r="AB187" s="138">
        <f>IF(AB$2=1, -(Старт!$B$51+Проект!AB819)/Параметры!$G$64, 0)</f>
        <v>0</v>
      </c>
      <c r="AC187" s="138">
        <f>IF(AC$2=1, -(Старт!$B$51+Проект!AC819)/Параметры!$G$64, 0)</f>
        <v>0</v>
      </c>
      <c r="AD187" s="138">
        <f>IF(AD$2=1, -(Старт!$B$51+Проект!AD819)/Параметры!$G$64, 0)</f>
        <v>0</v>
      </c>
      <c r="AE187" s="138">
        <f>IF(AE$2=1, -(Старт!$B$51+Проект!AE819)/Параметры!$G$64, 0)</f>
        <v>0</v>
      </c>
      <c r="AF187" s="138">
        <f>IF(AF$2=1, -(Старт!$B$51+Проект!AF819)/Параметры!$G$64, 0)</f>
        <v>0</v>
      </c>
      <c r="AG187" s="138">
        <f>IF(AG$2=1, -(Старт!$B$51+Проект!AG819)/Параметры!$G$64, 0)</f>
        <v>0</v>
      </c>
      <c r="AH187" s="138">
        <f>IF(AH$2=1, -(Старт!$B$51+Проект!AH819)/Параметры!$G$64, 0)</f>
        <v>0</v>
      </c>
      <c r="AI187" s="138">
        <f>IF(AI$2=1, -(Старт!$B$51+Проект!AI819)/Параметры!$G$64, 0)</f>
        <v>0</v>
      </c>
      <c r="AJ187" s="138">
        <f>IF(AJ$2=1, -(Старт!$B$51+Проект!AJ819)/Параметры!$G$64, 0)</f>
        <v>0</v>
      </c>
      <c r="AK187" s="138">
        <f>IF(AK$2=1, -(Старт!$B$51+Проект!AK819)/Параметры!$G$64, 0)</f>
        <v>0</v>
      </c>
      <c r="AL187" s="138">
        <f>IF(AL$2=1, -(Старт!$B$51+Проект!AL819)/Параметры!$G$64, 0)</f>
        <v>0</v>
      </c>
      <c r="AM187" s="138">
        <f>IF(AM$2=1, -(Старт!$B$51+Проект!AM819)/Параметры!$G$64, 0)</f>
        <v>0</v>
      </c>
      <c r="AN187" s="138">
        <f>IF(AN$2=1, -(Старт!$B$51+Проект!AN819)/Параметры!$G$64, 0)</f>
        <v>0</v>
      </c>
      <c r="AO187" s="138">
        <f>IF(AO$2=1, -(Старт!$B$51+Проект!AO819)/Параметры!$G$64, 0)</f>
        <v>0</v>
      </c>
      <c r="AP187" s="138">
        <f>IF(AP$2=1, -(Старт!$B$51+Проект!AP819)/Параметры!$G$64, 0)</f>
        <v>0</v>
      </c>
      <c r="AQ187" s="138">
        <f>IF(AQ$2=1, -(Старт!$B$51+Проект!AQ819)/Параметры!$G$64, 0)</f>
        <v>0</v>
      </c>
      <c r="AR187" s="138">
        <f>IF(AR$2=1, -(Старт!$B$51+Проект!AR819)/Параметры!$G$64, 0)</f>
        <v>0</v>
      </c>
      <c r="AS187" s="138">
        <f>IF(AS$2=1, -(Старт!$B$51+Проект!AS819)/Параметры!$G$64, 0)</f>
        <v>0</v>
      </c>
      <c r="AT187" s="138">
        <f>IF(AT$2=1, -(Старт!$B$51+Проект!AT819)/Параметры!$G$64, 0)</f>
        <v>0</v>
      </c>
      <c r="AU187" s="138">
        <f>IF(AU$2=1, -(Старт!$B$51+Проект!AU819)/Параметры!$G$64, 0)</f>
        <v>0</v>
      </c>
      <c r="AV187" s="138">
        <f>IF(AV$2=1, -(Старт!$B$51+Проект!AV819)/Параметры!$G$64, 0)</f>
        <v>0</v>
      </c>
      <c r="AX187" s="171">
        <f>SUM(G187:AW187)</f>
        <v>-877894</v>
      </c>
    </row>
    <row r="188" spans="1:50" collapsed="1" x14ac:dyDescent="0.2">
      <c r="A188" s="65" t="str">
        <f ca="1">Language!A1359</f>
        <v>Учет продленной стоимости</v>
      </c>
      <c r="B188" s="215" t="str">
        <f ca="1">Параметры!C135</f>
        <v>Нет</v>
      </c>
      <c r="C188" s="130" t="str">
        <f ca="1">Параметры!$C$64</f>
        <v>тыс. руб.</v>
      </c>
      <c r="D188" s="57"/>
      <c r="E188" s="57"/>
      <c r="F188" s="57" t="s">
        <v>753</v>
      </c>
      <c r="G188" s="148">
        <f ca="1">IF(G177-Параметры!$B$137=0,0,IF(G$2=Prj_Len,G189*(1+Параметры!$B$137)/(G177-Параметры!$B$137),0))</f>
        <v>0</v>
      </c>
      <c r="H188" s="148">
        <f ca="1">IF(H177-Параметры!$B$137=0,0,IF(H$2=Prj_Len,H189*(1+Параметры!$B$137)/(H177-Параметры!$B$137),0))</f>
        <v>0</v>
      </c>
      <c r="I188" s="148">
        <f ca="1">IF(I177-Параметры!$B$137=0,0,IF(I$2=Prj_Len,I189*(1+Параметры!$B$137)/(I177-Параметры!$B$137),0))</f>
        <v>0</v>
      </c>
      <c r="J188" s="148">
        <f ca="1">IF(J177-Параметры!$B$137=0,0,IF(J$2=Prj_Len,J189*(1+Параметры!$B$137)/(J177-Параметры!$B$137),0))</f>
        <v>0</v>
      </c>
      <c r="K188" s="148">
        <f ca="1">IF(K177-Параметры!$B$137=0,0,IF(K$2=Prj_Len,K189*(1+Параметры!$B$137)/(K177-Параметры!$B$137),0))</f>
        <v>0</v>
      </c>
      <c r="L188" s="148">
        <f ca="1">IF(L177-Параметры!$B$137=0,0,IF(L$2=Prj_Len,L189*(1+Параметры!$B$137)/(L177-Параметры!$B$137),0))</f>
        <v>0</v>
      </c>
      <c r="M188" s="148">
        <f ca="1">IF(M177-Параметры!$B$137=0,0,IF(M$2=Prj_Len,M189*(1+Параметры!$B$137)/(M177-Параметры!$B$137),0))</f>
        <v>0</v>
      </c>
      <c r="N188" s="148">
        <f ca="1">IF(N177-Параметры!$B$137=0,0,IF(N$2=Prj_Len,N189*(1+Параметры!$B$137)/(N177-Параметры!$B$137),0))</f>
        <v>0</v>
      </c>
      <c r="O188" s="148">
        <f ca="1">IF(O177-Параметры!$B$137=0,0,IF(O$2=Prj_Len,O189*(1+Параметры!$B$137)/(O177-Параметры!$B$137),0))</f>
        <v>0</v>
      </c>
      <c r="P188" s="148">
        <f ca="1">IF(P177-Параметры!$B$137=0,0,IF(P$2=Prj_Len,P189*(1+Параметры!$B$137)/(P177-Параметры!$B$137),0))</f>
        <v>0</v>
      </c>
      <c r="Q188" s="148">
        <f ca="1">IF(Q177-Параметры!$B$137=0,0,IF(Q$2=Prj_Len,Q189*(1+Параметры!$B$137)/(Q177-Параметры!$B$137),0))</f>
        <v>0</v>
      </c>
      <c r="R188" s="148">
        <f ca="1">IF(R177-Параметры!$B$137=0,0,IF(R$2=Prj_Len,R189*(1+Параметры!$B$137)/(R177-Параметры!$B$137),0))</f>
        <v>0</v>
      </c>
      <c r="S188" s="148">
        <f ca="1">IF(S177-Параметры!$B$137=0,0,IF(S$2=Prj_Len,S189*(1+Параметры!$B$137)/(S177-Параметры!$B$137),0))</f>
        <v>0</v>
      </c>
      <c r="T188" s="148">
        <f ca="1">IF(T177-Параметры!$B$137=0,0,IF(T$2=Prj_Len,T189*(1+Параметры!$B$137)/(T177-Параметры!$B$137),0))</f>
        <v>0</v>
      </c>
      <c r="U188" s="148">
        <f ca="1">IF(U177-Параметры!$B$137=0,0,IF(U$2=Prj_Len,U189*(1+Параметры!$B$137)/(U177-Параметры!$B$137),0))</f>
        <v>0</v>
      </c>
      <c r="V188" s="148">
        <f ca="1">IF(V177-Параметры!$B$137=0,0,IF(V$2=Prj_Len,V189*(1+Параметры!$B$137)/(V177-Параметры!$B$137),0))</f>
        <v>0</v>
      </c>
      <c r="W188" s="148">
        <f ca="1">IF(W177-Параметры!$B$137=0,0,IF(W$2=Prj_Len,W189*(1+Параметры!$B$137)/(W177-Параметры!$B$137),0))</f>
        <v>0</v>
      </c>
      <c r="X188" s="148">
        <f ca="1">IF(X177-Параметры!$B$137=0,0,IF(X$2=Prj_Len,X189*(1+Параметры!$B$137)/(X177-Параметры!$B$137),0))</f>
        <v>0</v>
      </c>
      <c r="Y188" s="148">
        <f ca="1">IF(Y177-Параметры!$B$137=0,0,IF(Y$2=Prj_Len,Y189*(1+Параметры!$B$137)/(Y177-Параметры!$B$137),0))</f>
        <v>0</v>
      </c>
      <c r="Z188" s="148">
        <f ca="1">IF(Z177-Параметры!$B$137=0,0,IF(Z$2=Prj_Len,Z189*(1+Параметры!$B$137)/(Z177-Параметры!$B$137),0))</f>
        <v>0</v>
      </c>
      <c r="AA188" s="148">
        <f ca="1">IF(AA177-Параметры!$B$137=0,0,IF(AA$2=Prj_Len,AA189*(1+Параметры!$B$137)/(AA177-Параметры!$B$137),0))</f>
        <v>0</v>
      </c>
      <c r="AB188" s="148">
        <f ca="1">IF(AB177-Параметры!$B$137=0,0,IF(AB$2=Prj_Len,AB189*(1+Параметры!$B$137)/(AB177-Параметры!$B$137),0))</f>
        <v>0</v>
      </c>
      <c r="AC188" s="148">
        <f ca="1">IF(AC177-Параметры!$B$137=0,0,IF(AC$2=Prj_Len,AC189*(1+Параметры!$B$137)/(AC177-Параметры!$B$137),0))</f>
        <v>0</v>
      </c>
      <c r="AD188" s="148">
        <f ca="1">IF(AD177-Параметры!$B$137=0,0,IF(AD$2=Prj_Len,AD189*(1+Параметры!$B$137)/(AD177-Параметры!$B$137),0))</f>
        <v>0</v>
      </c>
      <c r="AE188" s="148">
        <f ca="1">IF(AE177-Параметры!$B$137=0,0,IF(AE$2=Prj_Len,AE189*(1+Параметры!$B$137)/(AE177-Параметры!$B$137),0))</f>
        <v>0</v>
      </c>
      <c r="AF188" s="148">
        <f ca="1">IF(AF177-Параметры!$B$137=0,0,IF(AF$2=Prj_Len,AF189*(1+Параметры!$B$137)/(AF177-Параметры!$B$137),0))</f>
        <v>0</v>
      </c>
      <c r="AG188" s="148">
        <f ca="1">IF(AG177-Параметры!$B$137=0,0,IF(AG$2=Prj_Len,AG189*(1+Параметры!$B$137)/(AG177-Параметры!$B$137),0))</f>
        <v>0</v>
      </c>
      <c r="AH188" s="148">
        <f ca="1">IF(AH177-Параметры!$B$137=0,0,IF(AH$2=Prj_Len,AH189*(1+Параметры!$B$137)/(AH177-Параметры!$B$137),0))</f>
        <v>0</v>
      </c>
      <c r="AI188" s="148">
        <f ca="1">IF(AI177-Параметры!$B$137=0,0,IF(AI$2=Prj_Len,AI189*(1+Параметры!$B$137)/(AI177-Параметры!$B$137),0))</f>
        <v>0</v>
      </c>
      <c r="AJ188" s="148">
        <f ca="1">IF(AJ177-Параметры!$B$137=0,0,IF(AJ$2=Prj_Len,AJ189*(1+Параметры!$B$137)/(AJ177-Параметры!$B$137),0))</f>
        <v>0</v>
      </c>
      <c r="AK188" s="148">
        <f ca="1">IF(AK177-Параметры!$B$137=0,0,IF(AK$2=Prj_Len,AK189*(1+Параметры!$B$137)/(AK177-Параметры!$B$137),0))</f>
        <v>0</v>
      </c>
      <c r="AL188" s="148">
        <f ca="1">IF(AL177-Параметры!$B$137=0,0,IF(AL$2=Prj_Len,AL189*(1+Параметры!$B$137)/(AL177-Параметры!$B$137),0))</f>
        <v>0</v>
      </c>
      <c r="AM188" s="148">
        <f ca="1">IF(AM177-Параметры!$B$137=0,0,IF(AM$2=Prj_Len,AM189*(1+Параметры!$B$137)/(AM177-Параметры!$B$137),0))</f>
        <v>0</v>
      </c>
      <c r="AN188" s="148">
        <f ca="1">IF(AN177-Параметры!$B$137=0,0,IF(AN$2=Prj_Len,AN189*(1+Параметры!$B$137)/(AN177-Параметры!$B$137),0))</f>
        <v>0</v>
      </c>
      <c r="AO188" s="148">
        <f ca="1">IF(AO177-Параметры!$B$137=0,0,IF(AO$2=Prj_Len,AO189*(1+Параметры!$B$137)/(AO177-Параметры!$B$137),0))</f>
        <v>0</v>
      </c>
      <c r="AP188" s="148">
        <f ca="1">IF(AP177-Параметры!$B$137=0,0,IF(AP$2=Prj_Len,AP189*(1+Параметры!$B$137)/(AP177-Параметры!$B$137),0))</f>
        <v>0</v>
      </c>
      <c r="AQ188" s="148">
        <f ca="1">IF(AQ177-Параметры!$B$137=0,0,IF(AQ$2=Prj_Len,AQ189*(1+Параметры!$B$137)/(AQ177-Параметры!$B$137),0))</f>
        <v>0</v>
      </c>
      <c r="AR188" s="148">
        <f ca="1">IF(AR177-Параметры!$B$137=0,0,IF(AR$2=Prj_Len,AR189*(1+Параметры!$B$137)/(AR177-Параметры!$B$137),0))</f>
        <v>0</v>
      </c>
      <c r="AS188" s="148">
        <f ca="1">IF(AS177-Параметры!$B$137=0,0,IF(AS$2=Prj_Len,AS189*(1+Параметры!$B$137)/(AS177-Параметры!$B$137),0))</f>
        <v>0</v>
      </c>
      <c r="AT188" s="148">
        <f ca="1">IF(AT177-Параметры!$B$137=0,0,IF(AT$2=Prj_Len,AT189*(1+Параметры!$B$137)/(AT177-Параметры!$B$137),0))</f>
        <v>0</v>
      </c>
      <c r="AU188" s="148">
        <f ca="1">IF(AU177-Параметры!$B$137=0,0,IF(AU$2=Prj_Len,AU189*(1+Параметры!$B$137)/(AU177-Параметры!$B$137),0))</f>
        <v>0</v>
      </c>
      <c r="AV188" s="148">
        <f ca="1">IF(AV177-Параметры!$B$137=0,0,IF(AV$2=Prj_Len,AV189*(1+Параметры!$B$137)/(AV177-Параметры!$B$137),0))</f>
        <v>-1442477632.7831538</v>
      </c>
      <c r="AX188" s="171">
        <f ca="1">SUM(G188:AW188)</f>
        <v>-1442477632.7831538</v>
      </c>
    </row>
    <row r="189" spans="1:50" hidden="1" outlineLevel="1" x14ac:dyDescent="0.2">
      <c r="A189" s="99" t="str">
        <f ca="1">Language!A1360</f>
        <v>NOPLAT</v>
      </c>
      <c r="B189" s="215"/>
      <c r="C189" s="130" t="str">
        <f ca="1">Параметры!$C$64</f>
        <v>тыс. руб.</v>
      </c>
      <c r="D189" s="57"/>
      <c r="E189" s="57"/>
      <c r="F189" s="57" t="s">
        <v>753</v>
      </c>
      <c r="G189" s="148">
        <f ca="1">(G$17+G$19+G$20) * (1-Параметры!G$81)</f>
        <v>46508.459852965898</v>
      </c>
      <c r="H189" s="148">
        <f ca="1">(H$17+H$19+H$20) * (1-Параметры!H$81)</f>
        <v>-60277.774699052316</v>
      </c>
      <c r="I189" s="148">
        <f ca="1">(I$17+I$19+I$20) * (1-Параметры!I$81)</f>
        <v>-62153.185445202456</v>
      </c>
      <c r="J189" s="148">
        <f ca="1">(J$17+J$19+J$20) * (1-Параметры!J$81)</f>
        <v>-21583.876219787366</v>
      </c>
      <c r="K189" s="148">
        <f ca="1">(K$17+K$19+K$20) * (1-Параметры!K$81)</f>
        <v>147357.52905769111</v>
      </c>
      <c r="L189" s="148">
        <f ca="1">(L$17+L$19+L$20) * (1-Параметры!L$81)</f>
        <v>985.14265847907518</v>
      </c>
      <c r="M189" s="148">
        <f ca="1">(M$17+M$19+M$20) * (1-Параметры!M$81)</f>
        <v>-20487.474075166174</v>
      </c>
      <c r="N189" s="148">
        <f ca="1">(N$17+N$19+N$20) * (1-Параметры!N$81)</f>
        <v>18800.706015605887</v>
      </c>
      <c r="O189" s="148">
        <f ca="1">(O$17+O$19+O$20) * (1-Параметры!O$81)</f>
        <v>210492.17888039217</v>
      </c>
      <c r="P189" s="148">
        <f ca="1">(P$17+P$19+P$20) * (1-Параметры!P$81)</f>
        <v>43820.722706753484</v>
      </c>
      <c r="Q189" s="148">
        <f ca="1">(Q$17+Q$19+Q$20) * (1-Параметры!Q$81)</f>
        <v>25510.46694091658</v>
      </c>
      <c r="R189" s="148">
        <f ca="1">(R$17+R$19+R$20) * (1-Параметры!R$81)</f>
        <v>56349.042299932858</v>
      </c>
      <c r="S189" s="148">
        <f ca="1">(S$17+S$19+S$20) * (1-Параметры!S$81)</f>
        <v>248408.76710164454</v>
      </c>
      <c r="T189" s="148">
        <f ca="1">(T$17+T$19+T$20) * (1-Параметры!T$81)</f>
        <v>60270.195832383382</v>
      </c>
      <c r="U189" s="148">
        <f ca="1">(U$17+U$19+U$20) * (1-Параметры!U$81)</f>
        <v>44941.991958647515</v>
      </c>
      <c r="V189" s="148">
        <f ca="1">(V$17+V$19+V$20) * (1-Параметры!V$81)</f>
        <v>77826.39046267161</v>
      </c>
      <c r="W189" s="148">
        <f ca="1">(W$17+W$19+W$20) * (1-Параметры!W$81)</f>
        <v>281608.07623941806</v>
      </c>
      <c r="X189" s="148">
        <f ca="1">(X$17+X$19+X$20) * (1-Параметры!X$81)</f>
        <v>82382.479141659685</v>
      </c>
      <c r="Y189" s="148">
        <f ca="1">(Y$17+Y$19+Y$20) * (1-Параметры!Y$81)</f>
        <v>50855.164278575248</v>
      </c>
      <c r="Z189" s="148">
        <f ca="1">(Z$17+Z$19+Z$20) * (1-Параметры!Z$81)</f>
        <v>85692.660975830251</v>
      </c>
      <c r="AA189" s="148">
        <f ca="1">(AA$17+AA$19+AA$20) * (1-Параметры!AA$81)</f>
        <v>301680.98920831084</v>
      </c>
      <c r="AB189" s="148">
        <f ca="1">(AB$17+AB$19+AB$20) * (1-Параметры!AB$81)</f>
        <v>90481.300320903072</v>
      </c>
      <c r="AC189" s="148">
        <f ca="1">(AC$17+AC$19+AC$20) * (1-Параметры!AC$81)</f>
        <v>65206.200819145888</v>
      </c>
      <c r="AD189" s="148">
        <f ca="1">(AD$17+AD$19+AD$20) * (1-Параметры!AD$81)</f>
        <v>102232.59138393198</v>
      </c>
      <c r="AE189" s="148">
        <f ca="1">(AE$17+AE$19+AE$20) * (1-Параметры!AE$81)</f>
        <v>331280.31086390279</v>
      </c>
      <c r="AF189" s="148">
        <f ca="1">(AF$17+AF$19+AF$20) * (1-Параметры!AF$81)</f>
        <v>107510.200924851</v>
      </c>
      <c r="AG189" s="148">
        <f ca="1">(AG$17+AG$19+AG$20) * (1-Параметры!AG$81)</f>
        <v>75651.530182767659</v>
      </c>
      <c r="AH189" s="148">
        <f ca="1">(AH$17+AH$19+AH$20) * (1-Параметры!AH$81)</f>
        <v>114928.20140668884</v>
      </c>
      <c r="AI189" s="148">
        <f ca="1">(AI$17+AI$19+AI$20) * (1-Параметры!AI$81)</f>
        <v>357747.90237937449</v>
      </c>
      <c r="AJ189" s="148">
        <f ca="1">(AJ$17+AJ$19+AJ$20) * (1-Параметры!AJ$81)</f>
        <v>120581.13144570211</v>
      </c>
      <c r="AK189" s="148">
        <f ca="1">(AK$17+AK$19+AK$20) * (1-Параметры!AK$81)</f>
        <v>83722.188778124895</v>
      </c>
      <c r="AL189" s="148">
        <f ca="1">(AL$17+AL$19+AL$20) * (1-Параметры!AL$81)</f>
        <v>125340.11555779865</v>
      </c>
      <c r="AM189" s="148">
        <f ca="1">(AM$17+AM$19+AM$20) * (1-Параметры!AM$81)</f>
        <v>382713.42870513618</v>
      </c>
      <c r="AN189" s="148">
        <f ca="1">(AN$17+AN$19+AN$20) * (1-Параметры!AN$81)</f>
        <v>131300.85316165583</v>
      </c>
      <c r="AO189" s="148">
        <f ca="1">(AO$17+AO$19+AO$20) * (1-Параметры!AO$81)</f>
        <v>92869.355770273105</v>
      </c>
      <c r="AP189" s="148">
        <f ca="1">(AP$17+AP$19+AP$20) * (1-Параметры!AP$81)</f>
        <v>136977.70430149607</v>
      </c>
      <c r="AQ189" s="148">
        <f ca="1">(AQ$17+AQ$19+AQ$20) * (1-Параметры!AQ$81)</f>
        <v>479080.91474479449</v>
      </c>
      <c r="AR189" s="148">
        <f ca="1">(AR$17+AR$19+AR$20) * (1-Параметры!AR$81)</f>
        <v>212576.73410545813</v>
      </c>
      <c r="AS189" s="148">
        <f ca="1">(AS$17+AS$19+AS$20) * (1-Параметры!AS$81)</f>
        <v>145686.83895247991</v>
      </c>
      <c r="AT189" s="148">
        <f ca="1">(AT$17+AT$19+AT$20) * (1-Параметры!AT$81)</f>
        <v>192050.97943010277</v>
      </c>
      <c r="AU189" s="148">
        <f ca="1">(AU$17+AU$19+AU$20) * (1-Параметры!AU$81)</f>
        <v>487064.2268566931</v>
      </c>
      <c r="AV189" s="148">
        <f ca="1">(AV$17+AV$19+AV$20) * (1-Параметры!AV$81)</f>
        <v>204167.53587886802</v>
      </c>
      <c r="AX189" s="171">
        <f ca="1">SUM(G189:AW189)</f>
        <v>5658158.8991428185</v>
      </c>
    </row>
    <row r="190" spans="1:50" s="98" customFormat="1" x14ac:dyDescent="0.2">
      <c r="A190" s="92" t="str">
        <f ca="1">Language!A$1323</f>
        <v>Денежный поток для расчета эффективности</v>
      </c>
      <c r="B190" s="271"/>
      <c r="C190" s="272" t="str">
        <f ca="1">Параметры!$C$64</f>
        <v>тыс. руб.</v>
      </c>
      <c r="D190" s="273"/>
      <c r="E190" s="273"/>
      <c r="F190" s="273" t="s">
        <v>753</v>
      </c>
      <c r="G190" s="212">
        <f ca="1">G179+IF(Параметры!$B$134=1,G187,0)+IF(Параметры!$B$135=1,G188,0)</f>
        <v>-718433.45228188299</v>
      </c>
      <c r="H190" s="212">
        <f ca="1">H179+IF(Параметры!$B$134=1,H187,0)+IF(Параметры!$B$135=1,H188,0)</f>
        <v>26333.015221464142</v>
      </c>
      <c r="I190" s="212">
        <f ca="1">I179+IF(Параметры!$B$134=1,I187,0)+IF(Параметры!$B$135=1,I188,0)</f>
        <v>-13460.459012748324</v>
      </c>
      <c r="J190" s="212">
        <f ca="1">J179+IF(Параметры!$B$134=1,J187,0)+IF(Параметры!$B$135=1,J188,0)</f>
        <v>51966.285322022799</v>
      </c>
      <c r="K190" s="212">
        <f ca="1">K179+IF(Параметры!$B$134=1,K187,0)+IF(Параметры!$B$135=1,K188,0)</f>
        <v>241398.69262800686</v>
      </c>
      <c r="L190" s="212">
        <f ca="1">L179+IF(Параметры!$B$134=1,L187,0)+IF(Параметры!$B$135=1,L188,0)</f>
        <v>218916.073608429</v>
      </c>
      <c r="M190" s="212">
        <f ca="1">M179+IF(Параметры!$B$134=1,M187,0)+IF(Параметры!$B$135=1,M188,0)</f>
        <v>132986.85524138424</v>
      </c>
      <c r="N190" s="212">
        <f ca="1">N179+IF(Параметры!$B$134=1,N187,0)+IF(Параметры!$B$135=1,N188,0)</f>
        <v>175939.09372942464</v>
      </c>
      <c r="O190" s="212">
        <f ca="1">O179+IF(Параметры!$B$134=1,O187,0)+IF(Параметры!$B$135=1,O188,0)</f>
        <v>295570.17973432835</v>
      </c>
      <c r="P190" s="212">
        <f ca="1">P179+IF(Параметры!$B$134=1,P187,0)+IF(Параметры!$B$135=1,P188,0)</f>
        <v>269147.73803665274</v>
      </c>
      <c r="Q190" s="212">
        <f ca="1">Q179+IF(Параметры!$B$134=1,Q187,0)+IF(Параметры!$B$135=1,Q188,0)</f>
        <v>179199.78097389673</v>
      </c>
      <c r="R190" s="212">
        <f ca="1">R179+IF(Параметры!$B$134=1,R187,0)+IF(Параметры!$B$135=1,R188,0)</f>
        <v>219151.72048817965</v>
      </c>
      <c r="S190" s="212">
        <f ca="1">S179+IF(Параметры!$B$134=1,S187,0)+IF(Параметры!$B$135=1,S188,0)</f>
        <v>335009.23560752411</v>
      </c>
      <c r="T190" s="212">
        <f ca="1">T179+IF(Параметры!$B$134=1,T187,0)+IF(Параметры!$B$135=1,T188,0)</f>
        <v>295720.46050562896</v>
      </c>
      <c r="U190" s="212">
        <f ca="1">U179+IF(Параметры!$B$134=1,U187,0)+IF(Параметры!$B$135=1,U188,0)</f>
        <v>195733.25577490771</v>
      </c>
      <c r="V190" s="212">
        <f ca="1">V179+IF(Параметры!$B$134=1,V187,0)+IF(Параметры!$B$135=1,V188,0)</f>
        <v>235884.78074636351</v>
      </c>
      <c r="W190" s="212">
        <f ca="1">W179+IF(Параметры!$B$134=1,W187,0)+IF(Параметры!$B$135=1,W188,0)</f>
        <v>352920.46233665285</v>
      </c>
      <c r="X190" s="212">
        <f ca="1">X179+IF(Параметры!$B$134=1,X187,0)+IF(Параметры!$B$135=1,X188,0)</f>
        <v>306477.66567656182</v>
      </c>
      <c r="Y190" s="212">
        <f ca="1">Y179+IF(Параметры!$B$134=1,Y187,0)+IF(Параметры!$B$135=1,Y188,0)</f>
        <v>191470.91563308594</v>
      </c>
      <c r="Z190" s="212">
        <f ca="1">Z179+IF(Параметры!$B$134=1,Z187,0)+IF(Параметры!$B$135=1,Z188,0)</f>
        <v>227336.6080672004</v>
      </c>
      <c r="AA190" s="212">
        <f ca="1">AA179+IF(Параметры!$B$134=1,AA187,0)+IF(Параметры!$B$135=1,AA188,0)</f>
        <v>351139.88972480758</v>
      </c>
      <c r="AB190" s="212">
        <f ca="1">AB179+IF(Параметры!$B$134=1,AB187,0)+IF(Параметры!$B$135=1,AB188,0)</f>
        <v>301653.24395116838</v>
      </c>
      <c r="AC190" s="212">
        <f ca="1">AC179+IF(Параметры!$B$134=1,AC187,0)+IF(Параметры!$B$135=1,AC188,0)</f>
        <v>184753.15199397964</v>
      </c>
      <c r="AD190" s="212">
        <f ca="1">AD179+IF(Параметры!$B$134=1,AD187,0)+IF(Параметры!$B$135=1,AD188,0)</f>
        <v>225137.58726759348</v>
      </c>
      <c r="AE190" s="212">
        <f ca="1">AE179+IF(Параметры!$B$134=1,AE187,0)+IF(Параметры!$B$135=1,AE188,0)</f>
        <v>356008.2004453736</v>
      </c>
      <c r="AF190" s="212">
        <f ca="1">AF179+IF(Параметры!$B$134=1,AF187,0)+IF(Параметры!$B$135=1,AF188,0)</f>
        <v>303184.56940042012</v>
      </c>
      <c r="AG190" s="212">
        <f ca="1">AG179+IF(Параметры!$B$134=1,AG187,0)+IF(Параметры!$B$135=1,AG188,0)</f>
        <v>176315.76707386202</v>
      </c>
      <c r="AH190" s="212">
        <f ca="1">AH179+IF(Параметры!$B$134=1,AH187,0)+IF(Параметры!$B$135=1,AH188,0)</f>
        <v>216311.9206679413</v>
      </c>
      <c r="AI190" s="212">
        <f ca="1">AI179+IF(Параметры!$B$134=1,AI187,0)+IF(Параметры!$B$135=1,AI188,0)</f>
        <v>354705.37977566081</v>
      </c>
      <c r="AJ190" s="212">
        <f ca="1">AJ179+IF(Параметры!$B$134=1,AJ187,0)+IF(Параметры!$B$135=1,AJ188,0)</f>
        <v>298378.0854837111</v>
      </c>
      <c r="AK190" s="212">
        <f ca="1">AK179+IF(Параметры!$B$134=1,AK187,0)+IF(Параметры!$B$135=1,AK188,0)</f>
        <v>161683.46702978329</v>
      </c>
      <c r="AL190" s="212">
        <f ca="1">AL179+IF(Параметры!$B$134=1,AL187,0)+IF(Параметры!$B$135=1,AL188,0)</f>
        <v>202591.75949739973</v>
      </c>
      <c r="AM190" s="212">
        <f ca="1">AM179+IF(Параметры!$B$134=1,AM187,0)+IF(Параметры!$B$135=1,AM188,0)</f>
        <v>356610.09357837564</v>
      </c>
      <c r="AN190" s="212">
        <f ca="1">AN179+IF(Параметры!$B$134=1,AN187,0)+IF(Параметры!$B$135=1,AN188,0)</f>
        <v>304389.31270437461</v>
      </c>
      <c r="AO190" s="212">
        <f ca="1">AO179+IF(Параметры!$B$134=1,AO187,0)+IF(Параметры!$B$135=1,AO188,0)</f>
        <v>163869.81099400215</v>
      </c>
      <c r="AP190" s="212">
        <f ca="1">AP179+IF(Параметры!$B$134=1,AP187,0)+IF(Параметры!$B$135=1,AP188,0)</f>
        <v>212828.56480315898</v>
      </c>
      <c r="AQ190" s="212">
        <f ca="1">AQ179+IF(Параметры!$B$134=1,AQ187,0)+IF(Параметры!$B$135=1,AQ188,0)</f>
        <v>377540.30579911149</v>
      </c>
      <c r="AR190" s="212">
        <f ca="1">AR179+IF(Параметры!$B$134=1,AR187,0)+IF(Параметры!$B$135=1,AR188,0)</f>
        <v>322179.43428775296</v>
      </c>
      <c r="AS190" s="212">
        <f ca="1">AS179+IF(Параметры!$B$134=1,AS187,0)+IF(Параметры!$B$135=1,AS188,0)</f>
        <v>155243.8034234533</v>
      </c>
      <c r="AT190" s="212">
        <f ca="1">AT179+IF(Параметры!$B$134=1,AT187,0)+IF(Параметры!$B$135=1,AT188,0)</f>
        <v>198701.68774011367</v>
      </c>
      <c r="AU190" s="212">
        <f ca="1">AU179+IF(Параметры!$B$134=1,AU187,0)+IF(Параметры!$B$135=1,AU188,0)</f>
        <v>372901.45675774344</v>
      </c>
      <c r="AV190" s="212">
        <f ca="1">AV179+IF(Параметры!$B$134=1,AV187,0)+IF(Параметры!$B$135=1,AV188,0)</f>
        <v>313818.46509628498</v>
      </c>
      <c r="AX190" s="143">
        <f ca="1">SUM(G190:AW190)</f>
        <v>9129214.8655331563</v>
      </c>
    </row>
    <row r="191" spans="1:50" x14ac:dyDescent="0.2">
      <c r="A191" s="65" t="str">
        <f ca="1">Language!A1324</f>
        <v>Дисконтированный денежный поток</v>
      </c>
      <c r="B191" s="215"/>
      <c r="C191" s="130" t="str">
        <f ca="1">Параметры!$C$64</f>
        <v>тыс. руб.</v>
      </c>
      <c r="D191" s="57"/>
      <c r="E191" s="57"/>
      <c r="F191" s="57" t="s">
        <v>753</v>
      </c>
      <c r="G191" s="148">
        <f ca="1">G190/G178</f>
        <v>-718433.45228188299</v>
      </c>
      <c r="H191" s="148">
        <f t="shared" ref="H191:K191" ca="1" si="724">H190/H178</f>
        <v>25955.870460088867</v>
      </c>
      <c r="I191" s="148">
        <f t="shared" ca="1" si="724"/>
        <v>-13077.655287022586</v>
      </c>
      <c r="J191" s="148">
        <f t="shared" ca="1" si="724"/>
        <v>49765.308087090983</v>
      </c>
      <c r="K191" s="148">
        <f t="shared" ca="1" si="724"/>
        <v>227863.59508024045</v>
      </c>
      <c r="L191" s="148">
        <f t="shared" ref="L191:M191" ca="1" si="725">L190/L178</f>
        <v>203682.01814579868</v>
      </c>
      <c r="M191" s="148">
        <f t="shared" ca="1" si="725"/>
        <v>121960.37847337654</v>
      </c>
      <c r="N191" s="148">
        <f t="shared" ref="N191:O191" ca="1" si="726">N190/N178</f>
        <v>159040.38029019572</v>
      </c>
      <c r="O191" s="148">
        <f t="shared" ca="1" si="726"/>
        <v>263354.46048456628</v>
      </c>
      <c r="P191" s="148">
        <f t="shared" ref="P191:Q191" ca="1" si="727">P190/P178</f>
        <v>236377.32029320777</v>
      </c>
      <c r="Q191" s="148">
        <f t="shared" ca="1" si="727"/>
        <v>155127.05688592757</v>
      </c>
      <c r="R191" s="148">
        <f t="shared" ref="R191:S191" ca="1" si="728">R190/R178</f>
        <v>186994.98993690041</v>
      </c>
      <c r="S191" s="148">
        <f t="shared" ca="1" si="728"/>
        <v>281758.40109823796</v>
      </c>
      <c r="T191" s="148">
        <f t="shared" ref="T191:U191" ca="1" si="729">T190/T178</f>
        <v>245152.58436257002</v>
      </c>
      <c r="U191" s="148">
        <f t="shared" ca="1" si="729"/>
        <v>159939.13025408232</v>
      </c>
      <c r="V191" s="148">
        <f t="shared" ref="V191:W191" ca="1" si="730">V190/V178</f>
        <v>189987.50477414054</v>
      </c>
      <c r="W191" s="148">
        <f t="shared" ca="1" si="730"/>
        <v>280179.89300050301</v>
      </c>
      <c r="X191" s="148">
        <f t="shared" ref="X191:Y191" ca="1" si="731">X190/X178</f>
        <v>239824.73020991072</v>
      </c>
      <c r="Y191" s="148">
        <f t="shared" ca="1" si="731"/>
        <v>147683.83296079928</v>
      </c>
      <c r="Z191" s="148">
        <f t="shared" ref="Z191:AA191" ca="1" si="732">Z190/Z178</f>
        <v>172836.12667932792</v>
      </c>
      <c r="AA191" s="148">
        <f t="shared" ca="1" si="732"/>
        <v>263136.0344345065</v>
      </c>
      <c r="AB191" s="148">
        <f t="shared" ref="AB191:AC191" ca="1" si="733">AB190/AB178</f>
        <v>222814.35382336291</v>
      </c>
      <c r="AC191" s="148">
        <f t="shared" ca="1" si="733"/>
        <v>134512.30943778064</v>
      </c>
      <c r="AD191" s="148">
        <f t="shared" ref="AD191:AE191" ca="1" si="734">AD190/AD178</f>
        <v>161567.19609909254</v>
      </c>
      <c r="AE191" s="148">
        <f t="shared" ca="1" si="734"/>
        <v>251825.78140088113</v>
      </c>
      <c r="AF191" s="148">
        <f t="shared" ref="AF191:AG191" ca="1" si="735">AF190/AF178</f>
        <v>211388.95426997988</v>
      </c>
      <c r="AG191" s="148">
        <f t="shared" ca="1" si="735"/>
        <v>121171.74298622769</v>
      </c>
      <c r="AH191" s="148">
        <f t="shared" ref="AH191:AI191" ca="1" si="736">AH190/AH178</f>
        <v>146529.70168836945</v>
      </c>
      <c r="AI191" s="148">
        <f t="shared" ca="1" si="736"/>
        <v>236836.1514328694</v>
      </c>
      <c r="AJ191" s="148">
        <f t="shared" ref="AJ191:AK191" ca="1" si="737">AJ190/AJ178</f>
        <v>196373.16990327658</v>
      </c>
      <c r="AK191" s="148">
        <f t="shared" ca="1" si="737"/>
        <v>104885.59562567271</v>
      </c>
      <c r="AL191" s="148">
        <f t="shared" ref="AL191:AM191" ca="1" si="738">AL190/AL178</f>
        <v>129540.93268930705</v>
      </c>
      <c r="AM191" s="148">
        <f t="shared" ca="1" si="738"/>
        <v>224757.33948695811</v>
      </c>
      <c r="AN191" s="148">
        <f t="shared" ref="AN191:AO191" ca="1" si="739">AN190/AN178</f>
        <v>189097.00879583889</v>
      </c>
      <c r="AO191" s="148">
        <f t="shared" ca="1" si="739"/>
        <v>100343.49410242551</v>
      </c>
      <c r="AP191" s="148">
        <f t="shared" ref="AP191:AQ191" ca="1" si="740">AP190/AP178</f>
        <v>128456.23567672654</v>
      </c>
      <c r="AQ191" s="148">
        <f t="shared" ca="1" si="740"/>
        <v>224607.16482268897</v>
      </c>
      <c r="AR191" s="148">
        <f t="shared" ref="AR191:AS191" ca="1" si="741">AR190/AR178</f>
        <v>188926.59832851504</v>
      </c>
      <c r="AS191" s="148">
        <f t="shared" ca="1" si="741"/>
        <v>89731.426624283195</v>
      </c>
      <c r="AT191" s="148">
        <f t="shared" ref="AT191:AU191" ca="1" si="742">AT190/AT178</f>
        <v>113205.32662824508</v>
      </c>
      <c r="AU191" s="148">
        <f t="shared" ca="1" si="742"/>
        <v>209408.54244242184</v>
      </c>
      <c r="AV191" s="148">
        <f t="shared" ref="AV191" ca="1" si="743">AV190/AV178</f>
        <v>173705.59844551998</v>
      </c>
      <c r="AX191" s="171">
        <f ca="1">SUM(G191:AW191)</f>
        <v>6438793.1330530094</v>
      </c>
    </row>
    <row r="192" spans="1:50" x14ac:dyDescent="0.2">
      <c r="A192" s="65" t="str">
        <f ca="1">Language!A1325</f>
        <v>Дисконтированный поток нарастающим итогом</v>
      </c>
      <c r="B192" s="215"/>
      <c r="C192" s="130" t="str">
        <f ca="1">Параметры!$C$64</f>
        <v>тыс. руб.</v>
      </c>
      <c r="D192" s="57"/>
      <c r="E192" s="57"/>
      <c r="F192" s="57" t="s">
        <v>754</v>
      </c>
      <c r="G192" s="148">
        <f t="shared" ref="G192" ca="1" si="744">G191 + IF(G$2&gt;1, F192)</f>
        <v>-718433.45228188299</v>
      </c>
      <c r="H192" s="148">
        <f t="shared" ref="H192" ca="1" si="745">H191 + IF(H$2&gt;1, G192)</f>
        <v>-692477.58182179416</v>
      </c>
      <c r="I192" s="148">
        <f t="shared" ref="I192:AV192" ca="1" si="746">I191 + IF(I$2&gt;1, H192)</f>
        <v>-705555.23710881674</v>
      </c>
      <c r="J192" s="148">
        <f t="shared" ca="1" si="746"/>
        <v>-655789.92902172578</v>
      </c>
      <c r="K192" s="148">
        <f t="shared" ca="1" si="746"/>
        <v>-427926.33394148533</v>
      </c>
      <c r="L192" s="148">
        <f t="shared" ca="1" si="746"/>
        <v>-224244.31579568665</v>
      </c>
      <c r="M192" s="148">
        <f t="shared" ca="1" si="746"/>
        <v>-102283.93732231011</v>
      </c>
      <c r="N192" s="148">
        <f t="shared" ca="1" si="746"/>
        <v>56756.44296788561</v>
      </c>
      <c r="O192" s="148">
        <f t="shared" ca="1" si="746"/>
        <v>320110.90345245192</v>
      </c>
      <c r="P192" s="148">
        <f t="shared" ca="1" si="746"/>
        <v>556488.22374565969</v>
      </c>
      <c r="Q192" s="148">
        <f t="shared" ca="1" si="746"/>
        <v>711615.28063158726</v>
      </c>
      <c r="R192" s="148">
        <f t="shared" ca="1" si="746"/>
        <v>898610.2705684877</v>
      </c>
      <c r="S192" s="148">
        <f t="shared" ca="1" si="746"/>
        <v>1180368.6716667255</v>
      </c>
      <c r="T192" s="148">
        <f t="shared" ca="1" si="746"/>
        <v>1425521.2560292955</v>
      </c>
      <c r="U192" s="148">
        <f t="shared" ca="1" si="746"/>
        <v>1585460.3862833779</v>
      </c>
      <c r="V192" s="148">
        <f t="shared" ca="1" si="746"/>
        <v>1775447.8910575183</v>
      </c>
      <c r="W192" s="148">
        <f t="shared" ca="1" si="746"/>
        <v>2055627.7840580214</v>
      </c>
      <c r="X192" s="148">
        <f t="shared" ca="1" si="746"/>
        <v>2295452.5142679322</v>
      </c>
      <c r="Y192" s="148">
        <f t="shared" ca="1" si="746"/>
        <v>2443136.3472287315</v>
      </c>
      <c r="Z192" s="148">
        <f t="shared" ca="1" si="746"/>
        <v>2615972.4739080593</v>
      </c>
      <c r="AA192" s="148">
        <f t="shared" ca="1" si="746"/>
        <v>2879108.508342566</v>
      </c>
      <c r="AB192" s="148">
        <f t="shared" ca="1" si="746"/>
        <v>3101922.8621659288</v>
      </c>
      <c r="AC192" s="148">
        <f t="shared" ca="1" si="746"/>
        <v>3236435.1716037095</v>
      </c>
      <c r="AD192" s="148">
        <f t="shared" ca="1" si="746"/>
        <v>3398002.3677028022</v>
      </c>
      <c r="AE192" s="148">
        <f t="shared" ca="1" si="746"/>
        <v>3649828.1491036834</v>
      </c>
      <c r="AF192" s="148">
        <f t="shared" ca="1" si="746"/>
        <v>3861217.1033736635</v>
      </c>
      <c r="AG192" s="148">
        <f t="shared" ca="1" si="746"/>
        <v>3982388.8463598914</v>
      </c>
      <c r="AH192" s="148">
        <f t="shared" ca="1" si="746"/>
        <v>4128918.5480482606</v>
      </c>
      <c r="AI192" s="148">
        <f t="shared" ca="1" si="746"/>
        <v>4365754.6994811296</v>
      </c>
      <c r="AJ192" s="148">
        <f t="shared" ca="1" si="746"/>
        <v>4562127.8693844061</v>
      </c>
      <c r="AK192" s="148">
        <f t="shared" ca="1" si="746"/>
        <v>4667013.4650100786</v>
      </c>
      <c r="AL192" s="148">
        <f t="shared" ca="1" si="746"/>
        <v>4796554.3976993859</v>
      </c>
      <c r="AM192" s="148">
        <f t="shared" ca="1" si="746"/>
        <v>5021311.7371863443</v>
      </c>
      <c r="AN192" s="148">
        <f t="shared" ca="1" si="746"/>
        <v>5210408.7459821831</v>
      </c>
      <c r="AO192" s="148">
        <f t="shared" ca="1" si="746"/>
        <v>5310752.240084609</v>
      </c>
      <c r="AP192" s="148">
        <f t="shared" ca="1" si="746"/>
        <v>5439208.4757613353</v>
      </c>
      <c r="AQ192" s="148">
        <f t="shared" ca="1" si="746"/>
        <v>5663815.6405840246</v>
      </c>
      <c r="AR192" s="148">
        <f t="shared" ca="1" si="746"/>
        <v>5852742.2389125396</v>
      </c>
      <c r="AS192" s="148">
        <f t="shared" ca="1" si="746"/>
        <v>5942473.6655368228</v>
      </c>
      <c r="AT192" s="148">
        <f t="shared" ca="1" si="746"/>
        <v>6055678.9921650682</v>
      </c>
      <c r="AU192" s="148">
        <f t="shared" ca="1" si="746"/>
        <v>6265087.5346074896</v>
      </c>
      <c r="AV192" s="148">
        <f t="shared" ca="1" si="746"/>
        <v>6438793.1330530094</v>
      </c>
    </row>
    <row r="193" spans="1:50" x14ac:dyDescent="0.2">
      <c r="A193" s="65"/>
      <c r="B193" s="215"/>
      <c r="D193" s="57"/>
      <c r="E193" s="57"/>
      <c r="F193" s="57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</row>
    <row r="194" spans="1:50" x14ac:dyDescent="0.2">
      <c r="A194" s="92" t="str">
        <f ca="1">Language!A1331</f>
        <v>Чистая приведенная стоимость, NPV</v>
      </c>
      <c r="B194" s="274">
        <f ca="1">AX191</f>
        <v>6438793.1330530094</v>
      </c>
      <c r="C194" s="130" t="str">
        <f ca="1">Параметры!$C$64</f>
        <v>тыс. руб.</v>
      </c>
      <c r="D194" s="57"/>
      <c r="E194" s="57"/>
      <c r="F194" s="57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</row>
    <row r="195" spans="1:50" x14ac:dyDescent="0.2">
      <c r="A195" s="65"/>
      <c r="D195" s="57"/>
      <c r="E195" s="57"/>
      <c r="F195" s="57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50" collapsed="1" x14ac:dyDescent="0.2">
      <c r="A196" s="92" t="str">
        <f ca="1">Language!A1332</f>
        <v>Внутренняя норма рентабельности, IRR</v>
      </c>
      <c r="B196" s="269">
        <f ca="1">IFERROR(IF(POWER(1+IRR(G199:AW199,B176),360/Параметры!B$21)-1&gt;999%,"-",POWER(1+IRR(G199:AW199,B176),360/Параметры!B$21)-1),"-")</f>
        <v>1.0568706701725543</v>
      </c>
      <c r="C196" s="130" t="s">
        <v>1</v>
      </c>
      <c r="D196" s="57"/>
      <c r="E196" s="57"/>
      <c r="F196" s="57"/>
      <c r="G196" s="170" t="str">
        <f ca="1">Language!A$1333</f>
        <v>(с учетом инфляции, номинальная)</v>
      </c>
    </row>
    <row r="197" spans="1:50" hidden="1" outlineLevel="1" x14ac:dyDescent="0.2">
      <c r="A197" s="65" t="str">
        <f ca="1">Language!A$403</f>
        <v>Темпы роста цен, базовые</v>
      </c>
      <c r="B197" s="38"/>
      <c r="C197" s="130" t="str">
        <f ca="1">Language!A$471</f>
        <v>% в год</v>
      </c>
      <c r="D197" s="57"/>
      <c r="E197" s="57"/>
      <c r="F197" s="57" t="s">
        <v>756</v>
      </c>
      <c r="G197" s="89">
        <f>CHOOSE(Prj_CurReport,Параметры!G$43,Параметры!G$56,Параметры!G$62)</f>
        <v>0.06</v>
      </c>
      <c r="H197" s="89">
        <f>CHOOSE(Prj_CurReport,Параметры!H$43,Параметры!H$56,Параметры!H$62)</f>
        <v>0.06</v>
      </c>
      <c r="I197" s="89">
        <f>CHOOSE(Prj_CurReport,Параметры!I$43,Параметры!I$56,Параметры!I$62)</f>
        <v>0.06</v>
      </c>
      <c r="J197" s="89">
        <f>CHOOSE(Prj_CurReport,Параметры!J$43,Параметры!J$56,Параметры!J$62)</f>
        <v>0.06</v>
      </c>
      <c r="K197" s="89">
        <f>CHOOSE(Prj_CurReport,Параметры!K$43,Параметры!K$56,Параметры!K$62)</f>
        <v>0.06</v>
      </c>
      <c r="L197" s="89">
        <f>CHOOSE(Prj_CurReport,Параметры!L$43,Параметры!L$56,Параметры!L$62)</f>
        <v>0.06</v>
      </c>
      <c r="M197" s="89">
        <f>CHOOSE(Prj_CurReport,Параметры!M$43,Параметры!M$56,Параметры!M$62)</f>
        <v>0.06</v>
      </c>
      <c r="N197" s="89">
        <f>CHOOSE(Prj_CurReport,Параметры!N$43,Параметры!N$56,Параметры!N$62)</f>
        <v>0.06</v>
      </c>
      <c r="O197" s="89">
        <f>CHOOSE(Prj_CurReport,Параметры!O$43,Параметры!O$56,Параметры!O$62)</f>
        <v>0.06</v>
      </c>
      <c r="P197" s="89">
        <f>CHOOSE(Prj_CurReport,Параметры!P$43,Параметры!P$56,Параметры!P$62)</f>
        <v>0.06</v>
      </c>
      <c r="Q197" s="89">
        <f>CHOOSE(Prj_CurReport,Параметры!Q$43,Параметры!Q$56,Параметры!Q$62)</f>
        <v>0.06</v>
      </c>
      <c r="R197" s="89">
        <f>CHOOSE(Prj_CurReport,Параметры!R$43,Параметры!R$56,Параметры!R$62)</f>
        <v>0.06</v>
      </c>
      <c r="S197" s="89">
        <f>CHOOSE(Prj_CurReport,Параметры!S$43,Параметры!S$56,Параметры!S$62)</f>
        <v>0.06</v>
      </c>
      <c r="T197" s="89">
        <f>CHOOSE(Prj_CurReport,Параметры!T$43,Параметры!T$56,Параметры!T$62)</f>
        <v>0.06</v>
      </c>
      <c r="U197" s="89">
        <f>CHOOSE(Prj_CurReport,Параметры!U$43,Параметры!U$56,Параметры!U$62)</f>
        <v>0.06</v>
      </c>
      <c r="V197" s="89">
        <f>CHOOSE(Prj_CurReport,Параметры!V$43,Параметры!V$56,Параметры!V$62)</f>
        <v>0.06</v>
      </c>
      <c r="W197" s="89">
        <f>CHOOSE(Prj_CurReport,Параметры!W$43,Параметры!W$56,Параметры!W$62)</f>
        <v>0.06</v>
      </c>
      <c r="X197" s="89">
        <f>CHOOSE(Prj_CurReport,Параметры!X$43,Параметры!X$56,Параметры!X$62)</f>
        <v>0.06</v>
      </c>
      <c r="Y197" s="89">
        <f>CHOOSE(Prj_CurReport,Параметры!Y$43,Параметры!Y$56,Параметры!Y$62)</f>
        <v>0.06</v>
      </c>
      <c r="Z197" s="89">
        <f>CHOOSE(Prj_CurReport,Параметры!Z$43,Параметры!Z$56,Параметры!Z$62)</f>
        <v>0.06</v>
      </c>
      <c r="AA197" s="89">
        <f>CHOOSE(Prj_CurReport,Параметры!AA$43,Параметры!AA$56,Параметры!AA$62)</f>
        <v>0.06</v>
      </c>
      <c r="AB197" s="89">
        <f>CHOOSE(Prj_CurReport,Параметры!AB$43,Параметры!AB$56,Параметры!AB$62)</f>
        <v>0.06</v>
      </c>
      <c r="AC197" s="89">
        <f>CHOOSE(Prj_CurReport,Параметры!AC$43,Параметры!AC$56,Параметры!AC$62)</f>
        <v>0.06</v>
      </c>
      <c r="AD197" s="89">
        <f>CHOOSE(Prj_CurReport,Параметры!AD$43,Параметры!AD$56,Параметры!AD$62)</f>
        <v>0.06</v>
      </c>
      <c r="AE197" s="89">
        <f>CHOOSE(Prj_CurReport,Параметры!AE$43,Параметры!AE$56,Параметры!AE$62)</f>
        <v>0.06</v>
      </c>
      <c r="AF197" s="89">
        <f>CHOOSE(Prj_CurReport,Параметры!AF$43,Параметры!AF$56,Параметры!AF$62)</f>
        <v>0.06</v>
      </c>
      <c r="AG197" s="89">
        <f>CHOOSE(Prj_CurReport,Параметры!AG$43,Параметры!AG$56,Параметры!AG$62)</f>
        <v>0.06</v>
      </c>
      <c r="AH197" s="89">
        <f>CHOOSE(Prj_CurReport,Параметры!AH$43,Параметры!AH$56,Параметры!AH$62)</f>
        <v>0.06</v>
      </c>
      <c r="AI197" s="89">
        <f>CHOOSE(Prj_CurReport,Параметры!AI$43,Параметры!AI$56,Параметры!AI$62)</f>
        <v>0.06</v>
      </c>
      <c r="AJ197" s="89">
        <f>CHOOSE(Prj_CurReport,Параметры!AJ$43,Параметры!AJ$56,Параметры!AJ$62)</f>
        <v>0.06</v>
      </c>
      <c r="AK197" s="89">
        <f>CHOOSE(Prj_CurReport,Параметры!AK$43,Параметры!AK$56,Параметры!AK$62)</f>
        <v>0.06</v>
      </c>
      <c r="AL197" s="89">
        <f>CHOOSE(Prj_CurReport,Параметры!AL$43,Параметры!AL$56,Параметры!AL$62)</f>
        <v>0.06</v>
      </c>
      <c r="AM197" s="89">
        <f>CHOOSE(Prj_CurReport,Параметры!AM$43,Параметры!AM$56,Параметры!AM$62)</f>
        <v>0.06</v>
      </c>
      <c r="AN197" s="89">
        <f>CHOOSE(Prj_CurReport,Параметры!AN$43,Параметры!AN$56,Параметры!AN$62)</f>
        <v>0.06</v>
      </c>
      <c r="AO197" s="89">
        <f>CHOOSE(Prj_CurReport,Параметры!AO$43,Параметры!AO$56,Параметры!AO$62)</f>
        <v>0.06</v>
      </c>
      <c r="AP197" s="89">
        <f>CHOOSE(Prj_CurReport,Параметры!AP$43,Параметры!AP$56,Параметры!AP$62)</f>
        <v>0.06</v>
      </c>
      <c r="AQ197" s="89">
        <f>CHOOSE(Prj_CurReport,Параметры!AQ$43,Параметры!AQ$56,Параметры!AQ$62)</f>
        <v>0.06</v>
      </c>
      <c r="AR197" s="89">
        <f>CHOOSE(Prj_CurReport,Параметры!AR$43,Параметры!AR$56,Параметры!AR$62)</f>
        <v>0.06</v>
      </c>
      <c r="AS197" s="89">
        <f>CHOOSE(Prj_CurReport,Параметры!AS$43,Параметры!AS$56,Параметры!AS$62)</f>
        <v>0.06</v>
      </c>
      <c r="AT197" s="89">
        <f>CHOOSE(Prj_CurReport,Параметры!AT$43,Параметры!AT$56,Параметры!AT$62)</f>
        <v>0.06</v>
      </c>
      <c r="AU197" s="89">
        <f>CHOOSE(Prj_CurReport,Параметры!AU$43,Параметры!AU$56,Параметры!AU$62)</f>
        <v>0.06</v>
      </c>
      <c r="AV197" s="89">
        <f>CHOOSE(Prj_CurReport,Параметры!AV$43,Параметры!AV$56,Параметры!AV$62)</f>
        <v>0.06</v>
      </c>
    </row>
    <row r="198" spans="1:50" hidden="1" outlineLevel="1" x14ac:dyDescent="0.2">
      <c r="A198" s="99" t="str">
        <f ca="1">Language!A$589</f>
        <v>коэффициент изменения цен к началу проекта</v>
      </c>
      <c r="B198" s="84"/>
      <c r="C198" s="130" t="str">
        <f ca="1">Language!$A$1449</f>
        <v>раз</v>
      </c>
      <c r="D198" s="57"/>
      <c r="E198" s="57"/>
      <c r="F198" s="57" t="s">
        <v>756</v>
      </c>
      <c r="G198" s="75">
        <f ca="1">IF(G$2=1,1,IF(Prj_Inflation=0,POWER(1+OFFSET(G197,0,-1),Параметры!G$30/360),1) * IF(G$2&gt;1, F198, 1))</f>
        <v>1</v>
      </c>
      <c r="H198" s="75">
        <f ca="1">IF(H$2=1,1,IF(Prj_Inflation=0,POWER(1+OFFSET(H197,0,-1),Параметры!H$30/360),1) * IF(H$2&gt;1, G198, 1))</f>
        <v>1</v>
      </c>
      <c r="I198" s="75">
        <f ca="1">IF(I$2=1,1,IF(Prj_Inflation=0,POWER(1+OFFSET(I197,0,-1),Параметры!I$30/360),1) * IF(I$2&gt;1, H198, 1))</f>
        <v>1</v>
      </c>
      <c r="J198" s="75">
        <f ca="1">IF(J$2=1,1,IF(Prj_Inflation=0,POWER(1+OFFSET(J197,0,-1),Параметры!J$30/360),1) * IF(J$2&gt;1, I198, 1))</f>
        <v>1</v>
      </c>
      <c r="K198" s="75">
        <f ca="1">IF(K$2=1,1,IF(Prj_Inflation=0,POWER(1+OFFSET(K197,0,-1),Параметры!K$30/360),1) * IF(K$2&gt;1, J198, 1))</f>
        <v>1</v>
      </c>
      <c r="L198" s="75">
        <f ca="1">IF(L$2=1,1,IF(Prj_Inflation=0,POWER(1+OFFSET(L197,0,-1),Параметры!L$30/360),1) * IF(L$2&gt;1, K198, 1))</f>
        <v>1</v>
      </c>
      <c r="M198" s="75">
        <f ca="1">IF(M$2=1,1,IF(Prj_Inflation=0,POWER(1+OFFSET(M197,0,-1),Параметры!M$30/360),1) * IF(M$2&gt;1, L198, 1))</f>
        <v>1</v>
      </c>
      <c r="N198" s="75">
        <f ca="1">IF(N$2=1,1,IF(Prj_Inflation=0,POWER(1+OFFSET(N197,0,-1),Параметры!N$30/360),1) * IF(N$2&gt;1, M198, 1))</f>
        <v>1</v>
      </c>
      <c r="O198" s="75">
        <f ca="1">IF(O$2=1,1,IF(Prj_Inflation=0,POWER(1+OFFSET(O197,0,-1),Параметры!O$30/360),1) * IF(O$2&gt;1, N198, 1))</f>
        <v>1</v>
      </c>
      <c r="P198" s="75">
        <f ca="1">IF(P$2=1,1,IF(Prj_Inflation=0,POWER(1+OFFSET(P197,0,-1),Параметры!P$30/360),1) * IF(P$2&gt;1, O198, 1))</f>
        <v>1</v>
      </c>
      <c r="Q198" s="75">
        <f ca="1">IF(Q$2=1,1,IF(Prj_Inflation=0,POWER(1+OFFSET(Q197,0,-1),Параметры!Q$30/360),1) * IF(Q$2&gt;1, P198, 1))</f>
        <v>1</v>
      </c>
      <c r="R198" s="75">
        <f ca="1">IF(R$2=1,1,IF(Prj_Inflation=0,POWER(1+OFFSET(R197,0,-1),Параметры!R$30/360),1) * IF(R$2&gt;1, Q198, 1))</f>
        <v>1</v>
      </c>
      <c r="S198" s="75">
        <f ca="1">IF(S$2=1,1,IF(Prj_Inflation=0,POWER(1+OFFSET(S197,0,-1),Параметры!S$30/360),1) * IF(S$2&gt;1, R198, 1))</f>
        <v>1</v>
      </c>
      <c r="T198" s="75">
        <f ca="1">IF(T$2=1,1,IF(Prj_Inflation=0,POWER(1+OFFSET(T197,0,-1),Параметры!T$30/360),1) * IF(T$2&gt;1, S198, 1))</f>
        <v>1</v>
      </c>
      <c r="U198" s="75">
        <f ca="1">IF(U$2=1,1,IF(Prj_Inflation=0,POWER(1+OFFSET(U197,0,-1),Параметры!U$30/360),1) * IF(U$2&gt;1, T198, 1))</f>
        <v>1</v>
      </c>
      <c r="V198" s="75">
        <f ca="1">IF(V$2=1,1,IF(Prj_Inflation=0,POWER(1+OFFSET(V197,0,-1),Параметры!V$30/360),1) * IF(V$2&gt;1, U198, 1))</f>
        <v>1</v>
      </c>
      <c r="W198" s="75">
        <f ca="1">IF(W$2=1,1,IF(Prj_Inflation=0,POWER(1+OFFSET(W197,0,-1),Параметры!W$30/360),1) * IF(W$2&gt;1, V198, 1))</f>
        <v>1</v>
      </c>
      <c r="X198" s="75">
        <f ca="1">IF(X$2=1,1,IF(Prj_Inflation=0,POWER(1+OFFSET(X197,0,-1),Параметры!X$30/360),1) * IF(X$2&gt;1, W198, 1))</f>
        <v>1</v>
      </c>
      <c r="Y198" s="75">
        <f ca="1">IF(Y$2=1,1,IF(Prj_Inflation=0,POWER(1+OFFSET(Y197,0,-1),Параметры!Y$30/360),1) * IF(Y$2&gt;1, X198, 1))</f>
        <v>1</v>
      </c>
      <c r="Z198" s="75">
        <f ca="1">IF(Z$2=1,1,IF(Prj_Inflation=0,POWER(1+OFFSET(Z197,0,-1),Параметры!Z$30/360),1) * IF(Z$2&gt;1, Y198, 1))</f>
        <v>1</v>
      </c>
      <c r="AA198" s="75">
        <f ca="1">IF(AA$2=1,1,IF(Prj_Inflation=0,POWER(1+OFFSET(AA197,0,-1),Параметры!AA$30/360),1) * IF(AA$2&gt;1, Z198, 1))</f>
        <v>1</v>
      </c>
      <c r="AB198" s="75">
        <f ca="1">IF(AB$2=1,1,IF(Prj_Inflation=0,POWER(1+OFFSET(AB197,0,-1),Параметры!AB$30/360),1) * IF(AB$2&gt;1, AA198, 1))</f>
        <v>1</v>
      </c>
      <c r="AC198" s="75">
        <f ca="1">IF(AC$2=1,1,IF(Prj_Inflation=0,POWER(1+OFFSET(AC197,0,-1),Параметры!AC$30/360),1) * IF(AC$2&gt;1, AB198, 1))</f>
        <v>1</v>
      </c>
      <c r="AD198" s="75">
        <f ca="1">IF(AD$2=1,1,IF(Prj_Inflation=0,POWER(1+OFFSET(AD197,0,-1),Параметры!AD$30/360),1) * IF(AD$2&gt;1, AC198, 1))</f>
        <v>1</v>
      </c>
      <c r="AE198" s="75">
        <f ca="1">IF(AE$2=1,1,IF(Prj_Inflation=0,POWER(1+OFFSET(AE197,0,-1),Параметры!AE$30/360),1) * IF(AE$2&gt;1, AD198, 1))</f>
        <v>1</v>
      </c>
      <c r="AF198" s="75">
        <f ca="1">IF(AF$2=1,1,IF(Prj_Inflation=0,POWER(1+OFFSET(AF197,0,-1),Параметры!AF$30/360),1) * IF(AF$2&gt;1, AE198, 1))</f>
        <v>1</v>
      </c>
      <c r="AG198" s="75">
        <f ca="1">IF(AG$2=1,1,IF(Prj_Inflation=0,POWER(1+OFFSET(AG197,0,-1),Параметры!AG$30/360),1) * IF(AG$2&gt;1, AF198, 1))</f>
        <v>1</v>
      </c>
      <c r="AH198" s="75">
        <f ca="1">IF(AH$2=1,1,IF(Prj_Inflation=0,POWER(1+OFFSET(AH197,0,-1),Параметры!AH$30/360),1) * IF(AH$2&gt;1, AG198, 1))</f>
        <v>1</v>
      </c>
      <c r="AI198" s="75">
        <f ca="1">IF(AI$2=1,1,IF(Prj_Inflation=0,POWER(1+OFFSET(AI197,0,-1),Параметры!AI$30/360),1) * IF(AI$2&gt;1, AH198, 1))</f>
        <v>1</v>
      </c>
      <c r="AJ198" s="75">
        <f ca="1">IF(AJ$2=1,1,IF(Prj_Inflation=0,POWER(1+OFFSET(AJ197,0,-1),Параметры!AJ$30/360),1) * IF(AJ$2&gt;1, AI198, 1))</f>
        <v>1</v>
      </c>
      <c r="AK198" s="75">
        <f ca="1">IF(AK$2=1,1,IF(Prj_Inflation=0,POWER(1+OFFSET(AK197,0,-1),Параметры!AK$30/360),1) * IF(AK$2&gt;1, AJ198, 1))</f>
        <v>1</v>
      </c>
      <c r="AL198" s="75">
        <f ca="1">IF(AL$2=1,1,IF(Prj_Inflation=0,POWER(1+OFFSET(AL197,0,-1),Параметры!AL$30/360),1) * IF(AL$2&gt;1, AK198, 1))</f>
        <v>1</v>
      </c>
      <c r="AM198" s="75">
        <f ca="1">IF(AM$2=1,1,IF(Prj_Inflation=0,POWER(1+OFFSET(AM197,0,-1),Параметры!AM$30/360),1) * IF(AM$2&gt;1, AL198, 1))</f>
        <v>1</v>
      </c>
      <c r="AN198" s="75">
        <f ca="1">IF(AN$2=1,1,IF(Prj_Inflation=0,POWER(1+OFFSET(AN197,0,-1),Параметры!AN$30/360),1) * IF(AN$2&gt;1, AM198, 1))</f>
        <v>1</v>
      </c>
      <c r="AO198" s="75">
        <f ca="1">IF(AO$2=1,1,IF(Prj_Inflation=0,POWER(1+OFFSET(AO197,0,-1),Параметры!AO$30/360),1) * IF(AO$2&gt;1, AN198, 1))</f>
        <v>1</v>
      </c>
      <c r="AP198" s="75">
        <f ca="1">IF(AP$2=1,1,IF(Prj_Inflation=0,POWER(1+OFFSET(AP197,0,-1),Параметры!AP$30/360),1) * IF(AP$2&gt;1, AO198, 1))</f>
        <v>1</v>
      </c>
      <c r="AQ198" s="75">
        <f ca="1">IF(AQ$2=1,1,IF(Prj_Inflation=0,POWER(1+OFFSET(AQ197,0,-1),Параметры!AQ$30/360),1) * IF(AQ$2&gt;1, AP198, 1))</f>
        <v>1</v>
      </c>
      <c r="AR198" s="75">
        <f ca="1">IF(AR$2=1,1,IF(Prj_Inflation=0,POWER(1+OFFSET(AR197,0,-1),Параметры!AR$30/360),1) * IF(AR$2&gt;1, AQ198, 1))</f>
        <v>1</v>
      </c>
      <c r="AS198" s="75">
        <f ca="1">IF(AS$2=1,1,IF(Prj_Inflation=0,POWER(1+OFFSET(AS197,0,-1),Параметры!AS$30/360),1) * IF(AS$2&gt;1, AR198, 1))</f>
        <v>1</v>
      </c>
      <c r="AT198" s="75">
        <f ca="1">IF(AT$2=1,1,IF(Prj_Inflation=0,POWER(1+OFFSET(AT197,0,-1),Параметры!AT$30/360),1) * IF(AT$2&gt;1, AS198, 1))</f>
        <v>1</v>
      </c>
      <c r="AU198" s="75">
        <f ca="1">IF(AU$2=1,1,IF(Prj_Inflation=0,POWER(1+OFFSET(AU197,0,-1),Параметры!AU$30/360),1) * IF(AU$2&gt;1, AT198, 1))</f>
        <v>1</v>
      </c>
      <c r="AV198" s="75">
        <f ca="1">IF(AV$2=1,1,IF(Prj_Inflation=0,POWER(1+OFFSET(AV197,0,-1),Параметры!AV$30/360),1) * IF(AV$2&gt;1, AU198, 1))</f>
        <v>1</v>
      </c>
    </row>
    <row r="199" spans="1:50" hidden="1" outlineLevel="1" x14ac:dyDescent="0.2">
      <c r="A199" s="65" t="str">
        <f ca="1">Language!A$1323</f>
        <v>Денежный поток для расчета эффективности</v>
      </c>
      <c r="B199" s="269"/>
      <c r="C199" s="130" t="str">
        <f ca="1">Параметры!$C$64</f>
        <v>тыс. руб.</v>
      </c>
      <c r="D199" s="57"/>
      <c r="E199" s="57"/>
      <c r="F199" s="57" t="s">
        <v>753</v>
      </c>
      <c r="G199" s="148">
        <f ca="1">G190*G198</f>
        <v>-718433.45228188299</v>
      </c>
      <c r="H199" s="148">
        <f t="shared" ref="H199:K199" ca="1" si="747">H190*H198</f>
        <v>26333.015221464142</v>
      </c>
      <c r="I199" s="148">
        <f t="shared" ca="1" si="747"/>
        <v>-13460.459012748324</v>
      </c>
      <c r="J199" s="148">
        <f t="shared" ca="1" si="747"/>
        <v>51966.285322022799</v>
      </c>
      <c r="K199" s="148">
        <f t="shared" ca="1" si="747"/>
        <v>241398.69262800686</v>
      </c>
      <c r="L199" s="148">
        <f t="shared" ref="L199:M199" ca="1" si="748">L190*L198</f>
        <v>218916.073608429</v>
      </c>
      <c r="M199" s="148">
        <f t="shared" ca="1" si="748"/>
        <v>132986.85524138424</v>
      </c>
      <c r="N199" s="148">
        <f t="shared" ref="N199:O199" ca="1" si="749">N190*N198</f>
        <v>175939.09372942464</v>
      </c>
      <c r="O199" s="148">
        <f t="shared" ca="1" si="749"/>
        <v>295570.17973432835</v>
      </c>
      <c r="P199" s="148">
        <f t="shared" ref="P199:Q199" ca="1" si="750">P190*P198</f>
        <v>269147.73803665274</v>
      </c>
      <c r="Q199" s="148">
        <f t="shared" ca="1" si="750"/>
        <v>179199.78097389673</v>
      </c>
      <c r="R199" s="148">
        <f t="shared" ref="R199:S199" ca="1" si="751">R190*R198</f>
        <v>219151.72048817965</v>
      </c>
      <c r="S199" s="148">
        <f t="shared" ca="1" si="751"/>
        <v>335009.23560752411</v>
      </c>
      <c r="T199" s="148">
        <f t="shared" ref="T199:U199" ca="1" si="752">T190*T198</f>
        <v>295720.46050562896</v>
      </c>
      <c r="U199" s="148">
        <f t="shared" ca="1" si="752"/>
        <v>195733.25577490771</v>
      </c>
      <c r="V199" s="148">
        <f t="shared" ref="V199:W199" ca="1" si="753">V190*V198</f>
        <v>235884.78074636351</v>
      </c>
      <c r="W199" s="148">
        <f t="shared" ca="1" si="753"/>
        <v>352920.46233665285</v>
      </c>
      <c r="X199" s="148">
        <f t="shared" ref="X199:Y199" ca="1" si="754">X190*X198</f>
        <v>306477.66567656182</v>
      </c>
      <c r="Y199" s="148">
        <f t="shared" ca="1" si="754"/>
        <v>191470.91563308594</v>
      </c>
      <c r="Z199" s="148">
        <f t="shared" ref="Z199:AA199" ca="1" si="755">Z190*Z198</f>
        <v>227336.6080672004</v>
      </c>
      <c r="AA199" s="148">
        <f t="shared" ca="1" si="755"/>
        <v>351139.88972480758</v>
      </c>
      <c r="AB199" s="148">
        <f t="shared" ref="AB199:AC199" ca="1" si="756">AB190*AB198</f>
        <v>301653.24395116838</v>
      </c>
      <c r="AC199" s="148">
        <f t="shared" ca="1" si="756"/>
        <v>184753.15199397964</v>
      </c>
      <c r="AD199" s="148">
        <f t="shared" ref="AD199:AE199" ca="1" si="757">AD190*AD198</f>
        <v>225137.58726759348</v>
      </c>
      <c r="AE199" s="148">
        <f t="shared" ca="1" si="757"/>
        <v>356008.2004453736</v>
      </c>
      <c r="AF199" s="148">
        <f t="shared" ref="AF199:AG199" ca="1" si="758">AF190*AF198</f>
        <v>303184.56940042012</v>
      </c>
      <c r="AG199" s="148">
        <f t="shared" ca="1" si="758"/>
        <v>176315.76707386202</v>
      </c>
      <c r="AH199" s="148">
        <f t="shared" ref="AH199:AI199" ca="1" si="759">AH190*AH198</f>
        <v>216311.9206679413</v>
      </c>
      <c r="AI199" s="148">
        <f t="shared" ca="1" si="759"/>
        <v>354705.37977566081</v>
      </c>
      <c r="AJ199" s="148">
        <f t="shared" ref="AJ199:AK199" ca="1" si="760">AJ190*AJ198</f>
        <v>298378.0854837111</v>
      </c>
      <c r="AK199" s="148">
        <f t="shared" ca="1" si="760"/>
        <v>161683.46702978329</v>
      </c>
      <c r="AL199" s="148">
        <f t="shared" ref="AL199:AM199" ca="1" si="761">AL190*AL198</f>
        <v>202591.75949739973</v>
      </c>
      <c r="AM199" s="148">
        <f t="shared" ca="1" si="761"/>
        <v>356610.09357837564</v>
      </c>
      <c r="AN199" s="148">
        <f t="shared" ref="AN199:AO199" ca="1" si="762">AN190*AN198</f>
        <v>304389.31270437461</v>
      </c>
      <c r="AO199" s="148">
        <f t="shared" ca="1" si="762"/>
        <v>163869.81099400215</v>
      </c>
      <c r="AP199" s="148">
        <f t="shared" ref="AP199:AQ199" ca="1" si="763">AP190*AP198</f>
        <v>212828.56480315898</v>
      </c>
      <c r="AQ199" s="148">
        <f t="shared" ca="1" si="763"/>
        <v>377540.30579911149</v>
      </c>
      <c r="AR199" s="148">
        <f t="shared" ref="AR199:AS199" ca="1" si="764">AR190*AR198</f>
        <v>322179.43428775296</v>
      </c>
      <c r="AS199" s="148">
        <f t="shared" ca="1" si="764"/>
        <v>155243.8034234533</v>
      </c>
      <c r="AT199" s="148">
        <f t="shared" ref="AT199:AU199" ca="1" si="765">AT190*AT198</f>
        <v>198701.68774011367</v>
      </c>
      <c r="AU199" s="148">
        <f t="shared" ca="1" si="765"/>
        <v>372901.45675774344</v>
      </c>
      <c r="AV199" s="148">
        <f t="shared" ref="AV199" ca="1" si="766">AV190*AV198</f>
        <v>313818.46509628498</v>
      </c>
      <c r="AX199" s="171">
        <f ca="1">SUM(G199:AW199)</f>
        <v>9129214.8655331563</v>
      </c>
    </row>
    <row r="200" spans="1:50" x14ac:dyDescent="0.2">
      <c r="A200" s="65"/>
      <c r="B200" s="269"/>
      <c r="D200" s="57"/>
      <c r="E200" s="57"/>
      <c r="F200" s="57"/>
      <c r="G200" s="170"/>
    </row>
    <row r="201" spans="1:50" collapsed="1" x14ac:dyDescent="0.2">
      <c r="A201" s="79" t="str">
        <f ca="1">Language!A1335</f>
        <v>Модифицированная IRR, MIRR</v>
      </c>
      <c r="B201" s="275">
        <f ca="1">IFERROR(IF(POWER(1+IRR(G203:AW203,B176),360/Параметры!B$21)-1&gt;999%,"-",POWER(1+IRR(G203:AW203,B176),360/Параметры!B$21)-1),"-")</f>
        <v>0.4133133326384828</v>
      </c>
      <c r="C201" s="130" t="s">
        <v>1</v>
      </c>
      <c r="D201" s="57"/>
      <c r="E201" s="57"/>
      <c r="F201" s="57"/>
      <c r="G201" s="170" t="str">
        <f ca="1">Language!A$1333</f>
        <v>(с учетом инфляции, номинальная)</v>
      </c>
    </row>
    <row r="202" spans="1:50" hidden="1" outlineLevel="1" x14ac:dyDescent="0.2">
      <c r="A202" s="79" t="str">
        <f ca="1">Language!A1323</f>
        <v>Денежный поток для расчета эффективности</v>
      </c>
      <c r="B202" s="275"/>
      <c r="C202" s="130" t="str">
        <f ca="1">Параметры!$C$64</f>
        <v>тыс. руб.</v>
      </c>
      <c r="D202" s="57"/>
      <c r="E202" s="57"/>
      <c r="F202" s="57" t="s">
        <v>753</v>
      </c>
      <c r="G202" s="138">
        <f ca="1">IF(G190&gt;0,G190*G198*Параметры!G141,G190*G198/G178)</f>
        <v>-718433.45228188299</v>
      </c>
      <c r="H202" s="138">
        <f ca="1">IF(H190&gt;0,H190*H198*Параметры!H141,H190*H198/H178)</f>
        <v>163047.08945835358</v>
      </c>
      <c r="I202" s="138">
        <f ca="1">IF(I190&gt;0,I190*I198*Параметры!I141,I190*I198/I178)</f>
        <v>-13077.655287022586</v>
      </c>
      <c r="J202" s="138">
        <f ca="1">IF(J190&gt;0,J190*J198*Параметры!J141,J190*J198/J178)</f>
        <v>293726.75742149347</v>
      </c>
      <c r="K202" s="138">
        <f ca="1">IF(K190&gt;0,K190*K198*Параметры!K141,K190*K198/K178)</f>
        <v>1303651.2927652679</v>
      </c>
      <c r="L202" s="138">
        <f ca="1">IF(L190&gt;0,L190*L198*Параметры!L141,L190*L198/L178)</f>
        <v>1129558.8553417602</v>
      </c>
      <c r="M202" s="138">
        <f ca="1">IF(M190&gt;0,M190*M198*Параметры!M141,M190*M198/M178)</f>
        <v>655608.56589174422</v>
      </c>
      <c r="N202" s="138">
        <f ca="1">IF(N190&gt;0,N190*N198*Параметры!N141,N190*N198/N178)</f>
        <v>828710.69169468258</v>
      </c>
      <c r="O202" s="138">
        <f ca="1">IF(O190&gt;0,O190*O198*Параметры!O141,O190*O198/O178)</f>
        <v>1330166.1617643707</v>
      </c>
      <c r="P202" s="138">
        <f ca="1">IF(P190&gt;0,P190*P198*Параметры!P141,P190*P198/P178)</f>
        <v>1157286.0087556387</v>
      </c>
      <c r="Q202" s="138">
        <f ca="1">IF(Q190&gt;0,Q190*Q198*Параметры!Q141,Q190*Q198/Q178)</f>
        <v>736193.7588942179</v>
      </c>
      <c r="R202" s="138">
        <f ca="1">IF(R190&gt;0,R190*R198*Параметры!R141,R190*R198/R178)</f>
        <v>860209.49078710179</v>
      </c>
      <c r="S202" s="138">
        <f ca="1">IF(S190&gt;0,S190*S198*Параметры!S141,S190*S198/S178)</f>
        <v>1256379.4197264682</v>
      </c>
      <c r="T202" s="138">
        <f ca="1">IF(T190&gt;0,T190*T198*Параметры!T141,T190*T198/T178)</f>
        <v>1059619.8762509297</v>
      </c>
      <c r="U202" s="138">
        <f ca="1">IF(U190&gt;0,U190*U198*Параметры!U141,U190*U198/U178)</f>
        <v>670097.5513028237</v>
      </c>
      <c r="V202" s="138">
        <f ca="1">IF(V190&gt;0,V190*V198*Параметры!V141,V190*V198/V178)</f>
        <v>771574.77430953586</v>
      </c>
      <c r="W202" s="138">
        <f ca="1">IF(W190&gt;0,W190*W198*Параметры!W141,W190*W198/W178)</f>
        <v>1102959.6564107432</v>
      </c>
      <c r="X202" s="138">
        <f ca="1">IF(X190&gt;0,X190*X198*Параметры!X141,X190*X198/X178)</f>
        <v>915137.40606756404</v>
      </c>
      <c r="Y202" s="138">
        <f ca="1">IF(Y190&gt;0,Y190*Y198*Параметры!Y141,Y190*Y198/Y178)</f>
        <v>546254.43865549006</v>
      </c>
      <c r="Z202" s="138">
        <f ca="1">IF(Z190&gt;0,Z190*Z198*Параметры!Z141,Z190*Z198/Z178)</f>
        <v>619678.21573290741</v>
      </c>
      <c r="AA202" s="138">
        <f ca="1">IF(AA190&gt;0,AA190*AA198*Параметры!AA141,AA190*AA198/AA178)</f>
        <v>914495.78931267059</v>
      </c>
      <c r="AB202" s="138">
        <f ca="1">IF(AB190&gt;0,AB190*AB198*Параметры!AB141,AB190*AB198/AB178)</f>
        <v>750609.79998857214</v>
      </c>
      <c r="AC202" s="138">
        <f ca="1">IF(AC190&gt;0,AC190*AC198*Параметры!AC141,AC190*AC198/AC178)</f>
        <v>439240.9024568696</v>
      </c>
      <c r="AD202" s="138">
        <f ca="1">IF(AD190&gt;0,AD190*AD198*Параметры!AD141,AD190*AD198/AD178)</f>
        <v>511403.40440005978</v>
      </c>
      <c r="AE202" s="138">
        <f ca="1">IF(AE190&gt;0,AE190*AE198*Параметры!AE141,AE190*AE198/AE178)</f>
        <v>772645.53196359705</v>
      </c>
      <c r="AF202" s="138">
        <f ca="1">IF(AF190&gt;0,AF190*AF198*Параметры!AF141,AF190*AF198/AF178)</f>
        <v>628683.52310871182</v>
      </c>
      <c r="AG202" s="138">
        <f ca="1">IF(AG190&gt;0,AG190*AG198*Параметры!AG141,AG190*AG198/AG178)</f>
        <v>349317.88628529041</v>
      </c>
      <c r="AH202" s="138">
        <f ca="1">IF(AH190&gt;0,AH190*AH198*Параметры!AH141,AH190*AH198/AH178)</f>
        <v>409463.14201493596</v>
      </c>
      <c r="AI202" s="138">
        <f ca="1">IF(AI190&gt;0,AI190*AI198*Параметры!AI141,AI190*AI198/AI178)</f>
        <v>641515.01403679862</v>
      </c>
      <c r="AJ202" s="138">
        <f ca="1">IF(AJ190&gt;0,AJ190*AJ198*Параметры!AJ141,AJ190*AJ198/AJ178)</f>
        <v>515597.33171585324</v>
      </c>
      <c r="AK202" s="138">
        <f ca="1">IF(AK190&gt;0,AK190*AK198*Параметры!AK141,AK190*AK198/AK178)</f>
        <v>266940.23591615434</v>
      </c>
      <c r="AL202" s="138">
        <f ca="1">IF(AL190&gt;0,AL190*AL198*Параметры!AL141,AL190*AL198/AL178)</f>
        <v>319576.54072719568</v>
      </c>
      <c r="AM202" s="138">
        <f ca="1">IF(AM190&gt;0,AM190*AM198*Параметры!AM141,AM190*AM198/AM178)</f>
        <v>537466.54320149077</v>
      </c>
      <c r="AN202" s="138">
        <f ca="1">IF(AN190&gt;0,AN190*AN198*Параметры!AN141,AN190*AN198/AN178)</f>
        <v>438320.61029429967</v>
      </c>
      <c r="AO202" s="138">
        <f ca="1">IF(AO190&gt;0,AO190*AO198*Параметры!AO141,AO190*AO198/AO178)</f>
        <v>225458.25087472031</v>
      </c>
      <c r="AP202" s="138">
        <f ca="1">IF(AP190&gt;0,AP190*AP198*Параметры!AP141,AP190*AP198/AP178)</f>
        <v>279770.41397793661</v>
      </c>
      <c r="AQ202" s="138">
        <f ca="1">IF(AQ190&gt;0,AQ190*AQ198*Параметры!AQ141,AQ190*AQ198/AQ178)</f>
        <v>474176.3407034296</v>
      </c>
      <c r="AR202" s="138">
        <f ca="1">IF(AR190&gt;0,AR190*AR198*Параметры!AR141,AR190*AR198/AR178)</f>
        <v>386615.32114530361</v>
      </c>
      <c r="AS202" s="138">
        <f ca="1">IF(AS190&gt;0,AS190*AS198*Параметры!AS141,AS190*AS198/AS178)</f>
        <v>177991.88761839611</v>
      </c>
      <c r="AT202" s="138">
        <f ca="1">IF(AT190&gt;0,AT190*AT198*Параметры!AT141,AT190*AT198/AT178)</f>
        <v>217666.79317921598</v>
      </c>
      <c r="AU202" s="138">
        <f ca="1">IF(AU190&gt;0,AU190*AU198*Параметры!AU141,AU190*AU198/AU178)</f>
        <v>390291.76817316003</v>
      </c>
      <c r="AV202" s="138">
        <f ca="1">IF(AV190&gt;0,AV190*AV198*Параметры!AV141,AV190*AV198/AV178)</f>
        <v>313818.46509628498</v>
      </c>
      <c r="AW202" s="138"/>
      <c r="AX202" s="171">
        <f ca="1">SUM(G202:AW202)</f>
        <v>24629414.399853129</v>
      </c>
    </row>
    <row r="203" spans="1:50" hidden="1" outlineLevel="1" x14ac:dyDescent="0.2">
      <c r="A203" s="79" t="str">
        <f ca="1">Language!A467</f>
        <v>Модифицированный денежный поток</v>
      </c>
      <c r="B203" s="275"/>
      <c r="C203" s="130" t="str">
        <f ca="1">Параметры!$C$64</f>
        <v>тыс. руб.</v>
      </c>
      <c r="D203" s="57"/>
      <c r="E203" s="57"/>
      <c r="F203" s="57" t="s">
        <v>753</v>
      </c>
      <c r="G203" s="138">
        <f t="shared" ref="G203:AV203" ca="1" si="767">IF(G$2=1,SUMIF($G202:$AW202,"&lt;0",$G202:$AW202),IF(G$2=Prj_Len,SUMIF($G202:$AW202,"&gt;0",$G202:$AW202),0))</f>
        <v>-731511.10756890557</v>
      </c>
      <c r="H203" s="138">
        <f t="shared" si="767"/>
        <v>0</v>
      </c>
      <c r="I203" s="138">
        <f t="shared" si="767"/>
        <v>0</v>
      </c>
      <c r="J203" s="138">
        <f t="shared" si="767"/>
        <v>0</v>
      </c>
      <c r="K203" s="138">
        <f t="shared" si="767"/>
        <v>0</v>
      </c>
      <c r="L203" s="138">
        <f t="shared" si="767"/>
        <v>0</v>
      </c>
      <c r="M203" s="138">
        <f t="shared" si="767"/>
        <v>0</v>
      </c>
      <c r="N203" s="138">
        <f t="shared" si="767"/>
        <v>0</v>
      </c>
      <c r="O203" s="138">
        <f t="shared" si="767"/>
        <v>0</v>
      </c>
      <c r="P203" s="138">
        <f t="shared" si="767"/>
        <v>0</v>
      </c>
      <c r="Q203" s="138">
        <f t="shared" si="767"/>
        <v>0</v>
      </c>
      <c r="R203" s="138">
        <f t="shared" si="767"/>
        <v>0</v>
      </c>
      <c r="S203" s="138">
        <f t="shared" si="767"/>
        <v>0</v>
      </c>
      <c r="T203" s="138">
        <f t="shared" si="767"/>
        <v>0</v>
      </c>
      <c r="U203" s="138">
        <f t="shared" si="767"/>
        <v>0</v>
      </c>
      <c r="V203" s="138">
        <f t="shared" si="767"/>
        <v>0</v>
      </c>
      <c r="W203" s="138">
        <f t="shared" si="767"/>
        <v>0</v>
      </c>
      <c r="X203" s="138">
        <f t="shared" si="767"/>
        <v>0</v>
      </c>
      <c r="Y203" s="138">
        <f t="shared" si="767"/>
        <v>0</v>
      </c>
      <c r="Z203" s="138">
        <f t="shared" si="767"/>
        <v>0</v>
      </c>
      <c r="AA203" s="138">
        <f t="shared" si="767"/>
        <v>0</v>
      </c>
      <c r="AB203" s="138">
        <f t="shared" si="767"/>
        <v>0</v>
      </c>
      <c r="AC203" s="138">
        <f t="shared" si="767"/>
        <v>0</v>
      </c>
      <c r="AD203" s="138">
        <f t="shared" si="767"/>
        <v>0</v>
      </c>
      <c r="AE203" s="138">
        <f t="shared" si="767"/>
        <v>0</v>
      </c>
      <c r="AF203" s="138">
        <f t="shared" si="767"/>
        <v>0</v>
      </c>
      <c r="AG203" s="138">
        <f t="shared" si="767"/>
        <v>0</v>
      </c>
      <c r="AH203" s="138">
        <f t="shared" si="767"/>
        <v>0</v>
      </c>
      <c r="AI203" s="138">
        <f t="shared" si="767"/>
        <v>0</v>
      </c>
      <c r="AJ203" s="138">
        <f t="shared" si="767"/>
        <v>0</v>
      </c>
      <c r="AK203" s="138">
        <f t="shared" si="767"/>
        <v>0</v>
      </c>
      <c r="AL203" s="138">
        <f t="shared" si="767"/>
        <v>0</v>
      </c>
      <c r="AM203" s="138">
        <f t="shared" si="767"/>
        <v>0</v>
      </c>
      <c r="AN203" s="138">
        <f t="shared" si="767"/>
        <v>0</v>
      </c>
      <c r="AO203" s="138">
        <f t="shared" si="767"/>
        <v>0</v>
      </c>
      <c r="AP203" s="138">
        <f t="shared" si="767"/>
        <v>0</v>
      </c>
      <c r="AQ203" s="138">
        <f t="shared" si="767"/>
        <v>0</v>
      </c>
      <c r="AR203" s="138">
        <f t="shared" si="767"/>
        <v>0</v>
      </c>
      <c r="AS203" s="138">
        <f t="shared" si="767"/>
        <v>0</v>
      </c>
      <c r="AT203" s="138">
        <f t="shared" si="767"/>
        <v>0</v>
      </c>
      <c r="AU203" s="138">
        <f t="shared" si="767"/>
        <v>0</v>
      </c>
      <c r="AV203" s="138">
        <f t="shared" ca="1" si="767"/>
        <v>25360925.507422034</v>
      </c>
      <c r="AW203" s="138"/>
      <c r="AX203" s="171">
        <f ca="1">SUM(G203:AW203)</f>
        <v>24629414.399853129</v>
      </c>
    </row>
    <row r="204" spans="1:50" x14ac:dyDescent="0.2">
      <c r="A204" s="65"/>
      <c r="D204" s="57"/>
      <c r="E204" s="57"/>
      <c r="F204" s="57"/>
    </row>
    <row r="205" spans="1:50" collapsed="1" x14ac:dyDescent="0.2">
      <c r="A205" s="92" t="str">
        <f ca="1">Language!A1336</f>
        <v>Дисконтированный срок окупаемости, PBP</v>
      </c>
      <c r="B205" s="276">
        <f ca="1">IF(B206&gt;0, AX207/12, "-")</f>
        <v>1.9107829677212731</v>
      </c>
      <c r="C205" s="130" t="str">
        <f ca="1">Language!A$48</f>
        <v>лет</v>
      </c>
      <c r="D205" s="57"/>
      <c r="E205" s="57"/>
      <c r="F205" s="57"/>
    </row>
    <row r="206" spans="1:50" hidden="1" outlineLevel="1" x14ac:dyDescent="0.2">
      <c r="A206" s="79" t="str">
        <f ca="1">Language!A$1337</f>
        <v>Флаг периода окупаемости</v>
      </c>
      <c r="B206" s="277">
        <f ca="1">MAX(G206:AW206)</f>
        <v>8</v>
      </c>
      <c r="C206" s="130" t="str">
        <f ca="1">Параметры!$C$17</f>
        <v>кв.</v>
      </c>
      <c r="D206" s="57"/>
      <c r="E206" s="57"/>
      <c r="F206" s="57" t="s">
        <v>1534</v>
      </c>
      <c r="G206" s="278">
        <f t="shared" ref="G206:AV206" si="768">IF(G$2&gt;1, IF(AND(F192&lt;0,G192&gt;=0), G$2, 0), 0)</f>
        <v>0</v>
      </c>
      <c r="H206" s="278">
        <f t="shared" ca="1" si="768"/>
        <v>0</v>
      </c>
      <c r="I206" s="278">
        <f t="shared" ca="1" si="768"/>
        <v>0</v>
      </c>
      <c r="J206" s="278">
        <f t="shared" ca="1" si="768"/>
        <v>0</v>
      </c>
      <c r="K206" s="278">
        <f t="shared" ca="1" si="768"/>
        <v>0</v>
      </c>
      <c r="L206" s="278">
        <f t="shared" ca="1" si="768"/>
        <v>0</v>
      </c>
      <c r="M206" s="278">
        <f t="shared" ca="1" si="768"/>
        <v>0</v>
      </c>
      <c r="N206" s="278">
        <f t="shared" ca="1" si="768"/>
        <v>8</v>
      </c>
      <c r="O206" s="278">
        <f t="shared" ca="1" si="768"/>
        <v>0</v>
      </c>
      <c r="P206" s="278">
        <f t="shared" ca="1" si="768"/>
        <v>0</v>
      </c>
      <c r="Q206" s="278">
        <f t="shared" ca="1" si="768"/>
        <v>0</v>
      </c>
      <c r="R206" s="278">
        <f t="shared" ca="1" si="768"/>
        <v>0</v>
      </c>
      <c r="S206" s="278">
        <f t="shared" ca="1" si="768"/>
        <v>0</v>
      </c>
      <c r="T206" s="278">
        <f t="shared" ca="1" si="768"/>
        <v>0</v>
      </c>
      <c r="U206" s="278">
        <f t="shared" ca="1" si="768"/>
        <v>0</v>
      </c>
      <c r="V206" s="278">
        <f t="shared" ca="1" si="768"/>
        <v>0</v>
      </c>
      <c r="W206" s="278">
        <f t="shared" ca="1" si="768"/>
        <v>0</v>
      </c>
      <c r="X206" s="278">
        <f t="shared" ca="1" si="768"/>
        <v>0</v>
      </c>
      <c r="Y206" s="278">
        <f t="shared" ca="1" si="768"/>
        <v>0</v>
      </c>
      <c r="Z206" s="278">
        <f t="shared" ca="1" si="768"/>
        <v>0</v>
      </c>
      <c r="AA206" s="278">
        <f t="shared" ca="1" si="768"/>
        <v>0</v>
      </c>
      <c r="AB206" s="278">
        <f t="shared" ca="1" si="768"/>
        <v>0</v>
      </c>
      <c r="AC206" s="278">
        <f t="shared" ca="1" si="768"/>
        <v>0</v>
      </c>
      <c r="AD206" s="278">
        <f t="shared" ca="1" si="768"/>
        <v>0</v>
      </c>
      <c r="AE206" s="278">
        <f t="shared" ca="1" si="768"/>
        <v>0</v>
      </c>
      <c r="AF206" s="278">
        <f t="shared" ca="1" si="768"/>
        <v>0</v>
      </c>
      <c r="AG206" s="278">
        <f t="shared" ca="1" si="768"/>
        <v>0</v>
      </c>
      <c r="AH206" s="278">
        <f t="shared" ca="1" si="768"/>
        <v>0</v>
      </c>
      <c r="AI206" s="278">
        <f t="shared" ca="1" si="768"/>
        <v>0</v>
      </c>
      <c r="AJ206" s="278">
        <f t="shared" ca="1" si="768"/>
        <v>0</v>
      </c>
      <c r="AK206" s="278">
        <f t="shared" ca="1" si="768"/>
        <v>0</v>
      </c>
      <c r="AL206" s="278">
        <f t="shared" ca="1" si="768"/>
        <v>0</v>
      </c>
      <c r="AM206" s="278">
        <f t="shared" ca="1" si="768"/>
        <v>0</v>
      </c>
      <c r="AN206" s="278">
        <f t="shared" ca="1" si="768"/>
        <v>0</v>
      </c>
      <c r="AO206" s="278">
        <f t="shared" ca="1" si="768"/>
        <v>0</v>
      </c>
      <c r="AP206" s="278">
        <f t="shared" ca="1" si="768"/>
        <v>0</v>
      </c>
      <c r="AQ206" s="278">
        <f t="shared" ca="1" si="768"/>
        <v>0</v>
      </c>
      <c r="AR206" s="278">
        <f t="shared" ca="1" si="768"/>
        <v>0</v>
      </c>
      <c r="AS206" s="278">
        <f t="shared" ca="1" si="768"/>
        <v>0</v>
      </c>
      <c r="AT206" s="278">
        <f t="shared" ca="1" si="768"/>
        <v>0</v>
      </c>
      <c r="AU206" s="278">
        <f t="shared" ca="1" si="768"/>
        <v>0</v>
      </c>
      <c r="AV206" s="278">
        <f t="shared" ca="1" si="768"/>
        <v>0</v>
      </c>
      <c r="AW206" s="279"/>
      <c r="AX206" s="279"/>
    </row>
    <row r="207" spans="1:50" hidden="1" outlineLevel="1" x14ac:dyDescent="0.2">
      <c r="A207" s="107" t="str">
        <f ca="1">Language!A$1338</f>
        <v>Расчет окупаемости в месяцах</v>
      </c>
      <c r="B207" s="280">
        <f ca="1">AX207</f>
        <v>22.929395612655277</v>
      </c>
      <c r="C207" s="130" t="str">
        <f ca="1">Language!A$46</f>
        <v>мес.</v>
      </c>
      <c r="D207" s="57"/>
      <c r="E207" s="57"/>
      <c r="F207" s="57" t="s">
        <v>1534</v>
      </c>
      <c r="G207" s="279">
        <f ca="1">IF(G$2&lt;$B206, Параметры!G$31, IF(G$2=$B206, -F192/(G192-F192)*Параметры!G$31, 0))</f>
        <v>3</v>
      </c>
      <c r="H207" s="279">
        <f ca="1">IF(H$2&lt;$B206, Параметры!H$31, IF(H$2=$B206, -G192/(H192-G192)*Параметры!H$31, 0))</f>
        <v>3</v>
      </c>
      <c r="I207" s="279">
        <f ca="1">IF(I$2&lt;$B206, Параметры!I$31, IF(I$2=$B206, -H192/(I192-H192)*Параметры!I$31, 0))</f>
        <v>3</v>
      </c>
      <c r="J207" s="279">
        <f ca="1">IF(J$2&lt;$B206, Параметры!J$31, IF(J$2=$B206, -I192/(J192-I192)*Параметры!J$31, 0))</f>
        <v>3</v>
      </c>
      <c r="K207" s="279">
        <f ca="1">IF(K$2&lt;$B206, Параметры!K$31, IF(K$2=$B206, -J192/(K192-J192)*Параметры!K$31, 0))</f>
        <v>3</v>
      </c>
      <c r="L207" s="279">
        <f ca="1">IF(L$2&lt;$B206, Параметры!L$31, IF(L$2=$B206, -K192/(L192-K192)*Параметры!L$31, 0))</f>
        <v>3</v>
      </c>
      <c r="M207" s="279">
        <f ca="1">IF(M$2&lt;$B206, Параметры!M$31, IF(M$2=$B206, -L192/(M192-L192)*Параметры!M$31, 0))</f>
        <v>3</v>
      </c>
      <c r="N207" s="279">
        <f ca="1">IF(N$2&lt;$B206, Параметры!N$31, IF(N$2=$B206, -M192/(N192-M192)*Параметры!N$31, 0))</f>
        <v>1.9293956126552765</v>
      </c>
      <c r="O207" s="279">
        <f ca="1">IF(O$2&lt;$B206, Параметры!O$31, IF(O$2=$B206, -N192/(O192-N192)*Параметры!O$31, 0))</f>
        <v>0</v>
      </c>
      <c r="P207" s="279">
        <f ca="1">IF(P$2&lt;$B206, Параметры!P$31, IF(P$2=$B206, -O192/(P192-O192)*Параметры!P$31, 0))</f>
        <v>0</v>
      </c>
      <c r="Q207" s="279">
        <f ca="1">IF(Q$2&lt;$B206, Параметры!Q$31, IF(Q$2=$B206, -P192/(Q192-P192)*Параметры!Q$31, 0))</f>
        <v>0</v>
      </c>
      <c r="R207" s="279">
        <f ca="1">IF(R$2&lt;$B206, Параметры!R$31, IF(R$2=$B206, -Q192/(R192-Q192)*Параметры!R$31, 0))</f>
        <v>0</v>
      </c>
      <c r="S207" s="279">
        <f ca="1">IF(S$2&lt;$B206, Параметры!S$31, IF(S$2=$B206, -R192/(S192-R192)*Параметры!S$31, 0))</f>
        <v>0</v>
      </c>
      <c r="T207" s="279">
        <f ca="1">IF(T$2&lt;$B206, Параметры!T$31, IF(T$2=$B206, -S192/(T192-S192)*Параметры!T$31, 0))</f>
        <v>0</v>
      </c>
      <c r="U207" s="279">
        <f ca="1">IF(U$2&lt;$B206, Параметры!U$31, IF(U$2=$B206, -T192/(U192-T192)*Параметры!U$31, 0))</f>
        <v>0</v>
      </c>
      <c r="V207" s="279">
        <f ca="1">IF(V$2&lt;$B206, Параметры!V$31, IF(V$2=$B206, -U192/(V192-U192)*Параметры!V$31, 0))</f>
        <v>0</v>
      </c>
      <c r="W207" s="279">
        <f ca="1">IF(W$2&lt;$B206, Параметры!W$31, IF(W$2=$B206, -V192/(W192-V192)*Параметры!W$31, 0))</f>
        <v>0</v>
      </c>
      <c r="X207" s="279">
        <f ca="1">IF(X$2&lt;$B206, Параметры!X$31, IF(X$2=$B206, -W192/(X192-W192)*Параметры!X$31, 0))</f>
        <v>0</v>
      </c>
      <c r="Y207" s="279">
        <f ca="1">IF(Y$2&lt;$B206, Параметры!Y$31, IF(Y$2=$B206, -X192/(Y192-X192)*Параметры!Y$31, 0))</f>
        <v>0</v>
      </c>
      <c r="Z207" s="279">
        <f ca="1">IF(Z$2&lt;$B206, Параметры!Z$31, IF(Z$2=$B206, -Y192/(Z192-Y192)*Параметры!Z$31, 0))</f>
        <v>0</v>
      </c>
      <c r="AA207" s="279">
        <f ca="1">IF(AA$2&lt;$B206, Параметры!AA$31, IF(AA$2=$B206, -Z192/(AA192-Z192)*Параметры!AA$31, 0))</f>
        <v>0</v>
      </c>
      <c r="AB207" s="279">
        <f ca="1">IF(AB$2&lt;$B206, Параметры!AB$31, IF(AB$2=$B206, -AA192/(AB192-AA192)*Параметры!AB$31, 0))</f>
        <v>0</v>
      </c>
      <c r="AC207" s="279">
        <f ca="1">IF(AC$2&lt;$B206, Параметры!AC$31, IF(AC$2=$B206, -AB192/(AC192-AB192)*Параметры!AC$31, 0))</f>
        <v>0</v>
      </c>
      <c r="AD207" s="279">
        <f ca="1">IF(AD$2&lt;$B206, Параметры!AD$31, IF(AD$2=$B206, -AC192/(AD192-AC192)*Параметры!AD$31, 0))</f>
        <v>0</v>
      </c>
      <c r="AE207" s="279">
        <f ca="1">IF(AE$2&lt;$B206, Параметры!AE$31, IF(AE$2=$B206, -AD192/(AE192-AD192)*Параметры!AE$31, 0))</f>
        <v>0</v>
      </c>
      <c r="AF207" s="279">
        <f ca="1">IF(AF$2&lt;$B206, Параметры!AF$31, IF(AF$2=$B206, -AE192/(AF192-AE192)*Параметры!AF$31, 0))</f>
        <v>0</v>
      </c>
      <c r="AG207" s="279">
        <f ca="1">IF(AG$2&lt;$B206, Параметры!AG$31, IF(AG$2=$B206, -AF192/(AG192-AF192)*Параметры!AG$31, 0))</f>
        <v>0</v>
      </c>
      <c r="AH207" s="279">
        <f ca="1">IF(AH$2&lt;$B206, Параметры!AH$31, IF(AH$2=$B206, -AG192/(AH192-AG192)*Параметры!AH$31, 0))</f>
        <v>0</v>
      </c>
      <c r="AI207" s="279">
        <f ca="1">IF(AI$2&lt;$B206, Параметры!AI$31, IF(AI$2=$B206, -AH192/(AI192-AH192)*Параметры!AI$31, 0))</f>
        <v>0</v>
      </c>
      <c r="AJ207" s="279">
        <f ca="1">IF(AJ$2&lt;$B206, Параметры!AJ$31, IF(AJ$2=$B206, -AI192/(AJ192-AI192)*Параметры!AJ$31, 0))</f>
        <v>0</v>
      </c>
      <c r="AK207" s="279">
        <f ca="1">IF(AK$2&lt;$B206, Параметры!AK$31, IF(AK$2=$B206, -AJ192/(AK192-AJ192)*Параметры!AK$31, 0))</f>
        <v>0</v>
      </c>
      <c r="AL207" s="279">
        <f ca="1">IF(AL$2&lt;$B206, Параметры!AL$31, IF(AL$2=$B206, -AK192/(AL192-AK192)*Параметры!AL$31, 0))</f>
        <v>0</v>
      </c>
      <c r="AM207" s="279">
        <f ca="1">IF(AM$2&lt;$B206, Параметры!AM$31, IF(AM$2=$B206, -AL192/(AM192-AL192)*Параметры!AM$31, 0))</f>
        <v>0</v>
      </c>
      <c r="AN207" s="279">
        <f ca="1">IF(AN$2&lt;$B206, Параметры!AN$31, IF(AN$2=$B206, -AM192/(AN192-AM192)*Параметры!AN$31, 0))</f>
        <v>0</v>
      </c>
      <c r="AO207" s="279">
        <f ca="1">IF(AO$2&lt;$B206, Параметры!AO$31, IF(AO$2=$B206, -AN192/(AO192-AN192)*Параметры!AO$31, 0))</f>
        <v>0</v>
      </c>
      <c r="AP207" s="279">
        <f ca="1">IF(AP$2&lt;$B206, Параметры!AP$31, IF(AP$2=$B206, -AO192/(AP192-AO192)*Параметры!AP$31, 0))</f>
        <v>0</v>
      </c>
      <c r="AQ207" s="279">
        <f ca="1">IF(AQ$2&lt;$B206, Параметры!AQ$31, IF(AQ$2=$B206, -AP192/(AQ192-AP192)*Параметры!AQ$31, 0))</f>
        <v>0</v>
      </c>
      <c r="AR207" s="279">
        <f ca="1">IF(AR$2&lt;$B206, Параметры!AR$31, IF(AR$2=$B206, -AQ192/(AR192-AQ192)*Параметры!AR$31, 0))</f>
        <v>0</v>
      </c>
      <c r="AS207" s="279">
        <f ca="1">IF(AS$2&lt;$B206, Параметры!AS$31, IF(AS$2=$B206, -AR192/(AS192-AR192)*Параметры!AS$31, 0))</f>
        <v>0</v>
      </c>
      <c r="AT207" s="279">
        <f ca="1">IF(AT$2&lt;$B206, Параметры!AT$31, IF(AT$2=$B206, -AS192/(AT192-AS192)*Параметры!AT$31, 0))</f>
        <v>0</v>
      </c>
      <c r="AU207" s="279">
        <f ca="1">IF(AU$2&lt;$B206, Параметры!AU$31, IF(AU$2=$B206, -AT192/(AU192-AT192)*Параметры!AU$31, 0))</f>
        <v>0</v>
      </c>
      <c r="AV207" s="279">
        <f ca="1">IF(AV$2&lt;$B206, Параметры!AV$31, IF(AV$2=$B206, -AU192/(AV192-AU192)*Параметры!AV$31, 0))</f>
        <v>0</v>
      </c>
      <c r="AW207" s="279"/>
      <c r="AX207" s="281">
        <f ca="1">SUM(G207:AW207)</f>
        <v>22.929395612655277</v>
      </c>
    </row>
    <row r="208" spans="1:50" x14ac:dyDescent="0.2">
      <c r="A208" s="107"/>
      <c r="B208" s="280"/>
      <c r="D208" s="57"/>
      <c r="E208" s="57"/>
      <c r="F208" s="57"/>
      <c r="G208" s="279"/>
      <c r="H208" s="279"/>
      <c r="I208" s="279"/>
      <c r="J208" s="279"/>
      <c r="K208" s="279"/>
      <c r="L208" s="279"/>
      <c r="M208" s="279"/>
      <c r="N208" s="279"/>
      <c r="O208" s="279"/>
      <c r="P208" s="279"/>
      <c r="Q208" s="279"/>
      <c r="R208" s="279"/>
      <c r="S208" s="279"/>
      <c r="T208" s="279"/>
      <c r="U208" s="279"/>
      <c r="V208" s="279"/>
      <c r="W208" s="279"/>
      <c r="X208" s="279"/>
      <c r="Y208" s="279"/>
      <c r="Z208" s="279"/>
      <c r="AA208" s="279"/>
      <c r="AB208" s="279"/>
      <c r="AC208" s="279"/>
      <c r="AD208" s="279"/>
      <c r="AE208" s="279"/>
      <c r="AF208" s="279"/>
      <c r="AG208" s="279"/>
      <c r="AH208" s="279"/>
      <c r="AI208" s="279"/>
      <c r="AJ208" s="279"/>
      <c r="AK208" s="279"/>
      <c r="AL208" s="279"/>
      <c r="AM208" s="279"/>
      <c r="AN208" s="279"/>
      <c r="AO208" s="279"/>
      <c r="AP208" s="279"/>
      <c r="AQ208" s="279"/>
      <c r="AR208" s="279"/>
      <c r="AS208" s="279"/>
      <c r="AT208" s="279"/>
      <c r="AU208" s="279"/>
      <c r="AV208" s="279"/>
      <c r="AW208" s="279"/>
      <c r="AX208" s="281"/>
    </row>
    <row r="209" spans="1:50" collapsed="1" x14ac:dyDescent="0.2">
      <c r="A209" s="65" t="str">
        <f ca="1">Language!A$1339</f>
        <v>Простой срок окупаемости</v>
      </c>
      <c r="B209" s="276">
        <f ca="1">IF(B211&gt;0, AX212/12, "-")</f>
        <v>1.8356730985639389</v>
      </c>
      <c r="C209" s="130" t="str">
        <f ca="1">Language!A$48</f>
        <v>лет</v>
      </c>
      <c r="D209" s="57"/>
      <c r="E209" s="57"/>
      <c r="F209" s="57"/>
    </row>
    <row r="210" spans="1:50" hidden="1" outlineLevel="1" x14ac:dyDescent="0.2">
      <c r="A210" s="79" t="str">
        <f ca="1">Language!A$1340</f>
        <v>Недисконтированный поток нарастающим итогом</v>
      </c>
      <c r="B210" s="215"/>
      <c r="C210" s="130" t="str">
        <f ca="1">Параметры!$C$64</f>
        <v>тыс. руб.</v>
      </c>
      <c r="D210" s="57"/>
      <c r="E210" s="57"/>
      <c r="F210" s="57" t="s">
        <v>754</v>
      </c>
      <c r="G210" s="148">
        <f ca="1">G190 + IF(G$2&gt;1, F210)</f>
        <v>-718433.45228188299</v>
      </c>
      <c r="H210" s="148">
        <f t="shared" ref="H210:AV210" ca="1" si="769">H190 + IF(H$2&gt;1, G210)</f>
        <v>-692100.43706041889</v>
      </c>
      <c r="I210" s="148">
        <f t="shared" ca="1" si="769"/>
        <v>-705560.89607316721</v>
      </c>
      <c r="J210" s="148">
        <f t="shared" ca="1" si="769"/>
        <v>-653594.61075114436</v>
      </c>
      <c r="K210" s="148">
        <f t="shared" ca="1" si="769"/>
        <v>-412195.9181231375</v>
      </c>
      <c r="L210" s="148">
        <f t="shared" ca="1" si="769"/>
        <v>-193279.8445147085</v>
      </c>
      <c r="M210" s="148">
        <f t="shared" ca="1" si="769"/>
        <v>-60292.98927332426</v>
      </c>
      <c r="N210" s="148">
        <f t="shared" ca="1" si="769"/>
        <v>115646.10445610038</v>
      </c>
      <c r="O210" s="148">
        <f t="shared" ca="1" si="769"/>
        <v>411216.28419042873</v>
      </c>
      <c r="P210" s="148">
        <f t="shared" ca="1" si="769"/>
        <v>680364.02222708147</v>
      </c>
      <c r="Q210" s="148">
        <f t="shared" ca="1" si="769"/>
        <v>859563.8032009782</v>
      </c>
      <c r="R210" s="148">
        <f t="shared" ca="1" si="769"/>
        <v>1078715.5236891578</v>
      </c>
      <c r="S210" s="148">
        <f t="shared" ca="1" si="769"/>
        <v>1413724.759296682</v>
      </c>
      <c r="T210" s="148">
        <f t="shared" ca="1" si="769"/>
        <v>1709445.2198023109</v>
      </c>
      <c r="U210" s="148">
        <f t="shared" ca="1" si="769"/>
        <v>1905178.4755772187</v>
      </c>
      <c r="V210" s="148">
        <f t="shared" ca="1" si="769"/>
        <v>2141063.256323582</v>
      </c>
      <c r="W210" s="148">
        <f t="shared" ca="1" si="769"/>
        <v>2493983.7186602349</v>
      </c>
      <c r="X210" s="148">
        <f t="shared" ca="1" si="769"/>
        <v>2800461.3843367966</v>
      </c>
      <c r="Y210" s="148">
        <f t="shared" ca="1" si="769"/>
        <v>2991932.2999698827</v>
      </c>
      <c r="Z210" s="148">
        <f t="shared" ca="1" si="769"/>
        <v>3219268.9080370832</v>
      </c>
      <c r="AA210" s="148">
        <f t="shared" ca="1" si="769"/>
        <v>3570408.797761891</v>
      </c>
      <c r="AB210" s="148">
        <f t="shared" ca="1" si="769"/>
        <v>3872062.0417130594</v>
      </c>
      <c r="AC210" s="148">
        <f t="shared" ca="1" si="769"/>
        <v>4056815.1937070391</v>
      </c>
      <c r="AD210" s="148">
        <f t="shared" ca="1" si="769"/>
        <v>4281952.7809746321</v>
      </c>
      <c r="AE210" s="148">
        <f t="shared" ca="1" si="769"/>
        <v>4637960.9814200057</v>
      </c>
      <c r="AF210" s="148">
        <f t="shared" ca="1" si="769"/>
        <v>4941145.5508204261</v>
      </c>
      <c r="AG210" s="148">
        <f t="shared" ca="1" si="769"/>
        <v>5117461.3178942883</v>
      </c>
      <c r="AH210" s="148">
        <f t="shared" ca="1" si="769"/>
        <v>5333773.23856223</v>
      </c>
      <c r="AI210" s="148">
        <f t="shared" ca="1" si="769"/>
        <v>5688478.6183378911</v>
      </c>
      <c r="AJ210" s="148">
        <f t="shared" ca="1" si="769"/>
        <v>5986856.7038216023</v>
      </c>
      <c r="AK210" s="148">
        <f t="shared" ca="1" si="769"/>
        <v>6148540.1708513852</v>
      </c>
      <c r="AL210" s="148">
        <f t="shared" ca="1" si="769"/>
        <v>6351131.9303487847</v>
      </c>
      <c r="AM210" s="148">
        <f t="shared" ca="1" si="769"/>
        <v>6707742.0239271605</v>
      </c>
      <c r="AN210" s="148">
        <f t="shared" ca="1" si="769"/>
        <v>7012131.3366315356</v>
      </c>
      <c r="AO210" s="148">
        <f t="shared" ca="1" si="769"/>
        <v>7176001.1476255376</v>
      </c>
      <c r="AP210" s="148">
        <f t="shared" ca="1" si="769"/>
        <v>7388829.7124286965</v>
      </c>
      <c r="AQ210" s="148">
        <f t="shared" ca="1" si="769"/>
        <v>7766370.0182278082</v>
      </c>
      <c r="AR210" s="148">
        <f t="shared" ca="1" si="769"/>
        <v>8088549.4525155611</v>
      </c>
      <c r="AS210" s="148">
        <f t="shared" ca="1" si="769"/>
        <v>8243793.2559390143</v>
      </c>
      <c r="AT210" s="148">
        <f t="shared" ca="1" si="769"/>
        <v>8442494.9436791278</v>
      </c>
      <c r="AU210" s="148">
        <f t="shared" ca="1" si="769"/>
        <v>8815396.4004368708</v>
      </c>
      <c r="AV210" s="148">
        <f t="shared" ca="1" si="769"/>
        <v>9129214.8655331563</v>
      </c>
    </row>
    <row r="211" spans="1:50" hidden="1" outlineLevel="1" x14ac:dyDescent="0.2">
      <c r="A211" s="79" t="str">
        <f ca="1">Language!A$1337</f>
        <v>Флаг периода окупаемости</v>
      </c>
      <c r="B211" s="277">
        <f ca="1">MAX(G211:AW211)</f>
        <v>8</v>
      </c>
      <c r="C211" s="130" t="str">
        <f ca="1">Параметры!$C$17</f>
        <v>кв.</v>
      </c>
      <c r="D211" s="57"/>
      <c r="E211" s="57"/>
      <c r="F211" s="57" t="s">
        <v>1534</v>
      </c>
      <c r="G211" s="278">
        <f>IF(G$2&gt;1, IF(AND(F210&lt;0,G210&gt;=0), G$2, 0), 0)</f>
        <v>0</v>
      </c>
      <c r="H211" s="278">
        <f t="shared" ref="H211:AV211" ca="1" si="770">IF(H$2&gt;1, IF(AND(G210&lt;0,H210&gt;=0), H$2, 0), 0)</f>
        <v>0</v>
      </c>
      <c r="I211" s="278">
        <f t="shared" ca="1" si="770"/>
        <v>0</v>
      </c>
      <c r="J211" s="278">
        <f t="shared" ca="1" si="770"/>
        <v>0</v>
      </c>
      <c r="K211" s="278">
        <f t="shared" ca="1" si="770"/>
        <v>0</v>
      </c>
      <c r="L211" s="278">
        <f t="shared" ca="1" si="770"/>
        <v>0</v>
      </c>
      <c r="M211" s="278">
        <f t="shared" ca="1" si="770"/>
        <v>0</v>
      </c>
      <c r="N211" s="278">
        <f t="shared" ca="1" si="770"/>
        <v>8</v>
      </c>
      <c r="O211" s="278">
        <f t="shared" ca="1" si="770"/>
        <v>0</v>
      </c>
      <c r="P211" s="278">
        <f t="shared" ca="1" si="770"/>
        <v>0</v>
      </c>
      <c r="Q211" s="278">
        <f t="shared" ca="1" si="770"/>
        <v>0</v>
      </c>
      <c r="R211" s="278">
        <f t="shared" ca="1" si="770"/>
        <v>0</v>
      </c>
      <c r="S211" s="278">
        <f t="shared" ca="1" si="770"/>
        <v>0</v>
      </c>
      <c r="T211" s="278">
        <f t="shared" ca="1" si="770"/>
        <v>0</v>
      </c>
      <c r="U211" s="278">
        <f t="shared" ca="1" si="770"/>
        <v>0</v>
      </c>
      <c r="V211" s="278">
        <f t="shared" ca="1" si="770"/>
        <v>0</v>
      </c>
      <c r="W211" s="278">
        <f t="shared" ca="1" si="770"/>
        <v>0</v>
      </c>
      <c r="X211" s="278">
        <f t="shared" ca="1" si="770"/>
        <v>0</v>
      </c>
      <c r="Y211" s="278">
        <f t="shared" ca="1" si="770"/>
        <v>0</v>
      </c>
      <c r="Z211" s="278">
        <f t="shared" ca="1" si="770"/>
        <v>0</v>
      </c>
      <c r="AA211" s="278">
        <f t="shared" ca="1" si="770"/>
        <v>0</v>
      </c>
      <c r="AB211" s="278">
        <f t="shared" ca="1" si="770"/>
        <v>0</v>
      </c>
      <c r="AC211" s="278">
        <f t="shared" ca="1" si="770"/>
        <v>0</v>
      </c>
      <c r="AD211" s="278">
        <f t="shared" ca="1" si="770"/>
        <v>0</v>
      </c>
      <c r="AE211" s="278">
        <f t="shared" ca="1" si="770"/>
        <v>0</v>
      </c>
      <c r="AF211" s="278">
        <f t="shared" ca="1" si="770"/>
        <v>0</v>
      </c>
      <c r="AG211" s="278">
        <f t="shared" ca="1" si="770"/>
        <v>0</v>
      </c>
      <c r="AH211" s="278">
        <f t="shared" ca="1" si="770"/>
        <v>0</v>
      </c>
      <c r="AI211" s="278">
        <f t="shared" ca="1" si="770"/>
        <v>0</v>
      </c>
      <c r="AJ211" s="278">
        <f t="shared" ca="1" si="770"/>
        <v>0</v>
      </c>
      <c r="AK211" s="278">
        <f t="shared" ca="1" si="770"/>
        <v>0</v>
      </c>
      <c r="AL211" s="278">
        <f t="shared" ca="1" si="770"/>
        <v>0</v>
      </c>
      <c r="AM211" s="278">
        <f t="shared" ca="1" si="770"/>
        <v>0</v>
      </c>
      <c r="AN211" s="278">
        <f t="shared" ca="1" si="770"/>
        <v>0</v>
      </c>
      <c r="AO211" s="278">
        <f t="shared" ca="1" si="770"/>
        <v>0</v>
      </c>
      <c r="AP211" s="278">
        <f t="shared" ca="1" si="770"/>
        <v>0</v>
      </c>
      <c r="AQ211" s="278">
        <f t="shared" ca="1" si="770"/>
        <v>0</v>
      </c>
      <c r="AR211" s="278">
        <f t="shared" ca="1" si="770"/>
        <v>0</v>
      </c>
      <c r="AS211" s="278">
        <f t="shared" ca="1" si="770"/>
        <v>0</v>
      </c>
      <c r="AT211" s="278">
        <f t="shared" ca="1" si="770"/>
        <v>0</v>
      </c>
      <c r="AU211" s="278">
        <f t="shared" ca="1" si="770"/>
        <v>0</v>
      </c>
      <c r="AV211" s="278">
        <f t="shared" ca="1" si="770"/>
        <v>0</v>
      </c>
      <c r="AW211" s="279"/>
      <c r="AX211" s="279"/>
    </row>
    <row r="212" spans="1:50" hidden="1" outlineLevel="1" x14ac:dyDescent="0.2">
      <c r="A212" s="107" t="str">
        <f ca="1">Language!A$1338</f>
        <v>Расчет окупаемости в месяцах</v>
      </c>
      <c r="B212" s="280">
        <f ca="1">AX212</f>
        <v>22.028077182767266</v>
      </c>
      <c r="C212" s="130" t="str">
        <f ca="1">Language!A$46</f>
        <v>мес.</v>
      </c>
      <c r="D212" s="57"/>
      <c r="E212" s="57"/>
      <c r="F212" s="57" t="s">
        <v>1534</v>
      </c>
      <c r="G212" s="279">
        <f ca="1">IF(G$2&lt;$B211, Параметры!G$31, IF(G$2=$B211, -F210/(G210-F210)*Параметры!G$31, 0))</f>
        <v>3</v>
      </c>
      <c r="H212" s="279">
        <f ca="1">IF(H$2&lt;$B211, Параметры!H$31, IF(H$2=$B211, -G210/(H210-G210)*Параметры!H$31, 0))</f>
        <v>3</v>
      </c>
      <c r="I212" s="279">
        <f ca="1">IF(I$2&lt;$B211, Параметры!I$31, IF(I$2=$B211, -H210/(I210-H210)*Параметры!I$31, 0))</f>
        <v>3</v>
      </c>
      <c r="J212" s="279">
        <f ca="1">IF(J$2&lt;$B211, Параметры!J$31, IF(J$2=$B211, -I210/(J210-I210)*Параметры!J$31, 0))</f>
        <v>3</v>
      </c>
      <c r="K212" s="279">
        <f ca="1">IF(K$2&lt;$B211, Параметры!K$31, IF(K$2=$B211, -J210/(K210-J210)*Параметры!K$31, 0))</f>
        <v>3</v>
      </c>
      <c r="L212" s="279">
        <f ca="1">IF(L$2&lt;$B211, Параметры!L$31, IF(L$2=$B211, -K210/(L210-K210)*Параметры!L$31, 0))</f>
        <v>3</v>
      </c>
      <c r="M212" s="279">
        <f ca="1">IF(M$2&lt;$B211, Параметры!M$31, IF(M$2=$B211, -L210/(M210-L210)*Параметры!M$31, 0))</f>
        <v>3</v>
      </c>
      <c r="N212" s="279">
        <f ca="1">IF(N$2&lt;$B211, Параметры!N$31, IF(N$2=$B211, -M210/(N210-M210)*Параметры!N$31, 0))</f>
        <v>1.0280771827672657</v>
      </c>
      <c r="O212" s="279">
        <f ca="1">IF(O$2&lt;$B211, Параметры!O$31, IF(O$2=$B211, -N210/(O210-N210)*Параметры!O$31, 0))</f>
        <v>0</v>
      </c>
      <c r="P212" s="279">
        <f ca="1">IF(P$2&lt;$B211, Параметры!P$31, IF(P$2=$B211, -O210/(P210-O210)*Параметры!P$31, 0))</f>
        <v>0</v>
      </c>
      <c r="Q212" s="279">
        <f ca="1">IF(Q$2&lt;$B211, Параметры!Q$31, IF(Q$2=$B211, -P210/(Q210-P210)*Параметры!Q$31, 0))</f>
        <v>0</v>
      </c>
      <c r="R212" s="279">
        <f ca="1">IF(R$2&lt;$B211, Параметры!R$31, IF(R$2=$B211, -Q210/(R210-Q210)*Параметры!R$31, 0))</f>
        <v>0</v>
      </c>
      <c r="S212" s="279">
        <f ca="1">IF(S$2&lt;$B211, Параметры!S$31, IF(S$2=$B211, -R210/(S210-R210)*Параметры!S$31, 0))</f>
        <v>0</v>
      </c>
      <c r="T212" s="279">
        <f ca="1">IF(T$2&lt;$B211, Параметры!T$31, IF(T$2=$B211, -S210/(T210-S210)*Параметры!T$31, 0))</f>
        <v>0</v>
      </c>
      <c r="U212" s="279">
        <f ca="1">IF(U$2&lt;$B211, Параметры!U$31, IF(U$2=$B211, -T210/(U210-T210)*Параметры!U$31, 0))</f>
        <v>0</v>
      </c>
      <c r="V212" s="279">
        <f ca="1">IF(V$2&lt;$B211, Параметры!V$31, IF(V$2=$B211, -U210/(V210-U210)*Параметры!V$31, 0))</f>
        <v>0</v>
      </c>
      <c r="W212" s="279">
        <f ca="1">IF(W$2&lt;$B211, Параметры!W$31, IF(W$2=$B211, -V210/(W210-V210)*Параметры!W$31, 0))</f>
        <v>0</v>
      </c>
      <c r="X212" s="279">
        <f ca="1">IF(X$2&lt;$B211, Параметры!X$31, IF(X$2=$B211, -W210/(X210-W210)*Параметры!X$31, 0))</f>
        <v>0</v>
      </c>
      <c r="Y212" s="279">
        <f ca="1">IF(Y$2&lt;$B211, Параметры!Y$31, IF(Y$2=$B211, -X210/(Y210-X210)*Параметры!Y$31, 0))</f>
        <v>0</v>
      </c>
      <c r="Z212" s="279">
        <f ca="1">IF(Z$2&lt;$B211, Параметры!Z$31, IF(Z$2=$B211, -Y210/(Z210-Y210)*Параметры!Z$31, 0))</f>
        <v>0</v>
      </c>
      <c r="AA212" s="279">
        <f ca="1">IF(AA$2&lt;$B211, Параметры!AA$31, IF(AA$2=$B211, -Z210/(AA210-Z210)*Параметры!AA$31, 0))</f>
        <v>0</v>
      </c>
      <c r="AB212" s="279">
        <f ca="1">IF(AB$2&lt;$B211, Параметры!AB$31, IF(AB$2=$B211, -AA210/(AB210-AA210)*Параметры!AB$31, 0))</f>
        <v>0</v>
      </c>
      <c r="AC212" s="279">
        <f ca="1">IF(AC$2&lt;$B211, Параметры!AC$31, IF(AC$2=$B211, -AB210/(AC210-AB210)*Параметры!AC$31, 0))</f>
        <v>0</v>
      </c>
      <c r="AD212" s="279">
        <f ca="1">IF(AD$2&lt;$B211, Параметры!AD$31, IF(AD$2=$B211, -AC210/(AD210-AC210)*Параметры!AD$31, 0))</f>
        <v>0</v>
      </c>
      <c r="AE212" s="279">
        <f ca="1">IF(AE$2&lt;$B211, Параметры!AE$31, IF(AE$2=$B211, -AD210/(AE210-AD210)*Параметры!AE$31, 0))</f>
        <v>0</v>
      </c>
      <c r="AF212" s="279">
        <f ca="1">IF(AF$2&lt;$B211, Параметры!AF$31, IF(AF$2=$B211, -AE210/(AF210-AE210)*Параметры!AF$31, 0))</f>
        <v>0</v>
      </c>
      <c r="AG212" s="279">
        <f ca="1">IF(AG$2&lt;$B211, Параметры!AG$31, IF(AG$2=$B211, -AF210/(AG210-AF210)*Параметры!AG$31, 0))</f>
        <v>0</v>
      </c>
      <c r="AH212" s="279">
        <f ca="1">IF(AH$2&lt;$B211, Параметры!AH$31, IF(AH$2=$B211, -AG210/(AH210-AG210)*Параметры!AH$31, 0))</f>
        <v>0</v>
      </c>
      <c r="AI212" s="279">
        <f ca="1">IF(AI$2&lt;$B211, Параметры!AI$31, IF(AI$2=$B211, -AH210/(AI210-AH210)*Параметры!AI$31, 0))</f>
        <v>0</v>
      </c>
      <c r="AJ212" s="279">
        <f ca="1">IF(AJ$2&lt;$B211, Параметры!AJ$31, IF(AJ$2=$B211, -AI210/(AJ210-AI210)*Параметры!AJ$31, 0))</f>
        <v>0</v>
      </c>
      <c r="AK212" s="279">
        <f ca="1">IF(AK$2&lt;$B211, Параметры!AK$31, IF(AK$2=$B211, -AJ210/(AK210-AJ210)*Параметры!AK$31, 0))</f>
        <v>0</v>
      </c>
      <c r="AL212" s="279">
        <f ca="1">IF(AL$2&lt;$B211, Параметры!AL$31, IF(AL$2=$B211, -AK210/(AL210-AK210)*Параметры!AL$31, 0))</f>
        <v>0</v>
      </c>
      <c r="AM212" s="279">
        <f ca="1">IF(AM$2&lt;$B211, Параметры!AM$31, IF(AM$2=$B211, -AL210/(AM210-AL210)*Параметры!AM$31, 0))</f>
        <v>0</v>
      </c>
      <c r="AN212" s="279">
        <f ca="1">IF(AN$2&lt;$B211, Параметры!AN$31, IF(AN$2=$B211, -AM210/(AN210-AM210)*Параметры!AN$31, 0))</f>
        <v>0</v>
      </c>
      <c r="AO212" s="279">
        <f ca="1">IF(AO$2&lt;$B211, Параметры!AO$31, IF(AO$2=$B211, -AN210/(AO210-AN210)*Параметры!AO$31, 0))</f>
        <v>0</v>
      </c>
      <c r="AP212" s="279">
        <f ca="1">IF(AP$2&lt;$B211, Параметры!AP$31, IF(AP$2=$B211, -AO210/(AP210-AO210)*Параметры!AP$31, 0))</f>
        <v>0</v>
      </c>
      <c r="AQ212" s="279">
        <f ca="1">IF(AQ$2&lt;$B211, Параметры!AQ$31, IF(AQ$2=$B211, -AP210/(AQ210-AP210)*Параметры!AQ$31, 0))</f>
        <v>0</v>
      </c>
      <c r="AR212" s="279">
        <f ca="1">IF(AR$2&lt;$B211, Параметры!AR$31, IF(AR$2=$B211, -AQ210/(AR210-AQ210)*Параметры!AR$31, 0))</f>
        <v>0</v>
      </c>
      <c r="AS212" s="279">
        <f ca="1">IF(AS$2&lt;$B211, Параметры!AS$31, IF(AS$2=$B211, -AR210/(AS210-AR210)*Параметры!AS$31, 0))</f>
        <v>0</v>
      </c>
      <c r="AT212" s="279">
        <f ca="1">IF(AT$2&lt;$B211, Параметры!AT$31, IF(AT$2=$B211, -AS210/(AT210-AS210)*Параметры!AT$31, 0))</f>
        <v>0</v>
      </c>
      <c r="AU212" s="279">
        <f ca="1">IF(AU$2&lt;$B211, Параметры!AU$31, IF(AU$2=$B211, -AT210/(AU210-AT210)*Параметры!AU$31, 0))</f>
        <v>0</v>
      </c>
      <c r="AV212" s="279">
        <f ca="1">IF(AV$2&lt;$B211, Параметры!AV$31, IF(AV$2=$B211, -AU210/(AV210-AU210)*Параметры!AV$31, 0))</f>
        <v>0</v>
      </c>
      <c r="AW212" s="279"/>
      <c r="AX212" s="281">
        <f ca="1">SUM(G212:AW212)</f>
        <v>22.028077182767266</v>
      </c>
    </row>
    <row r="213" spans="1:50" x14ac:dyDescent="0.2">
      <c r="A213" s="107"/>
      <c r="B213" s="280"/>
      <c r="D213" s="57"/>
      <c r="E213" s="57"/>
      <c r="F213" s="57"/>
      <c r="G213" s="279"/>
      <c r="H213" s="279"/>
      <c r="I213" s="279"/>
      <c r="J213" s="279"/>
      <c r="K213" s="279"/>
      <c r="L213" s="279"/>
      <c r="M213" s="279"/>
      <c r="N213" s="279"/>
      <c r="O213" s="279"/>
      <c r="P213" s="279"/>
      <c r="Q213" s="279"/>
      <c r="R213" s="279"/>
      <c r="S213" s="279"/>
      <c r="T213" s="279"/>
      <c r="U213" s="279"/>
      <c r="V213" s="279"/>
      <c r="W213" s="279"/>
      <c r="X213" s="279"/>
      <c r="Y213" s="279"/>
      <c r="Z213" s="279"/>
      <c r="AA213" s="279"/>
      <c r="AB213" s="279"/>
      <c r="AC213" s="279"/>
      <c r="AD213" s="279"/>
      <c r="AE213" s="279"/>
      <c r="AF213" s="279"/>
      <c r="AG213" s="279"/>
      <c r="AH213" s="279"/>
      <c r="AI213" s="279"/>
      <c r="AJ213" s="279"/>
      <c r="AK213" s="279"/>
      <c r="AL213" s="279"/>
      <c r="AM213" s="279"/>
      <c r="AN213" s="279"/>
      <c r="AO213" s="279"/>
      <c r="AP213" s="279"/>
      <c r="AQ213" s="279"/>
      <c r="AR213" s="279"/>
      <c r="AS213" s="279"/>
      <c r="AT213" s="279"/>
      <c r="AU213" s="279"/>
      <c r="AV213" s="279"/>
      <c r="AW213" s="279"/>
      <c r="AX213" s="281"/>
    </row>
    <row r="214" spans="1:50" collapsed="1" x14ac:dyDescent="0.2">
      <c r="A214" s="107" t="str">
        <f ca="1">Language!A$1341</f>
        <v>Норма доходности дисконтированных затрат (PI)</v>
      </c>
      <c r="B214" s="280">
        <f ca="1">IF(AX218=0,"-",AX216/-AX218)</f>
        <v>9.8020442429802745</v>
      </c>
      <c r="C214" s="130" t="str">
        <f ca="1">Language!$A$1449</f>
        <v>раз</v>
      </c>
      <c r="D214" s="57"/>
      <c r="E214" s="57"/>
      <c r="F214" s="57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279"/>
      <c r="AX214" s="281"/>
    </row>
    <row r="215" spans="1:50" hidden="1" outlineLevel="1" x14ac:dyDescent="0.2">
      <c r="A215" s="99" t="str">
        <f ca="1">Language!A$1342</f>
        <v>притоки</v>
      </c>
      <c r="B215" s="280"/>
      <c r="C215" s="130" t="str">
        <f ca="1">Параметры!$C$64</f>
        <v>тыс. руб.</v>
      </c>
      <c r="D215" s="57"/>
      <c r="E215" s="57"/>
      <c r="F215" s="57" t="s">
        <v>753</v>
      </c>
      <c r="G215" s="138">
        <f t="shared" ref="G215:AV215" ca="1" si="771">MAX(0,G190)</f>
        <v>0</v>
      </c>
      <c r="H215" s="138">
        <f t="shared" ca="1" si="771"/>
        <v>26333.015221464142</v>
      </c>
      <c r="I215" s="138">
        <f t="shared" ca="1" si="771"/>
        <v>0</v>
      </c>
      <c r="J215" s="138">
        <f t="shared" ca="1" si="771"/>
        <v>51966.285322022799</v>
      </c>
      <c r="K215" s="138">
        <f t="shared" ca="1" si="771"/>
        <v>241398.69262800686</v>
      </c>
      <c r="L215" s="138">
        <f t="shared" ca="1" si="771"/>
        <v>218916.073608429</v>
      </c>
      <c r="M215" s="138">
        <f t="shared" ca="1" si="771"/>
        <v>132986.85524138424</v>
      </c>
      <c r="N215" s="138">
        <f t="shared" ca="1" si="771"/>
        <v>175939.09372942464</v>
      </c>
      <c r="O215" s="138">
        <f t="shared" ca="1" si="771"/>
        <v>295570.17973432835</v>
      </c>
      <c r="P215" s="138">
        <f t="shared" ca="1" si="771"/>
        <v>269147.73803665274</v>
      </c>
      <c r="Q215" s="138">
        <f t="shared" ca="1" si="771"/>
        <v>179199.78097389673</v>
      </c>
      <c r="R215" s="138">
        <f t="shared" ca="1" si="771"/>
        <v>219151.72048817965</v>
      </c>
      <c r="S215" s="138">
        <f t="shared" ca="1" si="771"/>
        <v>335009.23560752411</v>
      </c>
      <c r="T215" s="138">
        <f t="shared" ca="1" si="771"/>
        <v>295720.46050562896</v>
      </c>
      <c r="U215" s="138">
        <f t="shared" ca="1" si="771"/>
        <v>195733.25577490771</v>
      </c>
      <c r="V215" s="138">
        <f t="shared" ca="1" si="771"/>
        <v>235884.78074636351</v>
      </c>
      <c r="W215" s="138">
        <f t="shared" ca="1" si="771"/>
        <v>352920.46233665285</v>
      </c>
      <c r="X215" s="138">
        <f t="shared" ca="1" si="771"/>
        <v>306477.66567656182</v>
      </c>
      <c r="Y215" s="138">
        <f t="shared" ca="1" si="771"/>
        <v>191470.91563308594</v>
      </c>
      <c r="Z215" s="138">
        <f t="shared" ca="1" si="771"/>
        <v>227336.6080672004</v>
      </c>
      <c r="AA215" s="138">
        <f t="shared" ca="1" si="771"/>
        <v>351139.88972480758</v>
      </c>
      <c r="AB215" s="138">
        <f t="shared" ca="1" si="771"/>
        <v>301653.24395116838</v>
      </c>
      <c r="AC215" s="138">
        <f t="shared" ca="1" si="771"/>
        <v>184753.15199397964</v>
      </c>
      <c r="AD215" s="138">
        <f t="shared" ca="1" si="771"/>
        <v>225137.58726759348</v>
      </c>
      <c r="AE215" s="138">
        <f t="shared" ca="1" si="771"/>
        <v>356008.2004453736</v>
      </c>
      <c r="AF215" s="138">
        <f t="shared" ca="1" si="771"/>
        <v>303184.56940042012</v>
      </c>
      <c r="AG215" s="138">
        <f t="shared" ca="1" si="771"/>
        <v>176315.76707386202</v>
      </c>
      <c r="AH215" s="138">
        <f t="shared" ca="1" si="771"/>
        <v>216311.9206679413</v>
      </c>
      <c r="AI215" s="138">
        <f t="shared" ca="1" si="771"/>
        <v>354705.37977566081</v>
      </c>
      <c r="AJ215" s="138">
        <f t="shared" ca="1" si="771"/>
        <v>298378.0854837111</v>
      </c>
      <c r="AK215" s="138">
        <f t="shared" ca="1" si="771"/>
        <v>161683.46702978329</v>
      </c>
      <c r="AL215" s="138">
        <f t="shared" ca="1" si="771"/>
        <v>202591.75949739973</v>
      </c>
      <c r="AM215" s="138">
        <f t="shared" ca="1" si="771"/>
        <v>356610.09357837564</v>
      </c>
      <c r="AN215" s="138">
        <f t="shared" ca="1" si="771"/>
        <v>304389.31270437461</v>
      </c>
      <c r="AO215" s="138">
        <f t="shared" ca="1" si="771"/>
        <v>163869.81099400215</v>
      </c>
      <c r="AP215" s="138">
        <f t="shared" ca="1" si="771"/>
        <v>212828.56480315898</v>
      </c>
      <c r="AQ215" s="138">
        <f t="shared" ca="1" si="771"/>
        <v>377540.30579911149</v>
      </c>
      <c r="AR215" s="138">
        <f t="shared" ca="1" si="771"/>
        <v>322179.43428775296</v>
      </c>
      <c r="AS215" s="138">
        <f t="shared" ca="1" si="771"/>
        <v>155243.8034234533</v>
      </c>
      <c r="AT215" s="138">
        <f t="shared" ca="1" si="771"/>
        <v>198701.68774011367</v>
      </c>
      <c r="AU215" s="138">
        <f t="shared" ca="1" si="771"/>
        <v>372901.45675774344</v>
      </c>
      <c r="AV215" s="138">
        <f t="shared" ca="1" si="771"/>
        <v>313818.46509628498</v>
      </c>
      <c r="AW215" s="279"/>
      <c r="AX215" s="171">
        <f ca="1">SUM(G215:AW215)</f>
        <v>9861108.776827788</v>
      </c>
    </row>
    <row r="216" spans="1:50" hidden="1" outlineLevel="1" x14ac:dyDescent="0.2">
      <c r="A216" s="99" t="str">
        <f ca="1">Language!A$1343</f>
        <v>дисконтированные притоки</v>
      </c>
      <c r="B216" s="280"/>
      <c r="C216" s="130" t="str">
        <f ca="1">Параметры!$C$64</f>
        <v>тыс. руб.</v>
      </c>
      <c r="D216" s="57"/>
      <c r="E216" s="57"/>
      <c r="F216" s="57" t="s">
        <v>753</v>
      </c>
      <c r="G216" s="148">
        <f t="shared" ref="G216:AV216" ca="1" si="772">G215/G178</f>
        <v>0</v>
      </c>
      <c r="H216" s="148">
        <f t="shared" ca="1" si="772"/>
        <v>25955.870460088867</v>
      </c>
      <c r="I216" s="148">
        <f t="shared" ca="1" si="772"/>
        <v>0</v>
      </c>
      <c r="J216" s="148">
        <f t="shared" ca="1" si="772"/>
        <v>49765.308087090983</v>
      </c>
      <c r="K216" s="148">
        <f t="shared" ca="1" si="772"/>
        <v>227863.59508024045</v>
      </c>
      <c r="L216" s="148">
        <f t="shared" ca="1" si="772"/>
        <v>203682.01814579868</v>
      </c>
      <c r="M216" s="148">
        <f t="shared" ca="1" si="772"/>
        <v>121960.37847337654</v>
      </c>
      <c r="N216" s="148">
        <f t="shared" ca="1" si="772"/>
        <v>159040.38029019572</v>
      </c>
      <c r="O216" s="148">
        <f t="shared" ca="1" si="772"/>
        <v>263354.46048456628</v>
      </c>
      <c r="P216" s="148">
        <f t="shared" ca="1" si="772"/>
        <v>236377.32029320777</v>
      </c>
      <c r="Q216" s="148">
        <f t="shared" ca="1" si="772"/>
        <v>155127.05688592757</v>
      </c>
      <c r="R216" s="148">
        <f t="shared" ca="1" si="772"/>
        <v>186994.98993690041</v>
      </c>
      <c r="S216" s="148">
        <f t="shared" ca="1" si="772"/>
        <v>281758.40109823796</v>
      </c>
      <c r="T216" s="148">
        <f t="shared" ca="1" si="772"/>
        <v>245152.58436257002</v>
      </c>
      <c r="U216" s="148">
        <f t="shared" ca="1" si="772"/>
        <v>159939.13025408232</v>
      </c>
      <c r="V216" s="148">
        <f t="shared" ca="1" si="772"/>
        <v>189987.50477414054</v>
      </c>
      <c r="W216" s="148">
        <f t="shared" ca="1" si="772"/>
        <v>280179.89300050301</v>
      </c>
      <c r="X216" s="148">
        <f t="shared" ca="1" si="772"/>
        <v>239824.73020991072</v>
      </c>
      <c r="Y216" s="148">
        <f t="shared" ca="1" si="772"/>
        <v>147683.83296079928</v>
      </c>
      <c r="Z216" s="148">
        <f t="shared" ca="1" si="772"/>
        <v>172836.12667932792</v>
      </c>
      <c r="AA216" s="148">
        <f t="shared" ca="1" si="772"/>
        <v>263136.0344345065</v>
      </c>
      <c r="AB216" s="148">
        <f t="shared" ca="1" si="772"/>
        <v>222814.35382336291</v>
      </c>
      <c r="AC216" s="148">
        <f t="shared" ca="1" si="772"/>
        <v>134512.30943778064</v>
      </c>
      <c r="AD216" s="148">
        <f t="shared" ca="1" si="772"/>
        <v>161567.19609909254</v>
      </c>
      <c r="AE216" s="148">
        <f t="shared" ca="1" si="772"/>
        <v>251825.78140088113</v>
      </c>
      <c r="AF216" s="148">
        <f t="shared" ca="1" si="772"/>
        <v>211388.95426997988</v>
      </c>
      <c r="AG216" s="148">
        <f t="shared" ca="1" si="772"/>
        <v>121171.74298622769</v>
      </c>
      <c r="AH216" s="148">
        <f t="shared" ca="1" si="772"/>
        <v>146529.70168836945</v>
      </c>
      <c r="AI216" s="148">
        <f t="shared" ca="1" si="772"/>
        <v>236836.1514328694</v>
      </c>
      <c r="AJ216" s="148">
        <f t="shared" ca="1" si="772"/>
        <v>196373.16990327658</v>
      </c>
      <c r="AK216" s="148">
        <f t="shared" ca="1" si="772"/>
        <v>104885.59562567271</v>
      </c>
      <c r="AL216" s="148">
        <f t="shared" ca="1" si="772"/>
        <v>129540.93268930705</v>
      </c>
      <c r="AM216" s="148">
        <f t="shared" ca="1" si="772"/>
        <v>224757.33948695811</v>
      </c>
      <c r="AN216" s="148">
        <f t="shared" ca="1" si="772"/>
        <v>189097.00879583889</v>
      </c>
      <c r="AO216" s="148">
        <f t="shared" ca="1" si="772"/>
        <v>100343.49410242551</v>
      </c>
      <c r="AP216" s="148">
        <f t="shared" ca="1" si="772"/>
        <v>128456.23567672654</v>
      </c>
      <c r="AQ216" s="148">
        <f t="shared" ca="1" si="772"/>
        <v>224607.16482268897</v>
      </c>
      <c r="AR216" s="148">
        <f t="shared" ca="1" si="772"/>
        <v>188926.59832851504</v>
      </c>
      <c r="AS216" s="148">
        <f t="shared" ca="1" si="772"/>
        <v>89731.426624283195</v>
      </c>
      <c r="AT216" s="148">
        <f t="shared" ca="1" si="772"/>
        <v>113205.32662824508</v>
      </c>
      <c r="AU216" s="148">
        <f t="shared" ca="1" si="772"/>
        <v>209408.54244242184</v>
      </c>
      <c r="AV216" s="148">
        <f t="shared" ca="1" si="772"/>
        <v>173705.59844551998</v>
      </c>
      <c r="AW216" s="279"/>
      <c r="AX216" s="171">
        <f ca="1">SUM(G216:AW216)</f>
        <v>7170304.2406219151</v>
      </c>
    </row>
    <row r="217" spans="1:50" hidden="1" outlineLevel="1" x14ac:dyDescent="0.2">
      <c r="A217" s="99" t="str">
        <f ca="1">Language!A$1344</f>
        <v>оттоки</v>
      </c>
      <c r="B217" s="280"/>
      <c r="C217" s="130" t="str">
        <f ca="1">Параметры!$C$64</f>
        <v>тыс. руб.</v>
      </c>
      <c r="D217" s="57"/>
      <c r="E217" s="57"/>
      <c r="F217" s="57" t="s">
        <v>753</v>
      </c>
      <c r="G217" s="138">
        <f t="shared" ref="G217:AV217" ca="1" si="773">MIN(0,G190)</f>
        <v>-718433.45228188299</v>
      </c>
      <c r="H217" s="138">
        <f t="shared" ca="1" si="773"/>
        <v>0</v>
      </c>
      <c r="I217" s="138">
        <f t="shared" ca="1" si="773"/>
        <v>-13460.459012748324</v>
      </c>
      <c r="J217" s="138">
        <f t="shared" ca="1" si="773"/>
        <v>0</v>
      </c>
      <c r="K217" s="138">
        <f t="shared" ca="1" si="773"/>
        <v>0</v>
      </c>
      <c r="L217" s="138">
        <f t="shared" ca="1" si="773"/>
        <v>0</v>
      </c>
      <c r="M217" s="138">
        <f t="shared" ca="1" si="773"/>
        <v>0</v>
      </c>
      <c r="N217" s="138">
        <f t="shared" ca="1" si="773"/>
        <v>0</v>
      </c>
      <c r="O217" s="138">
        <f t="shared" ca="1" si="773"/>
        <v>0</v>
      </c>
      <c r="P217" s="138">
        <f t="shared" ca="1" si="773"/>
        <v>0</v>
      </c>
      <c r="Q217" s="138">
        <f t="shared" ca="1" si="773"/>
        <v>0</v>
      </c>
      <c r="R217" s="138">
        <f t="shared" ca="1" si="773"/>
        <v>0</v>
      </c>
      <c r="S217" s="138">
        <f t="shared" ca="1" si="773"/>
        <v>0</v>
      </c>
      <c r="T217" s="138">
        <f t="shared" ca="1" si="773"/>
        <v>0</v>
      </c>
      <c r="U217" s="138">
        <f t="shared" ca="1" si="773"/>
        <v>0</v>
      </c>
      <c r="V217" s="138">
        <f t="shared" ca="1" si="773"/>
        <v>0</v>
      </c>
      <c r="W217" s="138">
        <f t="shared" ca="1" si="773"/>
        <v>0</v>
      </c>
      <c r="X217" s="138">
        <f t="shared" ca="1" si="773"/>
        <v>0</v>
      </c>
      <c r="Y217" s="138">
        <f t="shared" ca="1" si="773"/>
        <v>0</v>
      </c>
      <c r="Z217" s="138">
        <f t="shared" ca="1" si="773"/>
        <v>0</v>
      </c>
      <c r="AA217" s="138">
        <f t="shared" ca="1" si="773"/>
        <v>0</v>
      </c>
      <c r="AB217" s="138">
        <f t="shared" ca="1" si="773"/>
        <v>0</v>
      </c>
      <c r="AC217" s="138">
        <f t="shared" ca="1" si="773"/>
        <v>0</v>
      </c>
      <c r="AD217" s="138">
        <f t="shared" ca="1" si="773"/>
        <v>0</v>
      </c>
      <c r="AE217" s="138">
        <f t="shared" ca="1" si="773"/>
        <v>0</v>
      </c>
      <c r="AF217" s="138">
        <f t="shared" ca="1" si="773"/>
        <v>0</v>
      </c>
      <c r="AG217" s="138">
        <f t="shared" ca="1" si="773"/>
        <v>0</v>
      </c>
      <c r="AH217" s="138">
        <f t="shared" ca="1" si="773"/>
        <v>0</v>
      </c>
      <c r="AI217" s="138">
        <f t="shared" ca="1" si="773"/>
        <v>0</v>
      </c>
      <c r="AJ217" s="138">
        <f t="shared" ca="1" si="773"/>
        <v>0</v>
      </c>
      <c r="AK217" s="138">
        <f t="shared" ca="1" si="773"/>
        <v>0</v>
      </c>
      <c r="AL217" s="138">
        <f t="shared" ca="1" si="773"/>
        <v>0</v>
      </c>
      <c r="AM217" s="138">
        <f t="shared" ca="1" si="773"/>
        <v>0</v>
      </c>
      <c r="AN217" s="138">
        <f t="shared" ca="1" si="773"/>
        <v>0</v>
      </c>
      <c r="AO217" s="138">
        <f t="shared" ca="1" si="773"/>
        <v>0</v>
      </c>
      <c r="AP217" s="138">
        <f t="shared" ca="1" si="773"/>
        <v>0</v>
      </c>
      <c r="AQ217" s="138">
        <f t="shared" ca="1" si="773"/>
        <v>0</v>
      </c>
      <c r="AR217" s="138">
        <f t="shared" ca="1" si="773"/>
        <v>0</v>
      </c>
      <c r="AS217" s="138">
        <f t="shared" ca="1" si="773"/>
        <v>0</v>
      </c>
      <c r="AT217" s="138">
        <f t="shared" ca="1" si="773"/>
        <v>0</v>
      </c>
      <c r="AU217" s="138">
        <f t="shared" ca="1" si="773"/>
        <v>0</v>
      </c>
      <c r="AV217" s="138">
        <f t="shared" ca="1" si="773"/>
        <v>0</v>
      </c>
      <c r="AW217" s="279"/>
      <c r="AX217" s="171">
        <f ca="1">SUM(G217:AW217)</f>
        <v>-731893.91129463131</v>
      </c>
    </row>
    <row r="218" spans="1:50" hidden="1" outlineLevel="1" x14ac:dyDescent="0.2">
      <c r="A218" s="99" t="str">
        <f ca="1">Language!A$1345</f>
        <v>дисконтированные оттоки</v>
      </c>
      <c r="B218" s="280"/>
      <c r="C218" s="130" t="str">
        <f ca="1">Параметры!$C$64</f>
        <v>тыс. руб.</v>
      </c>
      <c r="D218" s="57"/>
      <c r="E218" s="57"/>
      <c r="F218" s="57" t="s">
        <v>753</v>
      </c>
      <c r="G218" s="148">
        <f t="shared" ref="G218:AV218" ca="1" si="774">G217/G178</f>
        <v>-718433.45228188299</v>
      </c>
      <c r="H218" s="148">
        <f t="shared" ca="1" si="774"/>
        <v>0</v>
      </c>
      <c r="I218" s="148">
        <f t="shared" ca="1" si="774"/>
        <v>-13077.655287022586</v>
      </c>
      <c r="J218" s="148">
        <f t="shared" ca="1" si="774"/>
        <v>0</v>
      </c>
      <c r="K218" s="148">
        <f t="shared" ca="1" si="774"/>
        <v>0</v>
      </c>
      <c r="L218" s="148">
        <f t="shared" ca="1" si="774"/>
        <v>0</v>
      </c>
      <c r="M218" s="148">
        <f t="shared" ca="1" si="774"/>
        <v>0</v>
      </c>
      <c r="N218" s="148">
        <f t="shared" ca="1" si="774"/>
        <v>0</v>
      </c>
      <c r="O218" s="148">
        <f t="shared" ca="1" si="774"/>
        <v>0</v>
      </c>
      <c r="P218" s="148">
        <f t="shared" ca="1" si="774"/>
        <v>0</v>
      </c>
      <c r="Q218" s="148">
        <f t="shared" ca="1" si="774"/>
        <v>0</v>
      </c>
      <c r="R218" s="148">
        <f t="shared" ca="1" si="774"/>
        <v>0</v>
      </c>
      <c r="S218" s="148">
        <f t="shared" ca="1" si="774"/>
        <v>0</v>
      </c>
      <c r="T218" s="148">
        <f t="shared" ca="1" si="774"/>
        <v>0</v>
      </c>
      <c r="U218" s="148">
        <f t="shared" ca="1" si="774"/>
        <v>0</v>
      </c>
      <c r="V218" s="148">
        <f t="shared" ca="1" si="774"/>
        <v>0</v>
      </c>
      <c r="W218" s="148">
        <f t="shared" ca="1" si="774"/>
        <v>0</v>
      </c>
      <c r="X218" s="148">
        <f t="shared" ca="1" si="774"/>
        <v>0</v>
      </c>
      <c r="Y218" s="148">
        <f t="shared" ca="1" si="774"/>
        <v>0</v>
      </c>
      <c r="Z218" s="148">
        <f t="shared" ca="1" si="774"/>
        <v>0</v>
      </c>
      <c r="AA218" s="148">
        <f t="shared" ca="1" si="774"/>
        <v>0</v>
      </c>
      <c r="AB218" s="148">
        <f t="shared" ca="1" si="774"/>
        <v>0</v>
      </c>
      <c r="AC218" s="148">
        <f t="shared" ca="1" si="774"/>
        <v>0</v>
      </c>
      <c r="AD218" s="148">
        <f t="shared" ca="1" si="774"/>
        <v>0</v>
      </c>
      <c r="AE218" s="148">
        <f t="shared" ca="1" si="774"/>
        <v>0</v>
      </c>
      <c r="AF218" s="148">
        <f t="shared" ca="1" si="774"/>
        <v>0</v>
      </c>
      <c r="AG218" s="148">
        <f t="shared" ca="1" si="774"/>
        <v>0</v>
      </c>
      <c r="AH218" s="148">
        <f t="shared" ca="1" si="774"/>
        <v>0</v>
      </c>
      <c r="AI218" s="148">
        <f t="shared" ca="1" si="774"/>
        <v>0</v>
      </c>
      <c r="AJ218" s="148">
        <f t="shared" ca="1" si="774"/>
        <v>0</v>
      </c>
      <c r="AK218" s="148">
        <f t="shared" ca="1" si="774"/>
        <v>0</v>
      </c>
      <c r="AL218" s="148">
        <f t="shared" ca="1" si="774"/>
        <v>0</v>
      </c>
      <c r="AM218" s="148">
        <f t="shared" ca="1" si="774"/>
        <v>0</v>
      </c>
      <c r="AN218" s="148">
        <f t="shared" ca="1" si="774"/>
        <v>0</v>
      </c>
      <c r="AO218" s="148">
        <f t="shared" ca="1" si="774"/>
        <v>0</v>
      </c>
      <c r="AP218" s="148">
        <f t="shared" ca="1" si="774"/>
        <v>0</v>
      </c>
      <c r="AQ218" s="148">
        <f t="shared" ca="1" si="774"/>
        <v>0</v>
      </c>
      <c r="AR218" s="148">
        <f t="shared" ca="1" si="774"/>
        <v>0</v>
      </c>
      <c r="AS218" s="148">
        <f t="shared" ca="1" si="774"/>
        <v>0</v>
      </c>
      <c r="AT218" s="148">
        <f t="shared" ca="1" si="774"/>
        <v>0</v>
      </c>
      <c r="AU218" s="148">
        <f t="shared" ca="1" si="774"/>
        <v>0</v>
      </c>
      <c r="AV218" s="148">
        <f t="shared" ca="1" si="774"/>
        <v>0</v>
      </c>
      <c r="AW218" s="279"/>
      <c r="AX218" s="171">
        <f ca="1">SUM(G218:AW218)</f>
        <v>-731511.10756890557</v>
      </c>
    </row>
    <row r="219" spans="1:50" x14ac:dyDescent="0.2">
      <c r="A219" s="67"/>
      <c r="B219" s="248"/>
      <c r="C219" s="133"/>
      <c r="D219" s="68"/>
      <c r="E219" s="68" t="s">
        <v>748</v>
      </c>
      <c r="F219" s="68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</row>
    <row r="220" spans="1:50" x14ac:dyDescent="0.2">
      <c r="D220" s="57"/>
      <c r="E220" s="57"/>
      <c r="F220" s="57"/>
    </row>
    <row r="221" spans="1:50" x14ac:dyDescent="0.2">
      <c r="D221" s="57"/>
      <c r="E221" s="57"/>
      <c r="F221" s="57"/>
    </row>
    <row r="222" spans="1:50" s="64" customFormat="1" ht="25.5" customHeight="1" thickBot="1" x14ac:dyDescent="0.25">
      <c r="A222" s="118" t="str">
        <f ca="1">Language!A1346</f>
        <v>ЭФФЕКТИВНОСТЬ ДЛЯ АКЦИОНЕРОВ (FCFE)</v>
      </c>
      <c r="B222" s="241"/>
      <c r="C222" s="242"/>
      <c r="D222" s="121"/>
      <c r="E222" s="121" t="s">
        <v>904</v>
      </c>
      <c r="F222" s="121"/>
      <c r="G222" s="69" t="str">
        <f ca="1">Параметры!G$34</f>
        <v>4 кв. 2022</v>
      </c>
      <c r="H222" s="140" t="str">
        <f ca="1">Параметры!H$34</f>
        <v>1 кв. 2023</v>
      </c>
      <c r="I222" s="140" t="str">
        <f ca="1">Параметры!I$34</f>
        <v>2 кв. 2023</v>
      </c>
      <c r="J222" s="140" t="str">
        <f ca="1">Параметры!J$34</f>
        <v>3 кв. 2023</v>
      </c>
      <c r="K222" s="140" t="str">
        <f ca="1">Параметры!K$34</f>
        <v>4 кв. 2023</v>
      </c>
      <c r="L222" s="140" t="str">
        <f ca="1">Параметры!L$34</f>
        <v>1 кв. 2024</v>
      </c>
      <c r="M222" s="140" t="str">
        <f ca="1">Параметры!M$34</f>
        <v>2 кв. 2024</v>
      </c>
      <c r="N222" s="140" t="str">
        <f ca="1">Параметры!N$34</f>
        <v>3 кв. 2024</v>
      </c>
      <c r="O222" s="140" t="str">
        <f ca="1">Параметры!O$34</f>
        <v>4 кв. 2024</v>
      </c>
      <c r="P222" s="140" t="str">
        <f ca="1">Параметры!P$34</f>
        <v>1 кв. 2025</v>
      </c>
      <c r="Q222" s="140" t="str">
        <f ca="1">Параметры!Q$34</f>
        <v>2 кв. 2025</v>
      </c>
      <c r="R222" s="140" t="str">
        <f ca="1">Параметры!R$34</f>
        <v>3 кв. 2025</v>
      </c>
      <c r="S222" s="140" t="str">
        <f ca="1">Параметры!S$34</f>
        <v>4 кв. 2025</v>
      </c>
      <c r="T222" s="140" t="str">
        <f ca="1">Параметры!T$34</f>
        <v>1 кв. 2026</v>
      </c>
      <c r="U222" s="140" t="str">
        <f ca="1">Параметры!U$34</f>
        <v>2 кв. 2026</v>
      </c>
      <c r="V222" s="140" t="str">
        <f ca="1">Параметры!V$34</f>
        <v>3 кв. 2026</v>
      </c>
      <c r="W222" s="140" t="str">
        <f ca="1">Параметры!W$34</f>
        <v>4 кв. 2026</v>
      </c>
      <c r="X222" s="140" t="str">
        <f ca="1">Параметры!X$34</f>
        <v>1 кв. 2027</v>
      </c>
      <c r="Y222" s="140" t="str">
        <f ca="1">Параметры!Y$34</f>
        <v>2 кв. 2027</v>
      </c>
      <c r="Z222" s="140" t="str">
        <f ca="1">Параметры!Z$34</f>
        <v>3 кв. 2027</v>
      </c>
      <c r="AA222" s="140" t="str">
        <f ca="1">Параметры!AA$34</f>
        <v>4 кв. 2027</v>
      </c>
      <c r="AB222" s="140" t="str">
        <f ca="1">Параметры!AB$34</f>
        <v>1 кв. 2028</v>
      </c>
      <c r="AC222" s="140" t="str">
        <f ca="1">Параметры!AC$34</f>
        <v>2 кв. 2028</v>
      </c>
      <c r="AD222" s="140" t="str">
        <f ca="1">Параметры!AD$34</f>
        <v>3 кв. 2028</v>
      </c>
      <c r="AE222" s="140" t="str">
        <f ca="1">Параметры!AE$34</f>
        <v>4 кв. 2028</v>
      </c>
      <c r="AF222" s="140" t="str">
        <f ca="1">Параметры!AF$34</f>
        <v>1 кв. 2029</v>
      </c>
      <c r="AG222" s="140" t="str">
        <f ca="1">Параметры!AG$34</f>
        <v>2 кв. 2029</v>
      </c>
      <c r="AH222" s="140" t="str">
        <f ca="1">Параметры!AH$34</f>
        <v>3 кв. 2029</v>
      </c>
      <c r="AI222" s="140" t="str">
        <f ca="1">Параметры!AI$34</f>
        <v>4 кв. 2029</v>
      </c>
      <c r="AJ222" s="140" t="str">
        <f ca="1">Параметры!AJ$34</f>
        <v>1 кв. 2030</v>
      </c>
      <c r="AK222" s="140" t="str">
        <f ca="1">Параметры!AK$34</f>
        <v>2 кв. 2030</v>
      </c>
      <c r="AL222" s="140" t="str">
        <f ca="1">Параметры!AL$34</f>
        <v>3 кв. 2030</v>
      </c>
      <c r="AM222" s="140" t="str">
        <f ca="1">Параметры!AM$34</f>
        <v>4 кв. 2030</v>
      </c>
      <c r="AN222" s="140" t="str">
        <f ca="1">Параметры!AN$34</f>
        <v>1 кв. 2031</v>
      </c>
      <c r="AO222" s="140" t="str">
        <f ca="1">Параметры!AO$34</f>
        <v>2 кв. 2031</v>
      </c>
      <c r="AP222" s="140" t="str">
        <f ca="1">Параметры!AP$34</f>
        <v>3 кв. 2031</v>
      </c>
      <c r="AQ222" s="140" t="str">
        <f ca="1">Параметры!AQ$34</f>
        <v>4 кв. 2031</v>
      </c>
      <c r="AR222" s="140" t="str">
        <f ca="1">Параметры!AR$34</f>
        <v>1 кв. 2032</v>
      </c>
      <c r="AS222" s="140" t="str">
        <f ca="1">Параметры!AS$34</f>
        <v>2 кв. 2032</v>
      </c>
      <c r="AT222" s="140" t="str">
        <f ca="1">Параметры!AT$34</f>
        <v>3 кв. 2032</v>
      </c>
      <c r="AU222" s="140" t="str">
        <f ca="1">Параметры!AU$34</f>
        <v>4 кв. 2032</v>
      </c>
      <c r="AV222" s="140" t="str">
        <f ca="1">Параметры!AV$34</f>
        <v>1 кв. 2033</v>
      </c>
      <c r="AW222" s="140"/>
      <c r="AX222" s="141" t="str">
        <f ca="1">Language!$A$1445</f>
        <v>ИТОГО</v>
      </c>
    </row>
    <row r="223" spans="1:50" ht="13.5" thickTop="1" x14ac:dyDescent="0.2">
      <c r="A223" s="65"/>
      <c r="D223" s="57"/>
      <c r="E223" s="57"/>
      <c r="F223" s="57"/>
    </row>
    <row r="224" spans="1:50" collapsed="1" x14ac:dyDescent="0.2">
      <c r="A224" s="65" t="str">
        <f ca="1">Language!A1347</f>
        <v>Ставка дисконтирования</v>
      </c>
      <c r="B224" s="269">
        <f>Параметры!B118</f>
        <v>0.2</v>
      </c>
      <c r="C224" s="130" t="s">
        <v>1</v>
      </c>
      <c r="D224" s="57"/>
      <c r="E224" s="57"/>
      <c r="F224" s="57"/>
    </row>
    <row r="225" spans="1:50" hidden="1" outlineLevel="1" x14ac:dyDescent="0.2">
      <c r="A225" s="99" t="str">
        <f ca="1">Language!A1348</f>
        <v>ставка на расчетный период</v>
      </c>
      <c r="C225" s="130" t="s">
        <v>1</v>
      </c>
      <c r="D225" s="57"/>
      <c r="E225" s="57"/>
      <c r="F225" s="57" t="s">
        <v>756</v>
      </c>
      <c r="G225" s="270">
        <f>Параметры!G119</f>
        <v>4.6635139392105618E-2</v>
      </c>
      <c r="H225" s="270">
        <f>Параметры!H119</f>
        <v>4.6635139392105618E-2</v>
      </c>
      <c r="I225" s="270">
        <f>Параметры!I119</f>
        <v>4.6635139392105618E-2</v>
      </c>
      <c r="J225" s="270">
        <f>Параметры!J119</f>
        <v>4.6635139392105618E-2</v>
      </c>
      <c r="K225" s="270">
        <f>Параметры!K119</f>
        <v>4.6635139392105618E-2</v>
      </c>
      <c r="L225" s="270">
        <f>Параметры!L119</f>
        <v>4.6635139392105618E-2</v>
      </c>
      <c r="M225" s="270">
        <f>Параметры!M119</f>
        <v>4.6635139392105618E-2</v>
      </c>
      <c r="N225" s="270">
        <f>Параметры!N119</f>
        <v>4.6635139392105618E-2</v>
      </c>
      <c r="O225" s="270">
        <f>Параметры!O119</f>
        <v>4.6635139392105618E-2</v>
      </c>
      <c r="P225" s="270">
        <f>Параметры!P119</f>
        <v>4.6635139392105618E-2</v>
      </c>
      <c r="Q225" s="270">
        <f>Параметры!Q119</f>
        <v>4.6635139392105618E-2</v>
      </c>
      <c r="R225" s="270">
        <f>Параметры!R119</f>
        <v>4.6635139392105618E-2</v>
      </c>
      <c r="S225" s="270">
        <f>Параметры!S119</f>
        <v>4.6635139392105618E-2</v>
      </c>
      <c r="T225" s="270">
        <f>Параметры!T119</f>
        <v>4.6635139392105618E-2</v>
      </c>
      <c r="U225" s="270">
        <f>Параметры!U119</f>
        <v>4.6635139392105618E-2</v>
      </c>
      <c r="V225" s="270">
        <f>Параметры!V119</f>
        <v>4.6635139392105618E-2</v>
      </c>
      <c r="W225" s="270">
        <f>Параметры!W119</f>
        <v>4.6635139392105618E-2</v>
      </c>
      <c r="X225" s="270">
        <f>Параметры!X119</f>
        <v>4.6635139392105618E-2</v>
      </c>
      <c r="Y225" s="270">
        <f>Параметры!Y119</f>
        <v>4.6635139392105618E-2</v>
      </c>
      <c r="Z225" s="270">
        <f>Параметры!Z119</f>
        <v>4.6635139392105618E-2</v>
      </c>
      <c r="AA225" s="270">
        <f>Параметры!AA119</f>
        <v>4.6635139392105618E-2</v>
      </c>
      <c r="AB225" s="270">
        <f>Параметры!AB119</f>
        <v>4.6635139392105618E-2</v>
      </c>
      <c r="AC225" s="270">
        <f>Параметры!AC119</f>
        <v>4.6635139392105618E-2</v>
      </c>
      <c r="AD225" s="270">
        <f>Параметры!AD119</f>
        <v>4.6635139392105618E-2</v>
      </c>
      <c r="AE225" s="270">
        <f>Параметры!AE119</f>
        <v>4.6635139392105618E-2</v>
      </c>
      <c r="AF225" s="270">
        <f>Параметры!AF119</f>
        <v>4.6635139392105618E-2</v>
      </c>
      <c r="AG225" s="270">
        <f>Параметры!AG119</f>
        <v>4.6635139392105618E-2</v>
      </c>
      <c r="AH225" s="270">
        <f>Параметры!AH119</f>
        <v>4.6635139392105618E-2</v>
      </c>
      <c r="AI225" s="270">
        <f>Параметры!AI119</f>
        <v>4.6635139392105618E-2</v>
      </c>
      <c r="AJ225" s="270">
        <f>Параметры!AJ119</f>
        <v>4.6635139392105618E-2</v>
      </c>
      <c r="AK225" s="270">
        <f>Параметры!AK119</f>
        <v>4.6635139392105618E-2</v>
      </c>
      <c r="AL225" s="270">
        <f>Параметры!AL119</f>
        <v>4.6635139392105618E-2</v>
      </c>
      <c r="AM225" s="270">
        <f>Параметры!AM119</f>
        <v>4.6635139392105618E-2</v>
      </c>
      <c r="AN225" s="270">
        <f>Параметры!AN119</f>
        <v>4.6635139392105618E-2</v>
      </c>
      <c r="AO225" s="270">
        <f>Параметры!AO119</f>
        <v>4.6635139392105618E-2</v>
      </c>
      <c r="AP225" s="270">
        <f>Параметры!AP119</f>
        <v>4.6635139392105618E-2</v>
      </c>
      <c r="AQ225" s="270">
        <f>Параметры!AQ119</f>
        <v>4.6635139392105618E-2</v>
      </c>
      <c r="AR225" s="270">
        <f>Параметры!AR119</f>
        <v>4.6635139392105618E-2</v>
      </c>
      <c r="AS225" s="270">
        <f>Параметры!AS119</f>
        <v>4.6635139392105618E-2</v>
      </c>
      <c r="AT225" s="270">
        <f>Параметры!AT119</f>
        <v>4.6635139392105618E-2</v>
      </c>
      <c r="AU225" s="270">
        <f>Параметры!AU119</f>
        <v>4.6635139392105618E-2</v>
      </c>
      <c r="AV225" s="270">
        <f>Параметры!AV119</f>
        <v>4.6635139392105618E-2</v>
      </c>
    </row>
    <row r="226" spans="1:50" hidden="1" outlineLevel="1" x14ac:dyDescent="0.2">
      <c r="A226" s="99" t="str">
        <f ca="1">Language!A1349</f>
        <v>коэффициент дисконта на начало периода</v>
      </c>
      <c r="C226" s="130" t="str">
        <f ca="1">Language!$A$1449</f>
        <v>раз</v>
      </c>
      <c r="D226" s="57"/>
      <c r="E226" s="57"/>
      <c r="F226" s="57" t="s">
        <v>756</v>
      </c>
      <c r="G226" s="91">
        <f>Параметры!G120</f>
        <v>1</v>
      </c>
      <c r="H226" s="91">
        <f>Параметры!H120</f>
        <v>1.0466351393921056</v>
      </c>
      <c r="I226" s="91">
        <f>Параметры!I120</f>
        <v>1.0954451150103324</v>
      </c>
      <c r="J226" s="91">
        <f>Параметры!J120</f>
        <v>1.1465313506452404</v>
      </c>
      <c r="K226" s="91">
        <f>Параметры!K120</f>
        <v>1.2000000000000002</v>
      </c>
      <c r="L226" s="91">
        <f>Параметры!L120</f>
        <v>1.255962167270527</v>
      </c>
      <c r="M226" s="91">
        <f>Параметры!M120</f>
        <v>1.3145341380123992</v>
      </c>
      <c r="N226" s="91">
        <f>Параметры!N120</f>
        <v>1.3758376207742888</v>
      </c>
      <c r="O226" s="91">
        <f>Параметры!O120</f>
        <v>1.4400000000000008</v>
      </c>
      <c r="P226" s="91">
        <f>Параметры!P120</f>
        <v>1.507154600724633</v>
      </c>
      <c r="Q226" s="91">
        <f>Параметры!Q120</f>
        <v>1.5774409656148796</v>
      </c>
      <c r="R226" s="91">
        <f>Параметры!R120</f>
        <v>1.6510051449291472</v>
      </c>
      <c r="S226" s="91">
        <f>Параметры!S120</f>
        <v>1.7280000000000015</v>
      </c>
      <c r="T226" s="91">
        <f>Параметры!T120</f>
        <v>1.80858552086956</v>
      </c>
      <c r="U226" s="91">
        <f>Параметры!U120</f>
        <v>1.8929291587378558</v>
      </c>
      <c r="V226" s="91">
        <f>Параметры!V120</f>
        <v>1.9812061739149769</v>
      </c>
      <c r="W226" s="91">
        <f>Параметры!W120</f>
        <v>2.0736000000000021</v>
      </c>
      <c r="X226" s="91">
        <f>Параметры!X120</f>
        <v>2.1703026250434725</v>
      </c>
      <c r="Y226" s="91">
        <f>Параметры!Y120</f>
        <v>2.2715149904854277</v>
      </c>
      <c r="Z226" s="91">
        <f>Параметры!Z120</f>
        <v>2.3774474086979729</v>
      </c>
      <c r="AA226" s="91">
        <f>Параметры!AA120</f>
        <v>2.488320000000003</v>
      </c>
      <c r="AB226" s="91">
        <f>Параметры!AB120</f>
        <v>2.6043631500521673</v>
      </c>
      <c r="AC226" s="91">
        <f>Параметры!AC120</f>
        <v>2.7258179885825133</v>
      </c>
      <c r="AD226" s="91">
        <f>Параметры!AD120</f>
        <v>2.8529368904375678</v>
      </c>
      <c r="AE226" s="91">
        <f>Параметры!AE120</f>
        <v>2.9859840000000042</v>
      </c>
      <c r="AF226" s="91">
        <f>Параметры!AF120</f>
        <v>3.1252357800626016</v>
      </c>
      <c r="AG226" s="91">
        <f>Параметры!AG120</f>
        <v>3.2709815862990168</v>
      </c>
      <c r="AH226" s="91">
        <f>Параметры!AH120</f>
        <v>3.4235242685250822</v>
      </c>
      <c r="AI226" s="91">
        <f>Параметры!AI120</f>
        <v>3.5831808000000058</v>
      </c>
      <c r="AJ226" s="91">
        <f>Параметры!AJ120</f>
        <v>3.7502829360751226</v>
      </c>
      <c r="AK226" s="91">
        <f>Параметры!AK120</f>
        <v>3.9251779035588212</v>
      </c>
      <c r="AL226" s="91">
        <f>Параметры!AL120</f>
        <v>4.1082291222300995</v>
      </c>
      <c r="AM226" s="91">
        <f>Параметры!AM120</f>
        <v>4.2998169600000082</v>
      </c>
      <c r="AN226" s="91">
        <f>Параметры!AN120</f>
        <v>4.5003395232901484</v>
      </c>
      <c r="AO226" s="91">
        <f>Параметры!AO120</f>
        <v>4.7102134842705867</v>
      </c>
      <c r="AP226" s="91">
        <f>Параметры!AP120</f>
        <v>4.9298749466761214</v>
      </c>
      <c r="AQ226" s="91">
        <f>Параметры!AQ120</f>
        <v>5.1597803520000118</v>
      </c>
      <c r="AR226" s="91">
        <f>Параметры!AR120</f>
        <v>5.4004074279481804</v>
      </c>
      <c r="AS226" s="91">
        <f>Параметры!AS120</f>
        <v>5.6522561811247067</v>
      </c>
      <c r="AT226" s="91">
        <f>Параметры!AT120</f>
        <v>5.9158499360113481</v>
      </c>
      <c r="AU226" s="91">
        <f>Параметры!AU120</f>
        <v>6.1917364224000169</v>
      </c>
      <c r="AV226" s="91">
        <f>Параметры!AV120</f>
        <v>6.480488913537819</v>
      </c>
    </row>
    <row r="227" spans="1:50" x14ac:dyDescent="0.2">
      <c r="A227" s="65" t="str">
        <f ca="1">Language!A1350</f>
        <v>Свободный денежный поток акционеров, FCFE</v>
      </c>
      <c r="C227" s="130" t="str">
        <f ca="1">Параметры!$C$64</f>
        <v>тыс. руб.</v>
      </c>
      <c r="D227" s="57"/>
      <c r="E227" s="57"/>
      <c r="F227" s="57" t="s">
        <v>753</v>
      </c>
      <c r="G227" s="138">
        <f ca="1">SUM(G228:G231)</f>
        <v>81101.795718117093</v>
      </c>
      <c r="H227" s="138">
        <f t="shared" ref="H227:K227" ca="1" si="775">SUM(H228:H231)</f>
        <v>-7165.6847785357386</v>
      </c>
      <c r="I227" s="138">
        <f t="shared" ca="1" si="775"/>
        <v>47415.840987251679</v>
      </c>
      <c r="J227" s="138">
        <f t="shared" ca="1" si="775"/>
        <v>59092.585322022802</v>
      </c>
      <c r="K227" s="138">
        <f t="shared" ca="1" si="775"/>
        <v>148524.99262800685</v>
      </c>
      <c r="L227" s="138">
        <f t="shared" ref="L227:M227" ca="1" si="776">SUM(L228:L231)</f>
        <v>126042.37360842898</v>
      </c>
      <c r="M227" s="138">
        <f t="shared" ca="1" si="776"/>
        <v>40113.155241384236</v>
      </c>
      <c r="N227" s="138">
        <f t="shared" ref="N227:O227" ca="1" si="777">SUM(N228:N231)</f>
        <v>83065.393729424628</v>
      </c>
      <c r="O227" s="138">
        <f t="shared" ca="1" si="777"/>
        <v>202696.47973432834</v>
      </c>
      <c r="P227" s="138">
        <f t="shared" ref="P227:Q227" ca="1" si="778">SUM(P228:P231)</f>
        <v>176274.03803665275</v>
      </c>
      <c r="Q227" s="138">
        <f t="shared" ca="1" si="778"/>
        <v>86326.080973896751</v>
      </c>
      <c r="R227" s="138">
        <f t="shared" ref="R227:S227" ca="1" si="779">SUM(R228:R231)</f>
        <v>126278.02048817964</v>
      </c>
      <c r="S227" s="138">
        <f t="shared" ca="1" si="779"/>
        <v>242135.5356075241</v>
      </c>
      <c r="T227" s="138">
        <f t="shared" ref="T227:U227" ca="1" si="780">SUM(T228:T231)</f>
        <v>202846.76050562898</v>
      </c>
      <c r="U227" s="138">
        <f t="shared" ca="1" si="780"/>
        <v>52867.887659887085</v>
      </c>
      <c r="V227" s="138">
        <f t="shared" ref="V227:W227" ca="1" si="781">SUM(V228:V231)</f>
        <v>67395.65232337208</v>
      </c>
      <c r="W227" s="138">
        <f t="shared" ca="1" si="781"/>
        <v>100834.41784551216</v>
      </c>
      <c r="X227" s="138">
        <f t="shared" ref="X227:Y227" ca="1" si="782">SUM(X228:X231)</f>
        <v>87565.047362625628</v>
      </c>
      <c r="Y227" s="138">
        <f t="shared" ca="1" si="782"/>
        <v>54705.976194467468</v>
      </c>
      <c r="Z227" s="138">
        <f t="shared" ref="Z227:AA227" ca="1" si="783">SUM(Z228:Z231)</f>
        <v>64953.316607535598</v>
      </c>
      <c r="AA227" s="138">
        <f t="shared" ca="1" si="783"/>
        <v>100325.68283502309</v>
      </c>
      <c r="AB227" s="138">
        <f t="shared" ref="AB227:AC227" ca="1" si="784">SUM(AB228:AB231)</f>
        <v>86186.641176546051</v>
      </c>
      <c r="AC227" s="138">
        <f t="shared" ca="1" si="784"/>
        <v>52786.614878775596</v>
      </c>
      <c r="AD227" s="138">
        <f t="shared" ref="AD227:AE227" ca="1" si="785">SUM(AD228:AD231)</f>
        <v>64325.024966892612</v>
      </c>
      <c r="AE227" s="138">
        <f t="shared" ca="1" si="785"/>
        <v>101716.62876253831</v>
      </c>
      <c r="AF227" s="138">
        <f t="shared" ref="AF227:AG227" ca="1" si="786">SUM(AF228:AF231)</f>
        <v>86624.162740368833</v>
      </c>
      <c r="AG227" s="138">
        <f t="shared" ca="1" si="786"/>
        <v>50375.933477960556</v>
      </c>
      <c r="AH227" s="138">
        <f t="shared" ref="AH227:AI227" ca="1" si="787">SUM(AH228:AH231)</f>
        <v>61803.40594345874</v>
      </c>
      <c r="AI227" s="138">
        <f t="shared" ca="1" si="787"/>
        <v>101344.39429239446</v>
      </c>
      <c r="AJ227" s="138">
        <f t="shared" ref="AJ227:AK227" ca="1" si="788">SUM(AJ228:AJ231)</f>
        <v>85250.881627711933</v>
      </c>
      <c r="AK227" s="138">
        <f t="shared" ca="1" si="788"/>
        <v>46195.276326964333</v>
      </c>
      <c r="AL227" s="138">
        <f t="shared" ref="AL227:AM227" ca="1" si="789">SUM(AL228:AL231)</f>
        <v>57883.359899564966</v>
      </c>
      <c r="AM227" s="138">
        <f t="shared" ca="1" si="789"/>
        <v>317282.55496131931</v>
      </c>
      <c r="AN227" s="138">
        <f t="shared" ref="AN227:AO227" ca="1" si="790">SUM(AN228:AN231)</f>
        <v>304389.31270437461</v>
      </c>
      <c r="AO227" s="138">
        <f t="shared" ca="1" si="790"/>
        <v>163869.81099400215</v>
      </c>
      <c r="AP227" s="138">
        <f t="shared" ref="AP227:AQ227" ca="1" si="791">SUM(AP228:AP231)</f>
        <v>212828.56480315898</v>
      </c>
      <c r="AQ227" s="138">
        <f t="shared" ca="1" si="791"/>
        <v>377540.30579911149</v>
      </c>
      <c r="AR227" s="138">
        <f t="shared" ref="AR227:AS227" ca="1" si="792">SUM(AR228:AR231)</f>
        <v>322179.43428775296</v>
      </c>
      <c r="AS227" s="138">
        <f t="shared" ca="1" si="792"/>
        <v>155243.8034234533</v>
      </c>
      <c r="AT227" s="138">
        <f t="shared" ref="AT227:AU227" ca="1" si="793">SUM(AT228:AT231)</f>
        <v>198701.68774011367</v>
      </c>
      <c r="AU227" s="138">
        <f t="shared" ca="1" si="793"/>
        <v>372901.45675774344</v>
      </c>
      <c r="AV227" s="138">
        <f t="shared" ref="AV227" ca="1" si="794">SUM(AV228:AV231)</f>
        <v>313818.46509628498</v>
      </c>
      <c r="AX227" s="171">
        <f t="shared" ref="AX227:AX232" ca="1" si="795">SUM(G227:AW227)</f>
        <v>5676643.0692912247</v>
      </c>
    </row>
    <row r="228" spans="1:50" x14ac:dyDescent="0.2">
      <c r="A228" s="99" t="str">
        <f ca="1">Language!A1351</f>
        <v>Денежные потоки от операционной деятельности</v>
      </c>
      <c r="C228" s="130" t="str">
        <f ca="1">Параметры!$C$64</f>
        <v>тыс. руб.</v>
      </c>
      <c r="D228" s="57"/>
      <c r="E228" s="57"/>
      <c r="F228" s="57" t="s">
        <v>753</v>
      </c>
      <c r="G228" s="138">
        <f t="shared" ref="G228:AV228" ca="1" si="796">G49</f>
        <v>180209.79571811709</v>
      </c>
      <c r="H228" s="138">
        <f t="shared" ca="1" si="796"/>
        <v>70594.315221464145</v>
      </c>
      <c r="I228" s="138">
        <f t="shared" ca="1" si="796"/>
        <v>-9824.1590127483214</v>
      </c>
      <c r="J228" s="138">
        <f t="shared" ca="1" si="796"/>
        <v>41110.585322022802</v>
      </c>
      <c r="K228" s="138">
        <f t="shared" ca="1" si="796"/>
        <v>148524.99262800685</v>
      </c>
      <c r="L228" s="138">
        <f t="shared" ca="1" si="796"/>
        <v>126042.37360842898</v>
      </c>
      <c r="M228" s="138">
        <f t="shared" ca="1" si="796"/>
        <v>40113.155241384236</v>
      </c>
      <c r="N228" s="138">
        <f t="shared" ca="1" si="796"/>
        <v>83065.393729424628</v>
      </c>
      <c r="O228" s="138">
        <f t="shared" ca="1" si="796"/>
        <v>202696.47973432834</v>
      </c>
      <c r="P228" s="138">
        <f t="shared" ca="1" si="796"/>
        <v>176274.03803665275</v>
      </c>
      <c r="Q228" s="138">
        <f t="shared" ca="1" si="796"/>
        <v>86326.080973896751</v>
      </c>
      <c r="R228" s="138">
        <f t="shared" ca="1" si="796"/>
        <v>126278.02048817964</v>
      </c>
      <c r="S228" s="138">
        <f t="shared" ca="1" si="796"/>
        <v>242135.5356075241</v>
      </c>
      <c r="T228" s="138">
        <f t="shared" ca="1" si="796"/>
        <v>202846.76050562898</v>
      </c>
      <c r="U228" s="138">
        <f t="shared" ca="1" si="796"/>
        <v>104807.28310406437</v>
      </c>
      <c r="V228" s="138">
        <f t="shared" ca="1" si="796"/>
        <v>147980.74920872075</v>
      </c>
      <c r="W228" s="138">
        <f t="shared" ca="1" si="796"/>
        <v>271413.1326023931</v>
      </c>
      <c r="X228" s="138">
        <f t="shared" ca="1" si="796"/>
        <v>230323.78874410767</v>
      </c>
      <c r="Y228" s="138">
        <f t="shared" ca="1" si="796"/>
        <v>117678.50866840444</v>
      </c>
      <c r="Z228" s="138">
        <f t="shared" ca="1" si="796"/>
        <v>156995.79400492081</v>
      </c>
      <c r="AA228" s="138">
        <f t="shared" ca="1" si="796"/>
        <v>287830.5065519113</v>
      </c>
      <c r="AB228" s="138">
        <f t="shared" ca="1" si="796"/>
        <v>244272.06413937832</v>
      </c>
      <c r="AC228" s="138">
        <f t="shared" ca="1" si="796"/>
        <v>130277.89519401088</v>
      </c>
      <c r="AD228" s="138">
        <f t="shared" ca="1" si="796"/>
        <v>174805.34237025067</v>
      </c>
      <c r="AE228" s="138">
        <f t="shared" ca="1" si="796"/>
        <v>313622.42282538762</v>
      </c>
      <c r="AF228" s="138">
        <f t="shared" ca="1" si="796"/>
        <v>267584.81628848863</v>
      </c>
      <c r="AG228" s="138">
        <f t="shared" ca="1" si="796"/>
        <v>144235.75735740989</v>
      </c>
      <c r="AH228" s="138">
        <f t="shared" ca="1" si="796"/>
        <v>189001.8527050488</v>
      </c>
      <c r="AI228" s="138">
        <f t="shared" ca="1" si="796"/>
        <v>336202.49041745818</v>
      </c>
      <c r="AJ228" s="138">
        <f t="shared" ca="1" si="796"/>
        <v>287457.96162542264</v>
      </c>
      <c r="AK228" s="138">
        <f t="shared" ca="1" si="796"/>
        <v>154837.42369790512</v>
      </c>
      <c r="AL228" s="138">
        <f t="shared" ca="1" si="796"/>
        <v>201116.97679926013</v>
      </c>
      <c r="AM228" s="138">
        <f t="shared" ca="1" si="796"/>
        <v>356610.09357837564</v>
      </c>
      <c r="AN228" s="138">
        <f t="shared" ca="1" si="796"/>
        <v>304389.31270437461</v>
      </c>
      <c r="AO228" s="138">
        <f t="shared" ca="1" si="796"/>
        <v>163869.81099400215</v>
      </c>
      <c r="AP228" s="138">
        <f t="shared" ca="1" si="796"/>
        <v>212828.56480315898</v>
      </c>
      <c r="AQ228" s="138">
        <f t="shared" ca="1" si="796"/>
        <v>377540.30579911149</v>
      </c>
      <c r="AR228" s="138">
        <f t="shared" ca="1" si="796"/>
        <v>322179.43428775296</v>
      </c>
      <c r="AS228" s="138">
        <f t="shared" ca="1" si="796"/>
        <v>155243.8034234533</v>
      </c>
      <c r="AT228" s="138">
        <f t="shared" ca="1" si="796"/>
        <v>198701.68774011367</v>
      </c>
      <c r="AU228" s="138">
        <f t="shared" ca="1" si="796"/>
        <v>372901.45675774344</v>
      </c>
      <c r="AV228" s="138">
        <f t="shared" ca="1" si="796"/>
        <v>313818.46509628498</v>
      </c>
      <c r="AX228" s="171">
        <f t="shared" ca="1" si="795"/>
        <v>8254921.0692912247</v>
      </c>
    </row>
    <row r="229" spans="1:50" x14ac:dyDescent="0.2">
      <c r="A229" s="99" t="str">
        <f ca="1">Language!A1352</f>
        <v>Денежные потоки от инвестиционной деятельности</v>
      </c>
      <c r="C229" s="130" t="str">
        <f ca="1">Параметры!$C$64</f>
        <v>тыс. руб.</v>
      </c>
      <c r="D229" s="57"/>
      <c r="E229" s="57"/>
      <c r="F229" s="57" t="s">
        <v>753</v>
      </c>
      <c r="G229" s="138">
        <f t="shared" ref="G229:AV229" si="797">G58</f>
        <v>-99108</v>
      </c>
      <c r="H229" s="138">
        <f t="shared" si="797"/>
        <v>-127760.00000000001</v>
      </c>
      <c r="I229" s="138">
        <f t="shared" si="797"/>
        <v>-92760</v>
      </c>
      <c r="J229" s="138">
        <f t="shared" si="797"/>
        <v>-82018</v>
      </c>
      <c r="K229" s="138">
        <f t="shared" si="797"/>
        <v>0</v>
      </c>
      <c r="L229" s="138">
        <f t="shared" si="797"/>
        <v>0</v>
      </c>
      <c r="M229" s="138">
        <f t="shared" si="797"/>
        <v>0</v>
      </c>
      <c r="N229" s="138">
        <f t="shared" si="797"/>
        <v>0</v>
      </c>
      <c r="O229" s="138">
        <f t="shared" si="797"/>
        <v>0</v>
      </c>
      <c r="P229" s="138">
        <f t="shared" si="797"/>
        <v>0</v>
      </c>
      <c r="Q229" s="138">
        <f t="shared" si="797"/>
        <v>0</v>
      </c>
      <c r="R229" s="138">
        <f t="shared" si="797"/>
        <v>0</v>
      </c>
      <c r="S229" s="138">
        <f t="shared" si="797"/>
        <v>0</v>
      </c>
      <c r="T229" s="138">
        <f t="shared" si="797"/>
        <v>0</v>
      </c>
      <c r="U229" s="138">
        <f t="shared" si="797"/>
        <v>0</v>
      </c>
      <c r="V229" s="138">
        <f t="shared" si="797"/>
        <v>0</v>
      </c>
      <c r="W229" s="138">
        <f t="shared" si="797"/>
        <v>0</v>
      </c>
      <c r="X229" s="138">
        <f t="shared" si="797"/>
        <v>0</v>
      </c>
      <c r="Y229" s="138">
        <f t="shared" si="797"/>
        <v>0</v>
      </c>
      <c r="Z229" s="138">
        <f t="shared" si="797"/>
        <v>0</v>
      </c>
      <c r="AA229" s="138">
        <f t="shared" si="797"/>
        <v>0</v>
      </c>
      <c r="AB229" s="138">
        <f t="shared" si="797"/>
        <v>0</v>
      </c>
      <c r="AC229" s="138">
        <f t="shared" si="797"/>
        <v>0</v>
      </c>
      <c r="AD229" s="138">
        <f t="shared" si="797"/>
        <v>0</v>
      </c>
      <c r="AE229" s="138">
        <f t="shared" si="797"/>
        <v>0</v>
      </c>
      <c r="AF229" s="138">
        <f t="shared" si="797"/>
        <v>0</v>
      </c>
      <c r="AG229" s="138">
        <f t="shared" si="797"/>
        <v>0</v>
      </c>
      <c r="AH229" s="138">
        <f t="shared" si="797"/>
        <v>0</v>
      </c>
      <c r="AI229" s="138">
        <f t="shared" si="797"/>
        <v>0</v>
      </c>
      <c r="AJ229" s="138">
        <f t="shared" si="797"/>
        <v>0</v>
      </c>
      <c r="AK229" s="138">
        <f t="shared" si="797"/>
        <v>0</v>
      </c>
      <c r="AL229" s="138">
        <f t="shared" si="797"/>
        <v>0</v>
      </c>
      <c r="AM229" s="138">
        <f t="shared" si="797"/>
        <v>0</v>
      </c>
      <c r="AN229" s="138">
        <f t="shared" si="797"/>
        <v>0</v>
      </c>
      <c r="AO229" s="138">
        <f t="shared" si="797"/>
        <v>0</v>
      </c>
      <c r="AP229" s="138">
        <f t="shared" si="797"/>
        <v>0</v>
      </c>
      <c r="AQ229" s="138">
        <f t="shared" si="797"/>
        <v>0</v>
      </c>
      <c r="AR229" s="138">
        <f t="shared" si="797"/>
        <v>0</v>
      </c>
      <c r="AS229" s="138">
        <f t="shared" si="797"/>
        <v>0</v>
      </c>
      <c r="AT229" s="138">
        <f t="shared" si="797"/>
        <v>0</v>
      </c>
      <c r="AU229" s="138">
        <f t="shared" si="797"/>
        <v>0</v>
      </c>
      <c r="AV229" s="138">
        <f t="shared" si="797"/>
        <v>0</v>
      </c>
      <c r="AX229" s="171">
        <f t="shared" si="795"/>
        <v>-401646</v>
      </c>
    </row>
    <row r="230" spans="1:50" x14ac:dyDescent="0.2">
      <c r="A230" s="99" t="str">
        <f ca="1">Language!A1353</f>
        <v>Поступления кредитов</v>
      </c>
      <c r="C230" s="130" t="str">
        <f ca="1">Параметры!$C$64</f>
        <v>тыс. руб.</v>
      </c>
      <c r="D230" s="57"/>
      <c r="E230" s="57"/>
      <c r="F230" s="57" t="s">
        <v>753</v>
      </c>
      <c r="G230" s="138">
        <f t="shared" ref="G230:K231" si="798">G61</f>
        <v>0</v>
      </c>
      <c r="H230" s="138">
        <f t="shared" si="798"/>
        <v>2226632</v>
      </c>
      <c r="I230" s="138">
        <f t="shared" si="798"/>
        <v>150000</v>
      </c>
      <c r="J230" s="138">
        <f t="shared" si="798"/>
        <v>100000</v>
      </c>
      <c r="K230" s="138">
        <f t="shared" si="798"/>
        <v>0</v>
      </c>
      <c r="L230" s="138">
        <f t="shared" ref="L230:M230" si="799">L61</f>
        <v>0</v>
      </c>
      <c r="M230" s="138">
        <f t="shared" si="799"/>
        <v>0</v>
      </c>
      <c r="N230" s="138">
        <f t="shared" ref="N230:O230" si="800">N61</f>
        <v>0</v>
      </c>
      <c r="O230" s="138">
        <f t="shared" si="800"/>
        <v>0</v>
      </c>
      <c r="P230" s="138">
        <f t="shared" ref="P230:Q230" si="801">P61</f>
        <v>0</v>
      </c>
      <c r="Q230" s="138">
        <f t="shared" si="801"/>
        <v>0</v>
      </c>
      <c r="R230" s="138">
        <f t="shared" ref="R230:S230" si="802">R61</f>
        <v>0</v>
      </c>
      <c r="S230" s="138">
        <f t="shared" si="802"/>
        <v>0</v>
      </c>
      <c r="T230" s="138">
        <f t="shared" ref="T230:U230" si="803">T61</f>
        <v>0</v>
      </c>
      <c r="U230" s="138">
        <f t="shared" si="803"/>
        <v>0</v>
      </c>
      <c r="V230" s="138">
        <f t="shared" ref="V230:W230" si="804">V61</f>
        <v>0</v>
      </c>
      <c r="W230" s="138">
        <f t="shared" si="804"/>
        <v>0</v>
      </c>
      <c r="X230" s="138">
        <f t="shared" ref="X230:Y230" si="805">X61</f>
        <v>0</v>
      </c>
      <c r="Y230" s="138">
        <f t="shared" si="805"/>
        <v>0</v>
      </c>
      <c r="Z230" s="138">
        <f t="shared" ref="Z230:AA230" si="806">Z61</f>
        <v>0</v>
      </c>
      <c r="AA230" s="138">
        <f t="shared" si="806"/>
        <v>0</v>
      </c>
      <c r="AB230" s="138">
        <f t="shared" ref="AB230:AC230" si="807">AB61</f>
        <v>0</v>
      </c>
      <c r="AC230" s="138">
        <f t="shared" si="807"/>
        <v>0</v>
      </c>
      <c r="AD230" s="138">
        <f t="shared" ref="AD230:AE230" si="808">AD61</f>
        <v>0</v>
      </c>
      <c r="AE230" s="138">
        <f t="shared" si="808"/>
        <v>0</v>
      </c>
      <c r="AF230" s="138">
        <f t="shared" ref="AF230:AG230" si="809">AF61</f>
        <v>0</v>
      </c>
      <c r="AG230" s="138">
        <f t="shared" si="809"/>
        <v>0</v>
      </c>
      <c r="AH230" s="138">
        <f t="shared" ref="AH230:AI230" si="810">AH61</f>
        <v>0</v>
      </c>
      <c r="AI230" s="138">
        <f t="shared" si="810"/>
        <v>0</v>
      </c>
      <c r="AJ230" s="138">
        <f t="shared" ref="AJ230:AK230" si="811">AJ61</f>
        <v>0</v>
      </c>
      <c r="AK230" s="138">
        <f t="shared" si="811"/>
        <v>0</v>
      </c>
      <c r="AL230" s="138">
        <f t="shared" ref="AL230:AM230" si="812">AL61</f>
        <v>0</v>
      </c>
      <c r="AM230" s="138">
        <f t="shared" si="812"/>
        <v>0</v>
      </c>
      <c r="AN230" s="138">
        <f t="shared" ref="AN230:AO230" si="813">AN61</f>
        <v>0</v>
      </c>
      <c r="AO230" s="138">
        <f t="shared" si="813"/>
        <v>0</v>
      </c>
      <c r="AP230" s="138">
        <f t="shared" ref="AP230:AQ230" si="814">AP61</f>
        <v>0</v>
      </c>
      <c r="AQ230" s="138">
        <f t="shared" si="814"/>
        <v>0</v>
      </c>
      <c r="AR230" s="138">
        <f t="shared" ref="AR230:AS230" si="815">AR61</f>
        <v>0</v>
      </c>
      <c r="AS230" s="138">
        <f t="shared" si="815"/>
        <v>0</v>
      </c>
      <c r="AT230" s="138">
        <f t="shared" ref="AT230:AU230" si="816">AT61</f>
        <v>0</v>
      </c>
      <c r="AU230" s="138">
        <f t="shared" si="816"/>
        <v>0</v>
      </c>
      <c r="AV230" s="138">
        <f t="shared" ref="AV230" si="817">AV61</f>
        <v>0</v>
      </c>
      <c r="AX230" s="171">
        <f t="shared" si="795"/>
        <v>2476632</v>
      </c>
    </row>
    <row r="231" spans="1:50" x14ac:dyDescent="0.2">
      <c r="A231" s="99" t="str">
        <f ca="1">Language!A1354</f>
        <v>Возврат кредитов</v>
      </c>
      <c r="C231" s="130" t="str">
        <f ca="1">Параметры!$C$64</f>
        <v>тыс. руб.</v>
      </c>
      <c r="D231" s="57"/>
      <c r="E231" s="57"/>
      <c r="F231" s="57" t="s">
        <v>753</v>
      </c>
      <c r="G231" s="138">
        <f t="shared" si="798"/>
        <v>0</v>
      </c>
      <c r="H231" s="138">
        <f t="shared" si="798"/>
        <v>-2176632</v>
      </c>
      <c r="I231" s="138">
        <f t="shared" si="798"/>
        <v>0</v>
      </c>
      <c r="J231" s="138">
        <f t="shared" si="798"/>
        <v>0</v>
      </c>
      <c r="K231" s="138">
        <f t="shared" si="798"/>
        <v>0</v>
      </c>
      <c r="L231" s="138">
        <f t="shared" ref="L231:M231" si="818">L62</f>
        <v>0</v>
      </c>
      <c r="M231" s="138">
        <f t="shared" si="818"/>
        <v>0</v>
      </c>
      <c r="N231" s="138">
        <f t="shared" ref="N231:O231" si="819">N62</f>
        <v>0</v>
      </c>
      <c r="O231" s="138">
        <f t="shared" si="819"/>
        <v>0</v>
      </c>
      <c r="P231" s="138">
        <f t="shared" ref="P231:Q231" si="820">P62</f>
        <v>0</v>
      </c>
      <c r="Q231" s="138">
        <f t="shared" si="820"/>
        <v>0</v>
      </c>
      <c r="R231" s="138">
        <f t="shared" ref="R231:S231" si="821">R62</f>
        <v>0</v>
      </c>
      <c r="S231" s="138">
        <f t="shared" si="821"/>
        <v>0</v>
      </c>
      <c r="T231" s="138">
        <f t="shared" ref="T231:U231" si="822">T62</f>
        <v>0</v>
      </c>
      <c r="U231" s="138">
        <f t="shared" si="822"/>
        <v>-51939.39544417728</v>
      </c>
      <c r="V231" s="138">
        <f t="shared" ref="V231:W231" si="823">V62</f>
        <v>-80585.09688534867</v>
      </c>
      <c r="W231" s="138">
        <f t="shared" si="823"/>
        <v>-170578.71475688095</v>
      </c>
      <c r="X231" s="138">
        <f t="shared" ref="X231:Y231" si="824">X62</f>
        <v>-142758.74138148205</v>
      </c>
      <c r="Y231" s="138">
        <f t="shared" si="824"/>
        <v>-62972.532473936968</v>
      </c>
      <c r="Z231" s="138">
        <f t="shared" ref="Z231:AA231" si="825">Z62</f>
        <v>-92042.477397385213</v>
      </c>
      <c r="AA231" s="138">
        <f t="shared" si="825"/>
        <v>-187504.8237168882</v>
      </c>
      <c r="AB231" s="138">
        <f t="shared" ref="AB231:AC231" si="826">AB62</f>
        <v>-158085.42296283226</v>
      </c>
      <c r="AC231" s="138">
        <f t="shared" si="826"/>
        <v>-77491.280315235286</v>
      </c>
      <c r="AD231" s="138">
        <f t="shared" ref="AD231:AE231" si="827">AD62</f>
        <v>-110480.31740335806</v>
      </c>
      <c r="AE231" s="138">
        <f t="shared" si="827"/>
        <v>-211905.79406284931</v>
      </c>
      <c r="AF231" s="138">
        <f t="shared" ref="AF231:AG231" si="828">AF62</f>
        <v>-180960.65354811979</v>
      </c>
      <c r="AG231" s="138">
        <f t="shared" si="828"/>
        <v>-93859.823879449337</v>
      </c>
      <c r="AH231" s="138">
        <f t="shared" ref="AH231:AI231" si="829">AH62</f>
        <v>-127198.44676159006</v>
      </c>
      <c r="AI231" s="138">
        <f t="shared" si="829"/>
        <v>-234858.09612506372</v>
      </c>
      <c r="AJ231" s="138">
        <f t="shared" ref="AJ231:AK231" si="830">AJ62</f>
        <v>-202207.07999771071</v>
      </c>
      <c r="AK231" s="138">
        <f t="shared" si="830"/>
        <v>-108642.14737094079</v>
      </c>
      <c r="AL231" s="138">
        <f t="shared" ref="AL231:AM231" si="831">AL62</f>
        <v>-143233.61689969516</v>
      </c>
      <c r="AM231" s="138">
        <f t="shared" si="831"/>
        <v>-39327.538617056329</v>
      </c>
      <c r="AN231" s="138">
        <f t="shared" ref="AN231:AO231" si="832">AN62</f>
        <v>0</v>
      </c>
      <c r="AO231" s="138">
        <f t="shared" si="832"/>
        <v>0</v>
      </c>
      <c r="AP231" s="138">
        <f t="shared" ref="AP231:AQ231" si="833">AP62</f>
        <v>0</v>
      </c>
      <c r="AQ231" s="138">
        <f t="shared" si="833"/>
        <v>0</v>
      </c>
      <c r="AR231" s="138">
        <f t="shared" ref="AR231:AS231" si="834">AR62</f>
        <v>0</v>
      </c>
      <c r="AS231" s="138">
        <f t="shared" si="834"/>
        <v>0</v>
      </c>
      <c r="AT231" s="138">
        <f t="shared" ref="AT231:AU231" si="835">AT62</f>
        <v>0</v>
      </c>
      <c r="AU231" s="138">
        <f t="shared" si="835"/>
        <v>0</v>
      </c>
      <c r="AV231" s="138">
        <f t="shared" ref="AV231" si="836">AV62</f>
        <v>0</v>
      </c>
      <c r="AX231" s="171">
        <f t="shared" si="795"/>
        <v>-4653264</v>
      </c>
    </row>
    <row r="232" spans="1:50" x14ac:dyDescent="0.2">
      <c r="A232" s="65" t="str">
        <f ca="1">Language!A1355</f>
        <v>Дисконтированный денежный поток</v>
      </c>
      <c r="C232" s="130" t="str">
        <f ca="1">Параметры!$C$64</f>
        <v>тыс. руб.</v>
      </c>
      <c r="D232" s="57"/>
      <c r="E232" s="57"/>
      <c r="F232" s="57" t="s">
        <v>753</v>
      </c>
      <c r="G232" s="138">
        <f t="shared" ref="G232:AV232" ca="1" si="837">G227/G226</f>
        <v>81101.795718117093</v>
      </c>
      <c r="H232" s="138">
        <f t="shared" ca="1" si="837"/>
        <v>-6846.4018728605151</v>
      </c>
      <c r="I232" s="138">
        <f t="shared" ca="1" si="837"/>
        <v>43284.542819659611</v>
      </c>
      <c r="J232" s="138">
        <f t="shared" ca="1" si="837"/>
        <v>51540.313562962678</v>
      </c>
      <c r="K232" s="138">
        <f t="shared" ca="1" si="837"/>
        <v>123770.82719000569</v>
      </c>
      <c r="L232" s="138">
        <f t="shared" ca="1" si="837"/>
        <v>100355.23114708613</v>
      </c>
      <c r="M232" s="138">
        <f t="shared" ca="1" si="837"/>
        <v>30515.111081128784</v>
      </c>
      <c r="N232" s="138">
        <f t="shared" ca="1" si="837"/>
        <v>60374.416628233637</v>
      </c>
      <c r="O232" s="138">
        <f t="shared" ca="1" si="837"/>
        <v>140761.44425995016</v>
      </c>
      <c r="P232" s="138">
        <f t="shared" ca="1" si="837"/>
        <v>116958.16603810983</v>
      </c>
      <c r="Q232" s="138">
        <f t="shared" ca="1" si="837"/>
        <v>54725.395660209208</v>
      </c>
      <c r="R232" s="138">
        <f t="shared" ca="1" si="837"/>
        <v>76485.540263776013</v>
      </c>
      <c r="S232" s="138">
        <f t="shared" ca="1" si="837"/>
        <v>140124.73125435409</v>
      </c>
      <c r="T232" s="138">
        <f t="shared" ca="1" si="837"/>
        <v>112157.68243466924</v>
      </c>
      <c r="U232" s="138">
        <f t="shared" ca="1" si="837"/>
        <v>27929.142205795852</v>
      </c>
      <c r="V232" s="138">
        <f t="shared" ca="1" si="837"/>
        <v>34017.485514995351</v>
      </c>
      <c r="W232" s="138">
        <f t="shared" ca="1" si="837"/>
        <v>48627.709223337217</v>
      </c>
      <c r="X232" s="138">
        <f t="shared" ca="1" si="837"/>
        <v>40346.929664185263</v>
      </c>
      <c r="Y232" s="138">
        <f t="shared" ca="1" si="837"/>
        <v>24083.475752355338</v>
      </c>
      <c r="Z232" s="138">
        <f t="shared" ca="1" si="837"/>
        <v>27320.611328730833</v>
      </c>
      <c r="AA232" s="138">
        <f t="shared" ca="1" si="837"/>
        <v>40318.641828632564</v>
      </c>
      <c r="AB232" s="138">
        <f t="shared" ca="1" si="837"/>
        <v>33093.173344439187</v>
      </c>
      <c r="AC232" s="138">
        <f t="shared" ca="1" si="837"/>
        <v>19365.421719234386</v>
      </c>
      <c r="AD232" s="138">
        <f t="shared" ca="1" si="837"/>
        <v>22546.949840529698</v>
      </c>
      <c r="AE232" s="138">
        <f t="shared" ca="1" si="837"/>
        <v>34064.693167323792</v>
      </c>
      <c r="AF232" s="138">
        <f t="shared" ca="1" si="837"/>
        <v>27717.640791452115</v>
      </c>
      <c r="AG232" s="138">
        <f t="shared" ca="1" si="837"/>
        <v>15400.861224339353</v>
      </c>
      <c r="AH232" s="138">
        <f t="shared" ca="1" si="837"/>
        <v>18052.568375712082</v>
      </c>
      <c r="AI232" s="138">
        <f t="shared" ca="1" si="837"/>
        <v>28283.360497018261</v>
      </c>
      <c r="AJ232" s="138">
        <f t="shared" ca="1" si="837"/>
        <v>22731.853324360553</v>
      </c>
      <c r="AK232" s="138">
        <f t="shared" ca="1" si="837"/>
        <v>11768.963716289316</v>
      </c>
      <c r="AL232" s="138">
        <f t="shared" ca="1" si="837"/>
        <v>14089.613353440162</v>
      </c>
      <c r="AM232" s="138">
        <f t="shared" ca="1" si="837"/>
        <v>73789.781730922492</v>
      </c>
      <c r="AN232" s="138">
        <f t="shared" ca="1" si="837"/>
        <v>67636.966306453018</v>
      </c>
      <c r="AO232" s="138">
        <f t="shared" ca="1" si="837"/>
        <v>34790.315033752377</v>
      </c>
      <c r="AP232" s="138">
        <f t="shared" ca="1" si="837"/>
        <v>43171.18935170045</v>
      </c>
      <c r="AQ232" s="138">
        <f t="shared" ca="1" si="837"/>
        <v>73169.840582995152</v>
      </c>
      <c r="AR232" s="138">
        <f t="shared" ca="1" si="837"/>
        <v>59658.357001068187</v>
      </c>
      <c r="AS232" s="138">
        <f t="shared" ca="1" si="837"/>
        <v>27465.811606678151</v>
      </c>
      <c r="AT232" s="138">
        <f t="shared" ca="1" si="837"/>
        <v>33588.020299596137</v>
      </c>
      <c r="AU232" s="138">
        <f t="shared" ca="1" si="837"/>
        <v>60225.667134131785</v>
      </c>
      <c r="AV232" s="138">
        <f t="shared" ca="1" si="837"/>
        <v>48425.121820780289</v>
      </c>
      <c r="AX232" s="171">
        <f t="shared" ca="1" si="795"/>
        <v>2136988.9619256509</v>
      </c>
    </row>
    <row r="233" spans="1:50" x14ac:dyDescent="0.2">
      <c r="A233" s="65" t="str">
        <f ca="1">Language!A1356</f>
        <v>Дисконтированный поток нарастающим итогом</v>
      </c>
      <c r="C233" s="130" t="str">
        <f ca="1">Параметры!$C$64</f>
        <v>тыс. руб.</v>
      </c>
      <c r="D233" s="57"/>
      <c r="E233" s="57"/>
      <c r="F233" s="57" t="s">
        <v>754</v>
      </c>
      <c r="G233" s="138">
        <f ca="1">G232 + IF(G$2&gt;1, F233)</f>
        <v>81101.795718117093</v>
      </c>
      <c r="H233" s="138">
        <f t="shared" ref="H233" ca="1" si="838">H232 + IF(H$2&gt;1, G233)</f>
        <v>74255.393845256578</v>
      </c>
      <c r="I233" s="138">
        <f t="shared" ref="I233" ca="1" si="839">I232 + IF(I$2&gt;1, H233)</f>
        <v>117539.9366649162</v>
      </c>
      <c r="J233" s="138">
        <f t="shared" ref="J233" ca="1" si="840">J232 + IF(J$2&gt;1, I233)</f>
        <v>169080.25022787886</v>
      </c>
      <c r="K233" s="138">
        <f t="shared" ref="K233:AV233" ca="1" si="841">K232 + IF(K$2&gt;1, J233)</f>
        <v>292851.07741788455</v>
      </c>
      <c r="L233" s="138">
        <f t="shared" ca="1" si="841"/>
        <v>393206.30856497068</v>
      </c>
      <c r="M233" s="138">
        <f t="shared" ca="1" si="841"/>
        <v>423721.41964609944</v>
      </c>
      <c r="N233" s="138">
        <f t="shared" ca="1" si="841"/>
        <v>484095.83627433307</v>
      </c>
      <c r="O233" s="138">
        <f t="shared" ca="1" si="841"/>
        <v>624857.28053428326</v>
      </c>
      <c r="P233" s="138">
        <f t="shared" ca="1" si="841"/>
        <v>741815.44657239306</v>
      </c>
      <c r="Q233" s="138">
        <f t="shared" ca="1" si="841"/>
        <v>796540.8422326023</v>
      </c>
      <c r="R233" s="138">
        <f t="shared" ca="1" si="841"/>
        <v>873026.38249637827</v>
      </c>
      <c r="S233" s="138">
        <f t="shared" ca="1" si="841"/>
        <v>1013151.1137507324</v>
      </c>
      <c r="T233" s="138">
        <f t="shared" ca="1" si="841"/>
        <v>1125308.7961854017</v>
      </c>
      <c r="U233" s="138">
        <f t="shared" ca="1" si="841"/>
        <v>1153237.9383911975</v>
      </c>
      <c r="V233" s="138">
        <f t="shared" ca="1" si="841"/>
        <v>1187255.4239061929</v>
      </c>
      <c r="W233" s="138">
        <f t="shared" ca="1" si="841"/>
        <v>1235883.1331295301</v>
      </c>
      <c r="X233" s="138">
        <f t="shared" ca="1" si="841"/>
        <v>1276230.0627937154</v>
      </c>
      <c r="Y233" s="138">
        <f t="shared" ca="1" si="841"/>
        <v>1300313.5385460707</v>
      </c>
      <c r="Z233" s="138">
        <f t="shared" ca="1" si="841"/>
        <v>1327634.1498748015</v>
      </c>
      <c r="AA233" s="138">
        <f t="shared" ca="1" si="841"/>
        <v>1367952.7917034342</v>
      </c>
      <c r="AB233" s="138">
        <f t="shared" ca="1" si="841"/>
        <v>1401045.9650478733</v>
      </c>
      <c r="AC233" s="138">
        <f t="shared" ca="1" si="841"/>
        <v>1420411.3867671078</v>
      </c>
      <c r="AD233" s="138">
        <f t="shared" ca="1" si="841"/>
        <v>1442958.3366076373</v>
      </c>
      <c r="AE233" s="138">
        <f t="shared" ca="1" si="841"/>
        <v>1477023.0297749611</v>
      </c>
      <c r="AF233" s="138">
        <f t="shared" ca="1" si="841"/>
        <v>1504740.6705664131</v>
      </c>
      <c r="AG233" s="138">
        <f t="shared" ca="1" si="841"/>
        <v>1520141.5317907524</v>
      </c>
      <c r="AH233" s="138">
        <f t="shared" ca="1" si="841"/>
        <v>1538194.1001664645</v>
      </c>
      <c r="AI233" s="138">
        <f t="shared" ca="1" si="841"/>
        <v>1566477.4606634828</v>
      </c>
      <c r="AJ233" s="138">
        <f t="shared" ca="1" si="841"/>
        <v>1589209.3139878432</v>
      </c>
      <c r="AK233" s="138">
        <f t="shared" ca="1" si="841"/>
        <v>1600978.2777041325</v>
      </c>
      <c r="AL233" s="138">
        <f t="shared" ca="1" si="841"/>
        <v>1615067.8910575726</v>
      </c>
      <c r="AM233" s="138">
        <f t="shared" ca="1" si="841"/>
        <v>1688857.672788495</v>
      </c>
      <c r="AN233" s="138">
        <f t="shared" ca="1" si="841"/>
        <v>1756494.6390949481</v>
      </c>
      <c r="AO233" s="138">
        <f t="shared" ca="1" si="841"/>
        <v>1791284.9541287005</v>
      </c>
      <c r="AP233" s="138">
        <f t="shared" ca="1" si="841"/>
        <v>1834456.143480401</v>
      </c>
      <c r="AQ233" s="138">
        <f t="shared" ca="1" si="841"/>
        <v>1907625.9840633962</v>
      </c>
      <c r="AR233" s="138">
        <f t="shared" ca="1" si="841"/>
        <v>1967284.3410644643</v>
      </c>
      <c r="AS233" s="138">
        <f t="shared" ca="1" si="841"/>
        <v>1994750.1526711425</v>
      </c>
      <c r="AT233" s="138">
        <f t="shared" ca="1" si="841"/>
        <v>2028338.1729707387</v>
      </c>
      <c r="AU233" s="138">
        <f t="shared" ca="1" si="841"/>
        <v>2088563.8401048705</v>
      </c>
      <c r="AV233" s="138">
        <f t="shared" ca="1" si="841"/>
        <v>2136988.9619256509</v>
      </c>
      <c r="AX233" s="171"/>
    </row>
    <row r="234" spans="1:50" x14ac:dyDescent="0.2">
      <c r="A234" s="65" t="str">
        <f ca="1">Language!A1357</f>
        <v>Чистая приведенная стоимость потоков проекта</v>
      </c>
      <c r="B234" s="215">
        <f ca="1">AX232</f>
        <v>2136988.9619256509</v>
      </c>
      <c r="C234" s="130" t="str">
        <f ca="1">Параметры!$C$64</f>
        <v>тыс. руб.</v>
      </c>
      <c r="D234" s="57"/>
      <c r="E234" s="57"/>
      <c r="F234" s="57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</row>
    <row r="235" spans="1:50" x14ac:dyDescent="0.2">
      <c r="A235" s="65"/>
      <c r="B235" s="215"/>
      <c r="D235" s="57"/>
      <c r="E235" s="57"/>
      <c r="F235" s="57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</row>
    <row r="236" spans="1:50" x14ac:dyDescent="0.2">
      <c r="A236" s="65" t="str">
        <f ca="1">Language!A1358</f>
        <v>Учет активов начального баланса</v>
      </c>
      <c r="B236" s="215" t="str">
        <f ca="1">Параметры!C134</f>
        <v>Да</v>
      </c>
      <c r="C236" s="130" t="str">
        <f ca="1">Параметры!$C$64</f>
        <v>тыс. руб.</v>
      </c>
      <c r="D236" s="57"/>
      <c r="E236" s="57"/>
      <c r="F236" s="57" t="s">
        <v>753</v>
      </c>
      <c r="G236" s="138">
        <f>IF(G$2=1, -(Старт!$B$51+Проект!G819)/Параметры!$G$64, 0)</f>
        <v>-877894</v>
      </c>
      <c r="H236" s="138">
        <f>IF(H$2=1, -(Старт!$B$51+Проект!H819)/Параметры!$G$64, 0)</f>
        <v>0</v>
      </c>
      <c r="I236" s="138">
        <f>IF(I$2=1, -(Старт!$B$51+Проект!I819)/Параметры!$G$64, 0)</f>
        <v>0</v>
      </c>
      <c r="J236" s="138">
        <f>IF(J$2=1, -(Старт!$B$51+Проект!J819)/Параметры!$G$64, 0)</f>
        <v>0</v>
      </c>
      <c r="K236" s="138">
        <f>IF(K$2=1, -(Старт!$B$51+Проект!K819)/Параметры!$G$64, 0)</f>
        <v>0</v>
      </c>
      <c r="L236" s="138">
        <f>IF(L$2=1, -(Старт!$B$51+Проект!L819)/Параметры!$G$64, 0)</f>
        <v>0</v>
      </c>
      <c r="M236" s="138">
        <f>IF(M$2=1, -(Старт!$B$51+Проект!M819)/Параметры!$G$64, 0)</f>
        <v>0</v>
      </c>
      <c r="N236" s="138">
        <f>IF(N$2=1, -(Старт!$B$51+Проект!N819)/Параметры!$G$64, 0)</f>
        <v>0</v>
      </c>
      <c r="O236" s="138">
        <f>IF(O$2=1, -(Старт!$B$51+Проект!O819)/Параметры!$G$64, 0)</f>
        <v>0</v>
      </c>
      <c r="P236" s="138">
        <f>IF(P$2=1, -(Старт!$B$51+Проект!P819)/Параметры!$G$64, 0)</f>
        <v>0</v>
      </c>
      <c r="Q236" s="138">
        <f>IF(Q$2=1, -(Старт!$B$51+Проект!Q819)/Параметры!$G$64, 0)</f>
        <v>0</v>
      </c>
      <c r="R236" s="138">
        <f>IF(R$2=1, -(Старт!$B$51+Проект!R819)/Параметры!$G$64, 0)</f>
        <v>0</v>
      </c>
      <c r="S236" s="138">
        <f>IF(S$2=1, -(Старт!$B$51+Проект!S819)/Параметры!$G$64, 0)</f>
        <v>0</v>
      </c>
      <c r="T236" s="138">
        <f>IF(T$2=1, -(Старт!$B$51+Проект!T819)/Параметры!$G$64, 0)</f>
        <v>0</v>
      </c>
      <c r="U236" s="138">
        <f>IF(U$2=1, -(Старт!$B$51+Проект!U819)/Параметры!$G$64, 0)</f>
        <v>0</v>
      </c>
      <c r="V236" s="138">
        <f>IF(V$2=1, -(Старт!$B$51+Проект!V819)/Параметры!$G$64, 0)</f>
        <v>0</v>
      </c>
      <c r="W236" s="138">
        <f>IF(W$2=1, -(Старт!$B$51+Проект!W819)/Параметры!$G$64, 0)</f>
        <v>0</v>
      </c>
      <c r="X236" s="138">
        <f>IF(X$2=1, -(Старт!$B$51+Проект!X819)/Параметры!$G$64, 0)</f>
        <v>0</v>
      </c>
      <c r="Y236" s="138">
        <f>IF(Y$2=1, -(Старт!$B$51+Проект!Y819)/Параметры!$G$64, 0)</f>
        <v>0</v>
      </c>
      <c r="Z236" s="138">
        <f>IF(Z$2=1, -(Старт!$B$51+Проект!Z819)/Параметры!$G$64, 0)</f>
        <v>0</v>
      </c>
      <c r="AA236" s="138">
        <f>IF(AA$2=1, -(Старт!$B$51+Проект!AA819)/Параметры!$G$64, 0)</f>
        <v>0</v>
      </c>
      <c r="AB236" s="138">
        <f>IF(AB$2=1, -(Старт!$B$51+Проект!AB819)/Параметры!$G$64, 0)</f>
        <v>0</v>
      </c>
      <c r="AC236" s="138">
        <f>IF(AC$2=1, -(Старт!$B$51+Проект!AC819)/Параметры!$G$64, 0)</f>
        <v>0</v>
      </c>
      <c r="AD236" s="138">
        <f>IF(AD$2=1, -(Старт!$B$51+Проект!AD819)/Параметры!$G$64, 0)</f>
        <v>0</v>
      </c>
      <c r="AE236" s="138">
        <f>IF(AE$2=1, -(Старт!$B$51+Проект!AE819)/Параметры!$G$64, 0)</f>
        <v>0</v>
      </c>
      <c r="AF236" s="138">
        <f>IF(AF$2=1, -(Старт!$B$51+Проект!AF819)/Параметры!$G$64, 0)</f>
        <v>0</v>
      </c>
      <c r="AG236" s="138">
        <f>IF(AG$2=1, -(Старт!$B$51+Проект!AG819)/Параметры!$G$64, 0)</f>
        <v>0</v>
      </c>
      <c r="AH236" s="138">
        <f>IF(AH$2=1, -(Старт!$B$51+Проект!AH819)/Параметры!$G$64, 0)</f>
        <v>0</v>
      </c>
      <c r="AI236" s="138">
        <f>IF(AI$2=1, -(Старт!$B$51+Проект!AI819)/Параметры!$G$64, 0)</f>
        <v>0</v>
      </c>
      <c r="AJ236" s="138">
        <f>IF(AJ$2=1, -(Старт!$B$51+Проект!AJ819)/Параметры!$G$64, 0)</f>
        <v>0</v>
      </c>
      <c r="AK236" s="138">
        <f>IF(AK$2=1, -(Старт!$B$51+Проект!AK819)/Параметры!$G$64, 0)</f>
        <v>0</v>
      </c>
      <c r="AL236" s="138">
        <f>IF(AL$2=1, -(Старт!$B$51+Проект!AL819)/Параметры!$G$64, 0)</f>
        <v>0</v>
      </c>
      <c r="AM236" s="138">
        <f>IF(AM$2=1, -(Старт!$B$51+Проект!AM819)/Параметры!$G$64, 0)</f>
        <v>0</v>
      </c>
      <c r="AN236" s="138">
        <f>IF(AN$2=1, -(Старт!$B$51+Проект!AN819)/Параметры!$G$64, 0)</f>
        <v>0</v>
      </c>
      <c r="AO236" s="138">
        <f>IF(AO$2=1, -(Старт!$B$51+Проект!AO819)/Параметры!$G$64, 0)</f>
        <v>0</v>
      </c>
      <c r="AP236" s="138">
        <f>IF(AP$2=1, -(Старт!$B$51+Проект!AP819)/Параметры!$G$64, 0)</f>
        <v>0</v>
      </c>
      <c r="AQ236" s="138">
        <f>IF(AQ$2=1, -(Старт!$B$51+Проект!AQ819)/Параметры!$G$64, 0)</f>
        <v>0</v>
      </c>
      <c r="AR236" s="138">
        <f>IF(AR$2=1, -(Старт!$B$51+Проект!AR819)/Параметры!$G$64, 0)</f>
        <v>0</v>
      </c>
      <c r="AS236" s="138">
        <f>IF(AS$2=1, -(Старт!$B$51+Проект!AS819)/Параметры!$G$64, 0)</f>
        <v>0</v>
      </c>
      <c r="AT236" s="138">
        <f>IF(AT$2=1, -(Старт!$B$51+Проект!AT819)/Параметры!$G$64, 0)</f>
        <v>0</v>
      </c>
      <c r="AU236" s="138">
        <f>IF(AU$2=1, -(Старт!$B$51+Проект!AU819)/Параметры!$G$64, 0)</f>
        <v>0</v>
      </c>
      <c r="AV236" s="138">
        <f>IF(AV$2=1, -(Старт!$B$51+Проект!AV819)/Параметры!$G$64, 0)</f>
        <v>0</v>
      </c>
      <c r="AX236" s="171">
        <f>SUM(G236:AW236)</f>
        <v>-877894</v>
      </c>
    </row>
    <row r="237" spans="1:50" collapsed="1" x14ac:dyDescent="0.2">
      <c r="A237" s="65" t="str">
        <f ca="1">Language!A1359</f>
        <v>Учет продленной стоимости</v>
      </c>
      <c r="B237" s="215" t="str">
        <f ca="1">Параметры!C135</f>
        <v>Нет</v>
      </c>
      <c r="C237" s="130" t="str">
        <f ca="1">Параметры!$C$64</f>
        <v>тыс. руб.</v>
      </c>
      <c r="D237" s="57"/>
      <c r="E237" s="57"/>
      <c r="F237" s="57" t="s">
        <v>753</v>
      </c>
      <c r="G237" s="148">
        <f ca="1">IF(G225-Параметры!$B$137=0,0,IF(G$2=Prj_Len,G238*(1+Параметры!$B$137)/(G225-Параметры!$B$137),0))</f>
        <v>0</v>
      </c>
      <c r="H237" s="148">
        <f ca="1">IF(H225-Параметры!$B$137=0,0,IF(H$2=Prj_Len,H238*(1+Параметры!$B$137)/(H225-Параметры!$B$137),0))</f>
        <v>0</v>
      </c>
      <c r="I237" s="148">
        <f ca="1">IF(I225-Параметры!$B$137=0,0,IF(I$2=Prj_Len,I238*(1+Параметры!$B$137)/(I225-Параметры!$B$137),0))</f>
        <v>0</v>
      </c>
      <c r="J237" s="148">
        <f ca="1">IF(J225-Параметры!$B$137=0,0,IF(J$2=Prj_Len,J238*(1+Параметры!$B$137)/(J225-Параметры!$B$137),0))</f>
        <v>0</v>
      </c>
      <c r="K237" s="148">
        <f ca="1">IF(K225-Параметры!$B$137=0,0,IF(K$2=Prj_Len,K238*(1+Параметры!$B$137)/(K225-Параметры!$B$137),0))</f>
        <v>0</v>
      </c>
      <c r="L237" s="148">
        <f ca="1">IF(L225-Параметры!$B$137=0,0,IF(L$2=Prj_Len,L238*(1+Параметры!$B$137)/(L225-Параметры!$B$137),0))</f>
        <v>0</v>
      </c>
      <c r="M237" s="148">
        <f ca="1">IF(M225-Параметры!$B$137=0,0,IF(M$2=Prj_Len,M238*(1+Параметры!$B$137)/(M225-Параметры!$B$137),0))</f>
        <v>0</v>
      </c>
      <c r="N237" s="148">
        <f ca="1">IF(N225-Параметры!$B$137=0,0,IF(N$2=Prj_Len,N238*(1+Параметры!$B$137)/(N225-Параметры!$B$137),0))</f>
        <v>0</v>
      </c>
      <c r="O237" s="148">
        <f ca="1">IF(O225-Параметры!$B$137=0,0,IF(O$2=Prj_Len,O238*(1+Параметры!$B$137)/(O225-Параметры!$B$137),0))</f>
        <v>0</v>
      </c>
      <c r="P237" s="148">
        <f ca="1">IF(P225-Параметры!$B$137=0,0,IF(P$2=Prj_Len,P238*(1+Параметры!$B$137)/(P225-Параметры!$B$137),0))</f>
        <v>0</v>
      </c>
      <c r="Q237" s="148">
        <f ca="1">IF(Q225-Параметры!$B$137=0,0,IF(Q$2=Prj_Len,Q238*(1+Параметры!$B$137)/(Q225-Параметры!$B$137),0))</f>
        <v>0</v>
      </c>
      <c r="R237" s="148">
        <f ca="1">IF(R225-Параметры!$B$137=0,0,IF(R$2=Prj_Len,R238*(1+Параметры!$B$137)/(R225-Параметры!$B$137),0))</f>
        <v>0</v>
      </c>
      <c r="S237" s="148">
        <f ca="1">IF(S225-Параметры!$B$137=0,0,IF(S$2=Prj_Len,S238*(1+Параметры!$B$137)/(S225-Параметры!$B$137),0))</f>
        <v>0</v>
      </c>
      <c r="T237" s="148">
        <f ca="1">IF(T225-Параметры!$B$137=0,0,IF(T$2=Prj_Len,T238*(1+Параметры!$B$137)/(T225-Параметры!$B$137),0))</f>
        <v>0</v>
      </c>
      <c r="U237" s="148">
        <f ca="1">IF(U225-Параметры!$B$137=0,0,IF(U$2=Prj_Len,U238*(1+Параметры!$B$137)/(U225-Параметры!$B$137),0))</f>
        <v>0</v>
      </c>
      <c r="V237" s="148">
        <f ca="1">IF(V225-Параметры!$B$137=0,0,IF(V$2=Prj_Len,V238*(1+Параметры!$B$137)/(V225-Параметры!$B$137),0))</f>
        <v>0</v>
      </c>
      <c r="W237" s="148">
        <f ca="1">IF(W225-Параметры!$B$137=0,0,IF(W$2=Prj_Len,W238*(1+Параметры!$B$137)/(W225-Параметры!$B$137),0))</f>
        <v>0</v>
      </c>
      <c r="X237" s="148">
        <f ca="1">IF(X225-Параметры!$B$137=0,0,IF(X$2=Prj_Len,X238*(1+Параметры!$B$137)/(X225-Параметры!$B$137),0))</f>
        <v>0</v>
      </c>
      <c r="Y237" s="148">
        <f ca="1">IF(Y225-Параметры!$B$137=0,0,IF(Y$2=Prj_Len,Y238*(1+Параметры!$B$137)/(Y225-Параметры!$B$137),0))</f>
        <v>0</v>
      </c>
      <c r="Z237" s="148">
        <f ca="1">IF(Z225-Параметры!$B$137=0,0,IF(Z$2=Prj_Len,Z238*(1+Параметры!$B$137)/(Z225-Параметры!$B$137),0))</f>
        <v>0</v>
      </c>
      <c r="AA237" s="148">
        <f ca="1">IF(AA225-Параметры!$B$137=0,0,IF(AA$2=Prj_Len,AA238*(1+Параметры!$B$137)/(AA225-Параметры!$B$137),0))</f>
        <v>0</v>
      </c>
      <c r="AB237" s="148">
        <f ca="1">IF(AB225-Параметры!$B$137=0,0,IF(AB$2=Prj_Len,AB238*(1+Параметры!$B$137)/(AB225-Параметры!$B$137),0))</f>
        <v>0</v>
      </c>
      <c r="AC237" s="148">
        <f ca="1">IF(AC225-Параметры!$B$137=0,0,IF(AC$2=Prj_Len,AC238*(1+Параметры!$B$137)/(AC225-Параметры!$B$137),0))</f>
        <v>0</v>
      </c>
      <c r="AD237" s="148">
        <f ca="1">IF(AD225-Параметры!$B$137=0,0,IF(AD$2=Prj_Len,AD238*(1+Параметры!$B$137)/(AD225-Параметры!$B$137),0))</f>
        <v>0</v>
      </c>
      <c r="AE237" s="148">
        <f ca="1">IF(AE225-Параметры!$B$137=0,0,IF(AE$2=Prj_Len,AE238*(1+Параметры!$B$137)/(AE225-Параметры!$B$137),0))</f>
        <v>0</v>
      </c>
      <c r="AF237" s="148">
        <f ca="1">IF(AF225-Параметры!$B$137=0,0,IF(AF$2=Prj_Len,AF238*(1+Параметры!$B$137)/(AF225-Параметры!$B$137),0))</f>
        <v>0</v>
      </c>
      <c r="AG237" s="148">
        <f ca="1">IF(AG225-Параметры!$B$137=0,0,IF(AG$2=Prj_Len,AG238*(1+Параметры!$B$137)/(AG225-Параметры!$B$137),0))</f>
        <v>0</v>
      </c>
      <c r="AH237" s="148">
        <f ca="1">IF(AH225-Параметры!$B$137=0,0,IF(AH$2=Prj_Len,AH238*(1+Параметры!$B$137)/(AH225-Параметры!$B$137),0))</f>
        <v>0</v>
      </c>
      <c r="AI237" s="148">
        <f ca="1">IF(AI225-Параметры!$B$137=0,0,IF(AI$2=Prj_Len,AI238*(1+Параметры!$B$137)/(AI225-Параметры!$B$137),0))</f>
        <v>0</v>
      </c>
      <c r="AJ237" s="148">
        <f ca="1">IF(AJ225-Параметры!$B$137=0,0,IF(AJ$2=Prj_Len,AJ238*(1+Параметры!$B$137)/(AJ225-Параметры!$B$137),0))</f>
        <v>0</v>
      </c>
      <c r="AK237" s="148">
        <f ca="1">IF(AK225-Параметры!$B$137=0,0,IF(AK$2=Prj_Len,AK238*(1+Параметры!$B$137)/(AK225-Параметры!$B$137),0))</f>
        <v>0</v>
      </c>
      <c r="AL237" s="148">
        <f ca="1">IF(AL225-Параметры!$B$137=0,0,IF(AL$2=Prj_Len,AL238*(1+Параметры!$B$137)/(AL225-Параметры!$B$137),0))</f>
        <v>0</v>
      </c>
      <c r="AM237" s="148">
        <f ca="1">IF(AM225-Параметры!$B$137=0,0,IF(AM$2=Prj_Len,AM238*(1+Параметры!$B$137)/(AM225-Параметры!$B$137),0))</f>
        <v>0</v>
      </c>
      <c r="AN237" s="148">
        <f ca="1">IF(AN225-Параметры!$B$137=0,0,IF(AN$2=Prj_Len,AN238*(1+Параметры!$B$137)/(AN225-Параметры!$B$137),0))</f>
        <v>0</v>
      </c>
      <c r="AO237" s="148">
        <f ca="1">IF(AO225-Параметры!$B$137=0,0,IF(AO$2=Prj_Len,AO238*(1+Параметры!$B$137)/(AO225-Параметры!$B$137),0))</f>
        <v>0</v>
      </c>
      <c r="AP237" s="148">
        <f ca="1">IF(AP225-Параметры!$B$137=0,0,IF(AP$2=Prj_Len,AP238*(1+Параметры!$B$137)/(AP225-Параметры!$B$137),0))</f>
        <v>0</v>
      </c>
      <c r="AQ237" s="148">
        <f ca="1">IF(AQ225-Параметры!$B$137=0,0,IF(AQ$2=Prj_Len,AQ238*(1+Параметры!$B$137)/(AQ225-Параметры!$B$137),0))</f>
        <v>0</v>
      </c>
      <c r="AR237" s="148">
        <f ca="1">IF(AR225-Параметры!$B$137=0,0,IF(AR$2=Prj_Len,AR238*(1+Параметры!$B$137)/(AR225-Параметры!$B$137),0))</f>
        <v>0</v>
      </c>
      <c r="AS237" s="148">
        <f ca="1">IF(AS225-Параметры!$B$137=0,0,IF(AS$2=Prj_Len,AS238*(1+Параметры!$B$137)/(AS225-Параметры!$B$137),0))</f>
        <v>0</v>
      </c>
      <c r="AT237" s="148">
        <f ca="1">IF(AT225-Параметры!$B$137=0,0,IF(AT$2=Prj_Len,AT238*(1+Параметры!$B$137)/(AT225-Параметры!$B$137),0))</f>
        <v>0</v>
      </c>
      <c r="AU237" s="148">
        <f ca="1">IF(AU225-Параметры!$B$137=0,0,IF(AU$2=Prj_Len,AU238*(1+Параметры!$B$137)/(AU225-Параметры!$B$137),0))</f>
        <v>0</v>
      </c>
      <c r="AV237" s="148">
        <f ca="1">IF(AV225-Параметры!$B$137=0,0,IF(AV$2=Prj_Len,AV238*(1+Параметры!$B$137)/(AV225-Параметры!$B$137),0))</f>
        <v>6481698.2668591393</v>
      </c>
      <c r="AX237" s="171">
        <f ca="1">SUM(G237:AW237)</f>
        <v>6481698.2668591393</v>
      </c>
    </row>
    <row r="238" spans="1:50" hidden="1" outlineLevel="1" x14ac:dyDescent="0.2">
      <c r="A238" s="65" t="str">
        <f ca="1">Language!A1360</f>
        <v>NOPLAT</v>
      </c>
      <c r="B238" s="215"/>
      <c r="C238" s="130" t="str">
        <f ca="1">Параметры!$C$64</f>
        <v>тыс. руб.</v>
      </c>
      <c r="D238" s="57"/>
      <c r="E238" s="57"/>
      <c r="F238" s="57" t="s">
        <v>753</v>
      </c>
      <c r="G238" s="148">
        <f ca="1">(G$17+G$19+G$20) * (1-Параметры!G$81)</f>
        <v>46508.459852965898</v>
      </c>
      <c r="H238" s="148">
        <f ca="1">(H$17+H$19+H$20) * (1-Параметры!H$81)</f>
        <v>-60277.774699052316</v>
      </c>
      <c r="I238" s="148">
        <f ca="1">(I$17+I$19+I$20) * (1-Параметры!I$81)</f>
        <v>-62153.185445202456</v>
      </c>
      <c r="J238" s="148">
        <f ca="1">(J$17+J$19+J$20) * (1-Параметры!J$81)</f>
        <v>-21583.876219787366</v>
      </c>
      <c r="K238" s="148">
        <f ca="1">(K$17+K$19+K$20) * (1-Параметры!K$81)</f>
        <v>147357.52905769111</v>
      </c>
      <c r="L238" s="148">
        <f ca="1">(L$17+L$19+L$20) * (1-Параметры!L$81)</f>
        <v>985.14265847907518</v>
      </c>
      <c r="M238" s="148">
        <f ca="1">(M$17+M$19+M$20) * (1-Параметры!M$81)</f>
        <v>-20487.474075166174</v>
      </c>
      <c r="N238" s="148">
        <f ca="1">(N$17+N$19+N$20) * (1-Параметры!N$81)</f>
        <v>18800.706015605887</v>
      </c>
      <c r="O238" s="148">
        <f ca="1">(O$17+O$19+O$20) * (1-Параметры!O$81)</f>
        <v>210492.17888039217</v>
      </c>
      <c r="P238" s="148">
        <f ca="1">(P$17+P$19+P$20) * (1-Параметры!P$81)</f>
        <v>43820.722706753484</v>
      </c>
      <c r="Q238" s="148">
        <f ca="1">(Q$17+Q$19+Q$20) * (1-Параметры!Q$81)</f>
        <v>25510.46694091658</v>
      </c>
      <c r="R238" s="148">
        <f ca="1">(R$17+R$19+R$20) * (1-Параметры!R$81)</f>
        <v>56349.042299932858</v>
      </c>
      <c r="S238" s="148">
        <f ca="1">(S$17+S$19+S$20) * (1-Параметры!S$81)</f>
        <v>248408.76710164454</v>
      </c>
      <c r="T238" s="148">
        <f ca="1">(T$17+T$19+T$20) * (1-Параметры!T$81)</f>
        <v>60270.195832383382</v>
      </c>
      <c r="U238" s="148">
        <f ca="1">(U$17+U$19+U$20) * (1-Параметры!U$81)</f>
        <v>44941.991958647515</v>
      </c>
      <c r="V238" s="148">
        <f ca="1">(V$17+V$19+V$20) * (1-Параметры!V$81)</f>
        <v>77826.39046267161</v>
      </c>
      <c r="W238" s="148">
        <f ca="1">(W$17+W$19+W$20) * (1-Параметры!W$81)</f>
        <v>281608.07623941806</v>
      </c>
      <c r="X238" s="148">
        <f ca="1">(X$17+X$19+X$20) * (1-Параметры!X$81)</f>
        <v>82382.479141659685</v>
      </c>
      <c r="Y238" s="148">
        <f ca="1">(Y$17+Y$19+Y$20) * (1-Параметры!Y$81)</f>
        <v>50855.164278575248</v>
      </c>
      <c r="Z238" s="148">
        <f ca="1">(Z$17+Z$19+Z$20) * (1-Параметры!Z$81)</f>
        <v>85692.660975830251</v>
      </c>
      <c r="AA238" s="148">
        <f ca="1">(AA$17+AA$19+AA$20) * (1-Параметры!AA$81)</f>
        <v>301680.98920831084</v>
      </c>
      <c r="AB238" s="148">
        <f ca="1">(AB$17+AB$19+AB$20) * (1-Параметры!AB$81)</f>
        <v>90481.300320903072</v>
      </c>
      <c r="AC238" s="148">
        <f ca="1">(AC$17+AC$19+AC$20) * (1-Параметры!AC$81)</f>
        <v>65206.200819145888</v>
      </c>
      <c r="AD238" s="148">
        <f ca="1">(AD$17+AD$19+AD$20) * (1-Параметры!AD$81)</f>
        <v>102232.59138393198</v>
      </c>
      <c r="AE238" s="148">
        <f ca="1">(AE$17+AE$19+AE$20) * (1-Параметры!AE$81)</f>
        <v>331280.31086390279</v>
      </c>
      <c r="AF238" s="148">
        <f ca="1">(AF$17+AF$19+AF$20) * (1-Параметры!AF$81)</f>
        <v>107510.200924851</v>
      </c>
      <c r="AG238" s="148">
        <f ca="1">(AG$17+AG$19+AG$20) * (1-Параметры!AG$81)</f>
        <v>75651.530182767659</v>
      </c>
      <c r="AH238" s="148">
        <f ca="1">(AH$17+AH$19+AH$20) * (1-Параметры!AH$81)</f>
        <v>114928.20140668884</v>
      </c>
      <c r="AI238" s="148">
        <f ca="1">(AI$17+AI$19+AI$20) * (1-Параметры!AI$81)</f>
        <v>357747.90237937449</v>
      </c>
      <c r="AJ238" s="148">
        <f ca="1">(AJ$17+AJ$19+AJ$20) * (1-Параметры!AJ$81)</f>
        <v>120581.13144570211</v>
      </c>
      <c r="AK238" s="148">
        <f ca="1">(AK$17+AK$19+AK$20) * (1-Параметры!AK$81)</f>
        <v>83722.188778124895</v>
      </c>
      <c r="AL238" s="148">
        <f ca="1">(AL$17+AL$19+AL$20) * (1-Параметры!AL$81)</f>
        <v>125340.11555779865</v>
      </c>
      <c r="AM238" s="148">
        <f ca="1">(AM$17+AM$19+AM$20) * (1-Параметры!AM$81)</f>
        <v>382713.42870513618</v>
      </c>
      <c r="AN238" s="148">
        <f ca="1">(AN$17+AN$19+AN$20) * (1-Параметры!AN$81)</f>
        <v>131300.85316165583</v>
      </c>
      <c r="AO238" s="148">
        <f ca="1">(AO$17+AO$19+AO$20) * (1-Параметры!AO$81)</f>
        <v>92869.355770273105</v>
      </c>
      <c r="AP238" s="148">
        <f ca="1">(AP$17+AP$19+AP$20) * (1-Параметры!AP$81)</f>
        <v>136977.70430149607</v>
      </c>
      <c r="AQ238" s="148">
        <f ca="1">(AQ$17+AQ$19+AQ$20) * (1-Параметры!AQ$81)</f>
        <v>479080.91474479449</v>
      </c>
      <c r="AR238" s="148">
        <f ca="1">(AR$17+AR$19+AR$20) * (1-Параметры!AR$81)</f>
        <v>212576.73410545813</v>
      </c>
      <c r="AS238" s="148">
        <f ca="1">(AS$17+AS$19+AS$20) * (1-Параметры!AS$81)</f>
        <v>145686.83895247991</v>
      </c>
      <c r="AT238" s="148">
        <f ca="1">(AT$17+AT$19+AT$20) * (1-Параметры!AT$81)</f>
        <v>192050.97943010277</v>
      </c>
      <c r="AU238" s="148">
        <f ca="1">(AU$17+AU$19+AU$20) * (1-Параметры!AU$81)</f>
        <v>487064.2268566931</v>
      </c>
      <c r="AV238" s="148">
        <f ca="1">(AV$17+AV$19+AV$20) * (1-Параметры!AV$81)</f>
        <v>204167.53587886802</v>
      </c>
      <c r="AX238" s="171">
        <f ca="1">SUM(G238:AW238)</f>
        <v>5658158.8991428185</v>
      </c>
    </row>
    <row r="239" spans="1:50" s="98" customFormat="1" x14ac:dyDescent="0.2">
      <c r="A239" s="92" t="str">
        <f ca="1">Language!A1323</f>
        <v>Денежный поток для расчета эффективности</v>
      </c>
      <c r="B239" s="271"/>
      <c r="C239" s="272" t="str">
        <f ca="1">Параметры!$C$64</f>
        <v>тыс. руб.</v>
      </c>
      <c r="D239" s="273"/>
      <c r="E239" s="273"/>
      <c r="F239" s="273" t="s">
        <v>753</v>
      </c>
      <c r="G239" s="212">
        <f ca="1">G227+IF(Параметры!$B$134=1,G236,0)+IF(Параметры!$B$135=1,G237,0)</f>
        <v>-796792.20428188285</v>
      </c>
      <c r="H239" s="212">
        <f ca="1">H227+IF(Параметры!$B$134=1,H236,0)+IF(Параметры!$B$135=1,H237,0)</f>
        <v>-7165.6847785357386</v>
      </c>
      <c r="I239" s="212">
        <f ca="1">I227+IF(Параметры!$B$134=1,I236,0)+IF(Параметры!$B$135=1,I237,0)</f>
        <v>47415.840987251679</v>
      </c>
      <c r="J239" s="212">
        <f ca="1">J227+IF(Параметры!$B$134=1,J236,0)+IF(Параметры!$B$135=1,J237,0)</f>
        <v>59092.585322022802</v>
      </c>
      <c r="K239" s="212">
        <f ca="1">K227+IF(Параметры!$B$134=1,K236,0)+IF(Параметры!$B$135=1,K237,0)</f>
        <v>148524.99262800685</v>
      </c>
      <c r="L239" s="212">
        <f ca="1">L227+IF(Параметры!$B$134=1,L236,0)+IF(Параметры!$B$135=1,L237,0)</f>
        <v>126042.37360842898</v>
      </c>
      <c r="M239" s="212">
        <f ca="1">M227+IF(Параметры!$B$134=1,M236,0)+IF(Параметры!$B$135=1,M237,0)</f>
        <v>40113.155241384236</v>
      </c>
      <c r="N239" s="212">
        <f ca="1">N227+IF(Параметры!$B$134=1,N236,0)+IF(Параметры!$B$135=1,N237,0)</f>
        <v>83065.393729424628</v>
      </c>
      <c r="O239" s="212">
        <f ca="1">O227+IF(Параметры!$B$134=1,O236,0)+IF(Параметры!$B$135=1,O237,0)</f>
        <v>202696.47973432834</v>
      </c>
      <c r="P239" s="212">
        <f ca="1">P227+IF(Параметры!$B$134=1,P236,0)+IF(Параметры!$B$135=1,P237,0)</f>
        <v>176274.03803665275</v>
      </c>
      <c r="Q239" s="212">
        <f ca="1">Q227+IF(Параметры!$B$134=1,Q236,0)+IF(Параметры!$B$135=1,Q237,0)</f>
        <v>86326.080973896751</v>
      </c>
      <c r="R239" s="212">
        <f ca="1">R227+IF(Параметры!$B$134=1,R236,0)+IF(Параметры!$B$135=1,R237,0)</f>
        <v>126278.02048817964</v>
      </c>
      <c r="S239" s="212">
        <f ca="1">S227+IF(Параметры!$B$134=1,S236,0)+IF(Параметры!$B$135=1,S237,0)</f>
        <v>242135.5356075241</v>
      </c>
      <c r="T239" s="212">
        <f ca="1">T227+IF(Параметры!$B$134=1,T236,0)+IF(Параметры!$B$135=1,T237,0)</f>
        <v>202846.76050562898</v>
      </c>
      <c r="U239" s="212">
        <f ca="1">U227+IF(Параметры!$B$134=1,U236,0)+IF(Параметры!$B$135=1,U237,0)</f>
        <v>52867.887659887085</v>
      </c>
      <c r="V239" s="212">
        <f ca="1">V227+IF(Параметры!$B$134=1,V236,0)+IF(Параметры!$B$135=1,V237,0)</f>
        <v>67395.65232337208</v>
      </c>
      <c r="W239" s="212">
        <f ca="1">W227+IF(Параметры!$B$134=1,W236,0)+IF(Параметры!$B$135=1,W237,0)</f>
        <v>100834.41784551216</v>
      </c>
      <c r="X239" s="212">
        <f ca="1">X227+IF(Параметры!$B$134=1,X236,0)+IF(Параметры!$B$135=1,X237,0)</f>
        <v>87565.047362625628</v>
      </c>
      <c r="Y239" s="212">
        <f ca="1">Y227+IF(Параметры!$B$134=1,Y236,0)+IF(Параметры!$B$135=1,Y237,0)</f>
        <v>54705.976194467468</v>
      </c>
      <c r="Z239" s="212">
        <f ca="1">Z227+IF(Параметры!$B$134=1,Z236,0)+IF(Параметры!$B$135=1,Z237,0)</f>
        <v>64953.316607535598</v>
      </c>
      <c r="AA239" s="212">
        <f ca="1">AA227+IF(Параметры!$B$134=1,AA236,0)+IF(Параметры!$B$135=1,AA237,0)</f>
        <v>100325.68283502309</v>
      </c>
      <c r="AB239" s="212">
        <f ca="1">AB227+IF(Параметры!$B$134=1,AB236,0)+IF(Параметры!$B$135=1,AB237,0)</f>
        <v>86186.641176546051</v>
      </c>
      <c r="AC239" s="212">
        <f ca="1">AC227+IF(Параметры!$B$134=1,AC236,0)+IF(Параметры!$B$135=1,AC237,0)</f>
        <v>52786.614878775596</v>
      </c>
      <c r="AD239" s="212">
        <f ca="1">AD227+IF(Параметры!$B$134=1,AD236,0)+IF(Параметры!$B$135=1,AD237,0)</f>
        <v>64325.024966892612</v>
      </c>
      <c r="AE239" s="212">
        <f ca="1">AE227+IF(Параметры!$B$134=1,AE236,0)+IF(Параметры!$B$135=1,AE237,0)</f>
        <v>101716.62876253831</v>
      </c>
      <c r="AF239" s="212">
        <f ca="1">AF227+IF(Параметры!$B$134=1,AF236,0)+IF(Параметры!$B$135=1,AF237,0)</f>
        <v>86624.162740368833</v>
      </c>
      <c r="AG239" s="212">
        <f ca="1">AG227+IF(Параметры!$B$134=1,AG236,0)+IF(Параметры!$B$135=1,AG237,0)</f>
        <v>50375.933477960556</v>
      </c>
      <c r="AH239" s="212">
        <f ca="1">AH227+IF(Параметры!$B$134=1,AH236,0)+IF(Параметры!$B$135=1,AH237,0)</f>
        <v>61803.40594345874</v>
      </c>
      <c r="AI239" s="212">
        <f ca="1">AI227+IF(Параметры!$B$134=1,AI236,0)+IF(Параметры!$B$135=1,AI237,0)</f>
        <v>101344.39429239446</v>
      </c>
      <c r="AJ239" s="212">
        <f ca="1">AJ227+IF(Параметры!$B$134=1,AJ236,0)+IF(Параметры!$B$135=1,AJ237,0)</f>
        <v>85250.881627711933</v>
      </c>
      <c r="AK239" s="212">
        <f ca="1">AK227+IF(Параметры!$B$134=1,AK236,0)+IF(Параметры!$B$135=1,AK237,0)</f>
        <v>46195.276326964333</v>
      </c>
      <c r="AL239" s="212">
        <f ca="1">AL227+IF(Параметры!$B$134=1,AL236,0)+IF(Параметры!$B$135=1,AL237,0)</f>
        <v>57883.359899564966</v>
      </c>
      <c r="AM239" s="212">
        <f ca="1">AM227+IF(Параметры!$B$134=1,AM236,0)+IF(Параметры!$B$135=1,AM237,0)</f>
        <v>317282.55496131931</v>
      </c>
      <c r="AN239" s="212">
        <f ca="1">AN227+IF(Параметры!$B$134=1,AN236,0)+IF(Параметры!$B$135=1,AN237,0)</f>
        <v>304389.31270437461</v>
      </c>
      <c r="AO239" s="212">
        <f ca="1">AO227+IF(Параметры!$B$134=1,AO236,0)+IF(Параметры!$B$135=1,AO237,0)</f>
        <v>163869.81099400215</v>
      </c>
      <c r="AP239" s="212">
        <f ca="1">AP227+IF(Параметры!$B$134=1,AP236,0)+IF(Параметры!$B$135=1,AP237,0)</f>
        <v>212828.56480315898</v>
      </c>
      <c r="AQ239" s="212">
        <f ca="1">AQ227+IF(Параметры!$B$134=1,AQ236,0)+IF(Параметры!$B$135=1,AQ237,0)</f>
        <v>377540.30579911149</v>
      </c>
      <c r="AR239" s="212">
        <f ca="1">AR227+IF(Параметры!$B$134=1,AR236,0)+IF(Параметры!$B$135=1,AR237,0)</f>
        <v>322179.43428775296</v>
      </c>
      <c r="AS239" s="212">
        <f ca="1">AS227+IF(Параметры!$B$134=1,AS236,0)+IF(Параметры!$B$135=1,AS237,0)</f>
        <v>155243.8034234533</v>
      </c>
      <c r="AT239" s="212">
        <f ca="1">AT227+IF(Параметры!$B$134=1,AT236,0)+IF(Параметры!$B$135=1,AT237,0)</f>
        <v>198701.68774011367</v>
      </c>
      <c r="AU239" s="212">
        <f ca="1">AU227+IF(Параметры!$B$134=1,AU236,0)+IF(Параметры!$B$135=1,AU237,0)</f>
        <v>372901.45675774344</v>
      </c>
      <c r="AV239" s="212">
        <f ca="1">AV227+IF(Параметры!$B$134=1,AV236,0)+IF(Параметры!$B$135=1,AV237,0)</f>
        <v>313818.46509628498</v>
      </c>
      <c r="AX239" s="143">
        <f ca="1">SUM(G239:AW239)</f>
        <v>4798749.0692912247</v>
      </c>
    </row>
    <row r="240" spans="1:50" x14ac:dyDescent="0.2">
      <c r="A240" s="65" t="str">
        <f ca="1">Language!A1324</f>
        <v>Дисконтированный денежный поток</v>
      </c>
      <c r="B240" s="215"/>
      <c r="C240" s="130" t="str">
        <f ca="1">Параметры!$C$64</f>
        <v>тыс. руб.</v>
      </c>
      <c r="D240" s="57"/>
      <c r="E240" s="57"/>
      <c r="F240" s="57" t="s">
        <v>753</v>
      </c>
      <c r="G240" s="148">
        <f ca="1">G239/G226</f>
        <v>-796792.20428188285</v>
      </c>
      <c r="H240" s="148">
        <f t="shared" ref="H240:K240" ca="1" si="842">H239/H226</f>
        <v>-6846.4018728605151</v>
      </c>
      <c r="I240" s="148">
        <f t="shared" ca="1" si="842"/>
        <v>43284.542819659611</v>
      </c>
      <c r="J240" s="148">
        <f t="shared" ca="1" si="842"/>
        <v>51540.313562962678</v>
      </c>
      <c r="K240" s="148">
        <f t="shared" ca="1" si="842"/>
        <v>123770.82719000569</v>
      </c>
      <c r="L240" s="148">
        <f t="shared" ref="L240:M240" ca="1" si="843">L239/L226</f>
        <v>100355.23114708613</v>
      </c>
      <c r="M240" s="148">
        <f t="shared" ca="1" si="843"/>
        <v>30515.111081128784</v>
      </c>
      <c r="N240" s="148">
        <f t="shared" ref="N240:O240" ca="1" si="844">N239/N226</f>
        <v>60374.416628233637</v>
      </c>
      <c r="O240" s="148">
        <f t="shared" ca="1" si="844"/>
        <v>140761.44425995016</v>
      </c>
      <c r="P240" s="148">
        <f t="shared" ref="P240:Q240" ca="1" si="845">P239/P226</f>
        <v>116958.16603810983</v>
      </c>
      <c r="Q240" s="148">
        <f t="shared" ca="1" si="845"/>
        <v>54725.395660209208</v>
      </c>
      <c r="R240" s="148">
        <f t="shared" ref="R240:S240" ca="1" si="846">R239/R226</f>
        <v>76485.540263776013</v>
      </c>
      <c r="S240" s="148">
        <f t="shared" ca="1" si="846"/>
        <v>140124.73125435409</v>
      </c>
      <c r="T240" s="148">
        <f t="shared" ref="T240:U240" ca="1" si="847">T239/T226</f>
        <v>112157.68243466924</v>
      </c>
      <c r="U240" s="148">
        <f t="shared" ca="1" si="847"/>
        <v>27929.142205795852</v>
      </c>
      <c r="V240" s="148">
        <f t="shared" ref="V240:W240" ca="1" si="848">V239/V226</f>
        <v>34017.485514995351</v>
      </c>
      <c r="W240" s="148">
        <f t="shared" ca="1" si="848"/>
        <v>48627.709223337217</v>
      </c>
      <c r="X240" s="148">
        <f t="shared" ref="X240:Y240" ca="1" si="849">X239/X226</f>
        <v>40346.929664185263</v>
      </c>
      <c r="Y240" s="148">
        <f t="shared" ca="1" si="849"/>
        <v>24083.475752355338</v>
      </c>
      <c r="Z240" s="148">
        <f t="shared" ref="Z240:AA240" ca="1" si="850">Z239/Z226</f>
        <v>27320.611328730833</v>
      </c>
      <c r="AA240" s="148">
        <f t="shared" ca="1" si="850"/>
        <v>40318.641828632564</v>
      </c>
      <c r="AB240" s="148">
        <f t="shared" ref="AB240:AC240" ca="1" si="851">AB239/AB226</f>
        <v>33093.173344439187</v>
      </c>
      <c r="AC240" s="148">
        <f t="shared" ca="1" si="851"/>
        <v>19365.421719234386</v>
      </c>
      <c r="AD240" s="148">
        <f t="shared" ref="AD240:AE240" ca="1" si="852">AD239/AD226</f>
        <v>22546.949840529698</v>
      </c>
      <c r="AE240" s="148">
        <f t="shared" ca="1" si="852"/>
        <v>34064.693167323792</v>
      </c>
      <c r="AF240" s="148">
        <f t="shared" ref="AF240:AG240" ca="1" si="853">AF239/AF226</f>
        <v>27717.640791452115</v>
      </c>
      <c r="AG240" s="148">
        <f t="shared" ca="1" si="853"/>
        <v>15400.861224339353</v>
      </c>
      <c r="AH240" s="148">
        <f t="shared" ref="AH240:AI240" ca="1" si="854">AH239/AH226</f>
        <v>18052.568375712082</v>
      </c>
      <c r="AI240" s="148">
        <f t="shared" ca="1" si="854"/>
        <v>28283.360497018261</v>
      </c>
      <c r="AJ240" s="148">
        <f t="shared" ref="AJ240:AK240" ca="1" si="855">AJ239/AJ226</f>
        <v>22731.853324360553</v>
      </c>
      <c r="AK240" s="148">
        <f t="shared" ca="1" si="855"/>
        <v>11768.963716289316</v>
      </c>
      <c r="AL240" s="148">
        <f t="shared" ref="AL240:AM240" ca="1" si="856">AL239/AL226</f>
        <v>14089.613353440162</v>
      </c>
      <c r="AM240" s="148">
        <f t="shared" ca="1" si="856"/>
        <v>73789.781730922492</v>
      </c>
      <c r="AN240" s="148">
        <f t="shared" ref="AN240:AO240" ca="1" si="857">AN239/AN226</f>
        <v>67636.966306453018</v>
      </c>
      <c r="AO240" s="148">
        <f t="shared" ca="1" si="857"/>
        <v>34790.315033752377</v>
      </c>
      <c r="AP240" s="148">
        <f t="shared" ref="AP240:AQ240" ca="1" si="858">AP239/AP226</f>
        <v>43171.18935170045</v>
      </c>
      <c r="AQ240" s="148">
        <f t="shared" ca="1" si="858"/>
        <v>73169.840582995152</v>
      </c>
      <c r="AR240" s="148">
        <f t="shared" ref="AR240:AS240" ca="1" si="859">AR239/AR226</f>
        <v>59658.357001068187</v>
      </c>
      <c r="AS240" s="148">
        <f t="shared" ca="1" si="859"/>
        <v>27465.811606678151</v>
      </c>
      <c r="AT240" s="148">
        <f t="shared" ref="AT240:AU240" ca="1" si="860">AT239/AT226</f>
        <v>33588.020299596137</v>
      </c>
      <c r="AU240" s="148">
        <f t="shared" ca="1" si="860"/>
        <v>60225.667134131785</v>
      </c>
      <c r="AV240" s="148">
        <f t="shared" ref="AV240" ca="1" si="861">AV239/AV226</f>
        <v>48425.121820780289</v>
      </c>
      <c r="AX240" s="171">
        <f ca="1">SUM(G240:AW240)</f>
        <v>1259094.9619256512</v>
      </c>
    </row>
    <row r="241" spans="1:50" x14ac:dyDescent="0.2">
      <c r="A241" s="65" t="str">
        <f ca="1">Language!A1325</f>
        <v>Дисконтированный поток нарастающим итогом</v>
      </c>
      <c r="B241" s="215"/>
      <c r="C241" s="130" t="str">
        <f ca="1">Параметры!$C$64</f>
        <v>тыс. руб.</v>
      </c>
      <c r="D241" s="57"/>
      <c r="E241" s="57"/>
      <c r="F241" s="57" t="s">
        <v>754</v>
      </c>
      <c r="G241" s="148">
        <f t="shared" ref="G241" ca="1" si="862">G240 + IF(G$2&gt;1, F241)</f>
        <v>-796792.20428188285</v>
      </c>
      <c r="H241" s="148">
        <f t="shared" ref="H241" ca="1" si="863">H240 + IF(H$2&gt;1, G241)</f>
        <v>-803638.60615474335</v>
      </c>
      <c r="I241" s="148">
        <f t="shared" ref="I241" ca="1" si="864">I240 + IF(I$2&gt;1, H241)</f>
        <v>-760354.06333508377</v>
      </c>
      <c r="J241" s="148">
        <f t="shared" ref="J241" ca="1" si="865">J240 + IF(J$2&gt;1, I241)</f>
        <v>-708813.74977212108</v>
      </c>
      <c r="K241" s="148">
        <f t="shared" ref="K241:AV241" ca="1" si="866">K240 + IF(K$2&gt;1, J241)</f>
        <v>-585042.9225821154</v>
      </c>
      <c r="L241" s="148">
        <f t="shared" ca="1" si="866"/>
        <v>-484687.69143502926</v>
      </c>
      <c r="M241" s="148">
        <f t="shared" ca="1" si="866"/>
        <v>-454172.5803539005</v>
      </c>
      <c r="N241" s="148">
        <f t="shared" ca="1" si="866"/>
        <v>-393798.16372566688</v>
      </c>
      <c r="O241" s="148">
        <f t="shared" ca="1" si="866"/>
        <v>-253036.71946571671</v>
      </c>
      <c r="P241" s="148">
        <f t="shared" ca="1" si="866"/>
        <v>-136078.55342760688</v>
      </c>
      <c r="Q241" s="148">
        <f t="shared" ca="1" si="866"/>
        <v>-81353.157767397672</v>
      </c>
      <c r="R241" s="148">
        <f t="shared" ca="1" si="866"/>
        <v>-4867.6175036216591</v>
      </c>
      <c r="S241" s="148">
        <f t="shared" ca="1" si="866"/>
        <v>135257.11375073245</v>
      </c>
      <c r="T241" s="148">
        <f t="shared" ca="1" si="866"/>
        <v>247414.79618540168</v>
      </c>
      <c r="U241" s="148">
        <f t="shared" ca="1" si="866"/>
        <v>275343.93839119753</v>
      </c>
      <c r="V241" s="148">
        <f t="shared" ca="1" si="866"/>
        <v>309361.42390619288</v>
      </c>
      <c r="W241" s="148">
        <f t="shared" ca="1" si="866"/>
        <v>357989.13312953012</v>
      </c>
      <c r="X241" s="148">
        <f t="shared" ca="1" si="866"/>
        <v>398336.06279371539</v>
      </c>
      <c r="Y241" s="148">
        <f t="shared" ca="1" si="866"/>
        <v>422419.53854607075</v>
      </c>
      <c r="Z241" s="148">
        <f t="shared" ca="1" si="866"/>
        <v>449740.14987480157</v>
      </c>
      <c r="AA241" s="148">
        <f t="shared" ca="1" si="866"/>
        <v>490058.79170343414</v>
      </c>
      <c r="AB241" s="148">
        <f t="shared" ca="1" si="866"/>
        <v>523151.96504787332</v>
      </c>
      <c r="AC241" s="148">
        <f t="shared" ca="1" si="866"/>
        <v>542517.38676710776</v>
      </c>
      <c r="AD241" s="148">
        <f t="shared" ca="1" si="866"/>
        <v>565064.33660763747</v>
      </c>
      <c r="AE241" s="148">
        <f t="shared" ca="1" si="866"/>
        <v>599129.02977496129</v>
      </c>
      <c r="AF241" s="148">
        <f t="shared" ca="1" si="866"/>
        <v>626846.67056641344</v>
      </c>
      <c r="AG241" s="148">
        <f t="shared" ca="1" si="866"/>
        <v>642247.53179075278</v>
      </c>
      <c r="AH241" s="148">
        <f t="shared" ca="1" si="866"/>
        <v>660300.10016646481</v>
      </c>
      <c r="AI241" s="148">
        <f t="shared" ca="1" si="866"/>
        <v>688583.46066348301</v>
      </c>
      <c r="AJ241" s="148">
        <f t="shared" ca="1" si="866"/>
        <v>711315.31398784358</v>
      </c>
      <c r="AK241" s="148">
        <f t="shared" ca="1" si="866"/>
        <v>723084.27770413284</v>
      </c>
      <c r="AL241" s="148">
        <f t="shared" ca="1" si="866"/>
        <v>737173.89105757303</v>
      </c>
      <c r="AM241" s="148">
        <f t="shared" ca="1" si="866"/>
        <v>810963.67278849555</v>
      </c>
      <c r="AN241" s="148">
        <f t="shared" ca="1" si="866"/>
        <v>878600.63909494854</v>
      </c>
      <c r="AO241" s="148">
        <f t="shared" ca="1" si="866"/>
        <v>913390.95412870089</v>
      </c>
      <c r="AP241" s="148">
        <f t="shared" ca="1" si="866"/>
        <v>956562.14348040137</v>
      </c>
      <c r="AQ241" s="148">
        <f t="shared" ca="1" si="866"/>
        <v>1029731.9840633965</v>
      </c>
      <c r="AR241" s="148">
        <f t="shared" ca="1" si="866"/>
        <v>1089390.3410644648</v>
      </c>
      <c r="AS241" s="148">
        <f t="shared" ca="1" si="866"/>
        <v>1116856.1526711429</v>
      </c>
      <c r="AT241" s="148">
        <f t="shared" ca="1" si="866"/>
        <v>1150444.1729707392</v>
      </c>
      <c r="AU241" s="148">
        <f t="shared" ca="1" si="866"/>
        <v>1210669.840104871</v>
      </c>
      <c r="AV241" s="148">
        <f t="shared" ca="1" si="866"/>
        <v>1259094.9619256512</v>
      </c>
    </row>
    <row r="242" spans="1:50" x14ac:dyDescent="0.2">
      <c r="A242" s="99"/>
      <c r="B242" s="215"/>
      <c r="D242" s="57"/>
      <c r="E242" s="57"/>
      <c r="F242" s="57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</row>
    <row r="243" spans="1:50" x14ac:dyDescent="0.2">
      <c r="A243" s="92" t="str">
        <f ca="1">Language!A1362</f>
        <v>Чистая приведенная стоимость, NPV</v>
      </c>
      <c r="B243" s="274">
        <f ca="1">AX240</f>
        <v>1259094.9619256512</v>
      </c>
      <c r="C243" s="130" t="str">
        <f ca="1">Параметры!$C$64</f>
        <v>тыс. руб.</v>
      </c>
      <c r="D243" s="57"/>
      <c r="E243" s="57"/>
      <c r="F243" s="57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</row>
    <row r="244" spans="1:50" x14ac:dyDescent="0.2">
      <c r="A244" s="65"/>
      <c r="D244" s="57"/>
      <c r="E244" s="57"/>
      <c r="F244" s="57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</row>
    <row r="245" spans="1:50" collapsed="1" x14ac:dyDescent="0.2">
      <c r="A245" s="92" t="str">
        <f ca="1">Language!A1363</f>
        <v>Внутренняя норма рентабельности, IRR</v>
      </c>
      <c r="B245" s="269">
        <f ca="1">IFERROR(IF(POWER(1+IRR(G248:AW248,B224),360/Параметры!B$21)-1&gt;999%,"-",POWER(1+IRR(G248:AW248,B224),360/Параметры!B$21)-1),"-")</f>
        <v>0.56423889549121919</v>
      </c>
      <c r="C245" s="130" t="s">
        <v>1</v>
      </c>
      <c r="D245" s="57"/>
      <c r="E245" s="57"/>
      <c r="F245" s="57"/>
      <c r="G245" s="170" t="str">
        <f ca="1">Language!A$1333</f>
        <v>(с учетом инфляции, номинальная)</v>
      </c>
    </row>
    <row r="246" spans="1:50" hidden="1" outlineLevel="1" x14ac:dyDescent="0.2">
      <c r="A246" s="65" t="str">
        <f ca="1">Language!A$403</f>
        <v>Темпы роста цен, базовые</v>
      </c>
      <c r="B246" s="38"/>
      <c r="C246" s="130" t="str">
        <f ca="1">Language!A$471</f>
        <v>% в год</v>
      </c>
      <c r="D246" s="57"/>
      <c r="E246" s="57"/>
      <c r="F246" s="57" t="s">
        <v>756</v>
      </c>
      <c r="G246" s="89">
        <f>CHOOSE(Prj_CurReport,Параметры!G$43,Параметры!G$56,Параметры!G$62)</f>
        <v>0.06</v>
      </c>
      <c r="H246" s="89">
        <f>CHOOSE(Prj_CurReport,Параметры!H$43,Параметры!H$56,Параметры!H$62)</f>
        <v>0.06</v>
      </c>
      <c r="I246" s="89">
        <f>CHOOSE(Prj_CurReport,Параметры!I$43,Параметры!I$56,Параметры!I$62)</f>
        <v>0.06</v>
      </c>
      <c r="J246" s="89">
        <f>CHOOSE(Prj_CurReport,Параметры!J$43,Параметры!J$56,Параметры!J$62)</f>
        <v>0.06</v>
      </c>
      <c r="K246" s="89">
        <f>CHOOSE(Prj_CurReport,Параметры!K$43,Параметры!K$56,Параметры!K$62)</f>
        <v>0.06</v>
      </c>
      <c r="L246" s="89">
        <f>CHOOSE(Prj_CurReport,Параметры!L$43,Параметры!L$56,Параметры!L$62)</f>
        <v>0.06</v>
      </c>
      <c r="M246" s="89">
        <f>CHOOSE(Prj_CurReport,Параметры!M$43,Параметры!M$56,Параметры!M$62)</f>
        <v>0.06</v>
      </c>
      <c r="N246" s="89">
        <f>CHOOSE(Prj_CurReport,Параметры!N$43,Параметры!N$56,Параметры!N$62)</f>
        <v>0.06</v>
      </c>
      <c r="O246" s="89">
        <f>CHOOSE(Prj_CurReport,Параметры!O$43,Параметры!O$56,Параметры!O$62)</f>
        <v>0.06</v>
      </c>
      <c r="P246" s="89">
        <f>CHOOSE(Prj_CurReport,Параметры!P$43,Параметры!P$56,Параметры!P$62)</f>
        <v>0.06</v>
      </c>
      <c r="Q246" s="89">
        <f>CHOOSE(Prj_CurReport,Параметры!Q$43,Параметры!Q$56,Параметры!Q$62)</f>
        <v>0.06</v>
      </c>
      <c r="R246" s="89">
        <f>CHOOSE(Prj_CurReport,Параметры!R$43,Параметры!R$56,Параметры!R$62)</f>
        <v>0.06</v>
      </c>
      <c r="S246" s="89">
        <f>CHOOSE(Prj_CurReport,Параметры!S$43,Параметры!S$56,Параметры!S$62)</f>
        <v>0.06</v>
      </c>
      <c r="T246" s="89">
        <f>CHOOSE(Prj_CurReport,Параметры!T$43,Параметры!T$56,Параметры!T$62)</f>
        <v>0.06</v>
      </c>
      <c r="U246" s="89">
        <f>CHOOSE(Prj_CurReport,Параметры!U$43,Параметры!U$56,Параметры!U$62)</f>
        <v>0.06</v>
      </c>
      <c r="V246" s="89">
        <f>CHOOSE(Prj_CurReport,Параметры!V$43,Параметры!V$56,Параметры!V$62)</f>
        <v>0.06</v>
      </c>
      <c r="W246" s="89">
        <f>CHOOSE(Prj_CurReport,Параметры!W$43,Параметры!W$56,Параметры!W$62)</f>
        <v>0.06</v>
      </c>
      <c r="X246" s="89">
        <f>CHOOSE(Prj_CurReport,Параметры!X$43,Параметры!X$56,Параметры!X$62)</f>
        <v>0.06</v>
      </c>
      <c r="Y246" s="89">
        <f>CHOOSE(Prj_CurReport,Параметры!Y$43,Параметры!Y$56,Параметры!Y$62)</f>
        <v>0.06</v>
      </c>
      <c r="Z246" s="89">
        <f>CHOOSE(Prj_CurReport,Параметры!Z$43,Параметры!Z$56,Параметры!Z$62)</f>
        <v>0.06</v>
      </c>
      <c r="AA246" s="89">
        <f>CHOOSE(Prj_CurReport,Параметры!AA$43,Параметры!AA$56,Параметры!AA$62)</f>
        <v>0.06</v>
      </c>
      <c r="AB246" s="89">
        <f>CHOOSE(Prj_CurReport,Параметры!AB$43,Параметры!AB$56,Параметры!AB$62)</f>
        <v>0.06</v>
      </c>
      <c r="AC246" s="89">
        <f>CHOOSE(Prj_CurReport,Параметры!AC$43,Параметры!AC$56,Параметры!AC$62)</f>
        <v>0.06</v>
      </c>
      <c r="AD246" s="89">
        <f>CHOOSE(Prj_CurReport,Параметры!AD$43,Параметры!AD$56,Параметры!AD$62)</f>
        <v>0.06</v>
      </c>
      <c r="AE246" s="89">
        <f>CHOOSE(Prj_CurReport,Параметры!AE$43,Параметры!AE$56,Параметры!AE$62)</f>
        <v>0.06</v>
      </c>
      <c r="AF246" s="89">
        <f>CHOOSE(Prj_CurReport,Параметры!AF$43,Параметры!AF$56,Параметры!AF$62)</f>
        <v>0.06</v>
      </c>
      <c r="AG246" s="89">
        <f>CHOOSE(Prj_CurReport,Параметры!AG$43,Параметры!AG$56,Параметры!AG$62)</f>
        <v>0.06</v>
      </c>
      <c r="AH246" s="89">
        <f>CHOOSE(Prj_CurReport,Параметры!AH$43,Параметры!AH$56,Параметры!AH$62)</f>
        <v>0.06</v>
      </c>
      <c r="AI246" s="89">
        <f>CHOOSE(Prj_CurReport,Параметры!AI$43,Параметры!AI$56,Параметры!AI$62)</f>
        <v>0.06</v>
      </c>
      <c r="AJ246" s="89">
        <f>CHOOSE(Prj_CurReport,Параметры!AJ$43,Параметры!AJ$56,Параметры!AJ$62)</f>
        <v>0.06</v>
      </c>
      <c r="AK246" s="89">
        <f>CHOOSE(Prj_CurReport,Параметры!AK$43,Параметры!AK$56,Параметры!AK$62)</f>
        <v>0.06</v>
      </c>
      <c r="AL246" s="89">
        <f>CHOOSE(Prj_CurReport,Параметры!AL$43,Параметры!AL$56,Параметры!AL$62)</f>
        <v>0.06</v>
      </c>
      <c r="AM246" s="89">
        <f>CHOOSE(Prj_CurReport,Параметры!AM$43,Параметры!AM$56,Параметры!AM$62)</f>
        <v>0.06</v>
      </c>
      <c r="AN246" s="89">
        <f>CHOOSE(Prj_CurReport,Параметры!AN$43,Параметры!AN$56,Параметры!AN$62)</f>
        <v>0.06</v>
      </c>
      <c r="AO246" s="89">
        <f>CHOOSE(Prj_CurReport,Параметры!AO$43,Параметры!AO$56,Параметры!AO$62)</f>
        <v>0.06</v>
      </c>
      <c r="AP246" s="89">
        <f>CHOOSE(Prj_CurReport,Параметры!AP$43,Параметры!AP$56,Параметры!AP$62)</f>
        <v>0.06</v>
      </c>
      <c r="AQ246" s="89">
        <f>CHOOSE(Prj_CurReport,Параметры!AQ$43,Параметры!AQ$56,Параметры!AQ$62)</f>
        <v>0.06</v>
      </c>
      <c r="AR246" s="89">
        <f>CHOOSE(Prj_CurReport,Параметры!AR$43,Параметры!AR$56,Параметры!AR$62)</f>
        <v>0.06</v>
      </c>
      <c r="AS246" s="89">
        <f>CHOOSE(Prj_CurReport,Параметры!AS$43,Параметры!AS$56,Параметры!AS$62)</f>
        <v>0.06</v>
      </c>
      <c r="AT246" s="89">
        <f>CHOOSE(Prj_CurReport,Параметры!AT$43,Параметры!AT$56,Параметры!AT$62)</f>
        <v>0.06</v>
      </c>
      <c r="AU246" s="89">
        <f>CHOOSE(Prj_CurReport,Параметры!AU$43,Параметры!AU$56,Параметры!AU$62)</f>
        <v>0.06</v>
      </c>
      <c r="AV246" s="89">
        <f>CHOOSE(Prj_CurReport,Параметры!AV$43,Параметры!AV$56,Параметры!AV$62)</f>
        <v>0.06</v>
      </c>
    </row>
    <row r="247" spans="1:50" hidden="1" outlineLevel="1" x14ac:dyDescent="0.2">
      <c r="A247" s="99" t="str">
        <f ca="1">Language!A$589</f>
        <v>коэффициент изменения цен к началу проекта</v>
      </c>
      <c r="B247" s="84"/>
      <c r="C247" s="130" t="str">
        <f ca="1">Language!$A$1449</f>
        <v>раз</v>
      </c>
      <c r="D247" s="57"/>
      <c r="E247" s="57"/>
      <c r="F247" s="57" t="s">
        <v>756</v>
      </c>
      <c r="G247" s="75">
        <f ca="1">IF(G$2=1,1,IF(Prj_Inflation=0,POWER(1+OFFSET(G246,0,-1),Параметры!G$30/360),1) * IF(G$2&gt;1, F247, 1))</f>
        <v>1</v>
      </c>
      <c r="H247" s="75">
        <f ca="1">IF(H$2=1,1,IF(Prj_Inflation=0,POWER(1+OFFSET(H246,0,-1),Параметры!H$30/360),1) * IF(H$2&gt;1, G247, 1))</f>
        <v>1</v>
      </c>
      <c r="I247" s="75">
        <f ca="1">IF(I$2=1,1,IF(Prj_Inflation=0,POWER(1+OFFSET(I246,0,-1),Параметры!I$30/360),1) * IF(I$2&gt;1, H247, 1))</f>
        <v>1</v>
      </c>
      <c r="J247" s="75">
        <f ca="1">IF(J$2=1,1,IF(Prj_Inflation=0,POWER(1+OFFSET(J246,0,-1),Параметры!J$30/360),1) * IF(J$2&gt;1, I247, 1))</f>
        <v>1</v>
      </c>
      <c r="K247" s="75">
        <f ca="1">IF(K$2=1,1,IF(Prj_Inflation=0,POWER(1+OFFSET(K246,0,-1),Параметры!K$30/360),1) * IF(K$2&gt;1, J247, 1))</f>
        <v>1</v>
      </c>
      <c r="L247" s="75">
        <f ca="1">IF(L$2=1,1,IF(Prj_Inflation=0,POWER(1+OFFSET(L246,0,-1),Параметры!L$30/360),1) * IF(L$2&gt;1, K247, 1))</f>
        <v>1</v>
      </c>
      <c r="M247" s="75">
        <f ca="1">IF(M$2=1,1,IF(Prj_Inflation=0,POWER(1+OFFSET(M246,0,-1),Параметры!M$30/360),1) * IF(M$2&gt;1, L247, 1))</f>
        <v>1</v>
      </c>
      <c r="N247" s="75">
        <f ca="1">IF(N$2=1,1,IF(Prj_Inflation=0,POWER(1+OFFSET(N246,0,-1),Параметры!N$30/360),1) * IF(N$2&gt;1, M247, 1))</f>
        <v>1</v>
      </c>
      <c r="O247" s="75">
        <f ca="1">IF(O$2=1,1,IF(Prj_Inflation=0,POWER(1+OFFSET(O246,0,-1),Параметры!O$30/360),1) * IF(O$2&gt;1, N247, 1))</f>
        <v>1</v>
      </c>
      <c r="P247" s="75">
        <f ca="1">IF(P$2=1,1,IF(Prj_Inflation=0,POWER(1+OFFSET(P246,0,-1),Параметры!P$30/360),1) * IF(P$2&gt;1, O247, 1))</f>
        <v>1</v>
      </c>
      <c r="Q247" s="75">
        <f ca="1">IF(Q$2=1,1,IF(Prj_Inflation=0,POWER(1+OFFSET(Q246,0,-1),Параметры!Q$30/360),1) * IF(Q$2&gt;1, P247, 1))</f>
        <v>1</v>
      </c>
      <c r="R247" s="75">
        <f ca="1">IF(R$2=1,1,IF(Prj_Inflation=0,POWER(1+OFFSET(R246,0,-1),Параметры!R$30/360),1) * IF(R$2&gt;1, Q247, 1))</f>
        <v>1</v>
      </c>
      <c r="S247" s="75">
        <f ca="1">IF(S$2=1,1,IF(Prj_Inflation=0,POWER(1+OFFSET(S246,0,-1),Параметры!S$30/360),1) * IF(S$2&gt;1, R247, 1))</f>
        <v>1</v>
      </c>
      <c r="T247" s="75">
        <f ca="1">IF(T$2=1,1,IF(Prj_Inflation=0,POWER(1+OFFSET(T246,0,-1),Параметры!T$30/360),1) * IF(T$2&gt;1, S247, 1))</f>
        <v>1</v>
      </c>
      <c r="U247" s="75">
        <f ca="1">IF(U$2=1,1,IF(Prj_Inflation=0,POWER(1+OFFSET(U246,0,-1),Параметры!U$30/360),1) * IF(U$2&gt;1, T247, 1))</f>
        <v>1</v>
      </c>
      <c r="V247" s="75">
        <f ca="1">IF(V$2=1,1,IF(Prj_Inflation=0,POWER(1+OFFSET(V246,0,-1),Параметры!V$30/360),1) * IF(V$2&gt;1, U247, 1))</f>
        <v>1</v>
      </c>
      <c r="W247" s="75">
        <f ca="1">IF(W$2=1,1,IF(Prj_Inflation=0,POWER(1+OFFSET(W246,0,-1),Параметры!W$30/360),1) * IF(W$2&gt;1, V247, 1))</f>
        <v>1</v>
      </c>
      <c r="X247" s="75">
        <f ca="1">IF(X$2=1,1,IF(Prj_Inflation=0,POWER(1+OFFSET(X246,0,-1),Параметры!X$30/360),1) * IF(X$2&gt;1, W247, 1))</f>
        <v>1</v>
      </c>
      <c r="Y247" s="75">
        <f ca="1">IF(Y$2=1,1,IF(Prj_Inflation=0,POWER(1+OFFSET(Y246,0,-1),Параметры!Y$30/360),1) * IF(Y$2&gt;1, X247, 1))</f>
        <v>1</v>
      </c>
      <c r="Z247" s="75">
        <f ca="1">IF(Z$2=1,1,IF(Prj_Inflation=0,POWER(1+OFFSET(Z246,0,-1),Параметры!Z$30/360),1) * IF(Z$2&gt;1, Y247, 1))</f>
        <v>1</v>
      </c>
      <c r="AA247" s="75">
        <f ca="1">IF(AA$2=1,1,IF(Prj_Inflation=0,POWER(1+OFFSET(AA246,0,-1),Параметры!AA$30/360),1) * IF(AA$2&gt;1, Z247, 1))</f>
        <v>1</v>
      </c>
      <c r="AB247" s="75">
        <f ca="1">IF(AB$2=1,1,IF(Prj_Inflation=0,POWER(1+OFFSET(AB246,0,-1),Параметры!AB$30/360),1) * IF(AB$2&gt;1, AA247, 1))</f>
        <v>1</v>
      </c>
      <c r="AC247" s="75">
        <f ca="1">IF(AC$2=1,1,IF(Prj_Inflation=0,POWER(1+OFFSET(AC246,0,-1),Параметры!AC$30/360),1) * IF(AC$2&gt;1, AB247, 1))</f>
        <v>1</v>
      </c>
      <c r="AD247" s="75">
        <f ca="1">IF(AD$2=1,1,IF(Prj_Inflation=0,POWER(1+OFFSET(AD246,0,-1),Параметры!AD$30/360),1) * IF(AD$2&gt;1, AC247, 1))</f>
        <v>1</v>
      </c>
      <c r="AE247" s="75">
        <f ca="1">IF(AE$2=1,1,IF(Prj_Inflation=0,POWER(1+OFFSET(AE246,0,-1),Параметры!AE$30/360),1) * IF(AE$2&gt;1, AD247, 1))</f>
        <v>1</v>
      </c>
      <c r="AF247" s="75">
        <f ca="1">IF(AF$2=1,1,IF(Prj_Inflation=0,POWER(1+OFFSET(AF246,0,-1),Параметры!AF$30/360),1) * IF(AF$2&gt;1, AE247, 1))</f>
        <v>1</v>
      </c>
      <c r="AG247" s="75">
        <f ca="1">IF(AG$2=1,1,IF(Prj_Inflation=0,POWER(1+OFFSET(AG246,0,-1),Параметры!AG$30/360),1) * IF(AG$2&gt;1, AF247, 1))</f>
        <v>1</v>
      </c>
      <c r="AH247" s="75">
        <f ca="1">IF(AH$2=1,1,IF(Prj_Inflation=0,POWER(1+OFFSET(AH246,0,-1),Параметры!AH$30/360),1) * IF(AH$2&gt;1, AG247, 1))</f>
        <v>1</v>
      </c>
      <c r="AI247" s="75">
        <f ca="1">IF(AI$2=1,1,IF(Prj_Inflation=0,POWER(1+OFFSET(AI246,0,-1),Параметры!AI$30/360),1) * IF(AI$2&gt;1, AH247, 1))</f>
        <v>1</v>
      </c>
      <c r="AJ247" s="75">
        <f ca="1">IF(AJ$2=1,1,IF(Prj_Inflation=0,POWER(1+OFFSET(AJ246,0,-1),Параметры!AJ$30/360),1) * IF(AJ$2&gt;1, AI247, 1))</f>
        <v>1</v>
      </c>
      <c r="AK247" s="75">
        <f ca="1">IF(AK$2=1,1,IF(Prj_Inflation=0,POWER(1+OFFSET(AK246,0,-1),Параметры!AK$30/360),1) * IF(AK$2&gt;1, AJ247, 1))</f>
        <v>1</v>
      </c>
      <c r="AL247" s="75">
        <f ca="1">IF(AL$2=1,1,IF(Prj_Inflation=0,POWER(1+OFFSET(AL246,0,-1),Параметры!AL$30/360),1) * IF(AL$2&gt;1, AK247, 1))</f>
        <v>1</v>
      </c>
      <c r="AM247" s="75">
        <f ca="1">IF(AM$2=1,1,IF(Prj_Inflation=0,POWER(1+OFFSET(AM246,0,-1),Параметры!AM$30/360),1) * IF(AM$2&gt;1, AL247, 1))</f>
        <v>1</v>
      </c>
      <c r="AN247" s="75">
        <f ca="1">IF(AN$2=1,1,IF(Prj_Inflation=0,POWER(1+OFFSET(AN246,0,-1),Параметры!AN$30/360),1) * IF(AN$2&gt;1, AM247, 1))</f>
        <v>1</v>
      </c>
      <c r="AO247" s="75">
        <f ca="1">IF(AO$2=1,1,IF(Prj_Inflation=0,POWER(1+OFFSET(AO246,0,-1),Параметры!AO$30/360),1) * IF(AO$2&gt;1, AN247, 1))</f>
        <v>1</v>
      </c>
      <c r="AP247" s="75">
        <f ca="1">IF(AP$2=1,1,IF(Prj_Inflation=0,POWER(1+OFFSET(AP246,0,-1),Параметры!AP$30/360),1) * IF(AP$2&gt;1, AO247, 1))</f>
        <v>1</v>
      </c>
      <c r="AQ247" s="75">
        <f ca="1">IF(AQ$2=1,1,IF(Prj_Inflation=0,POWER(1+OFFSET(AQ246,0,-1),Параметры!AQ$30/360),1) * IF(AQ$2&gt;1, AP247, 1))</f>
        <v>1</v>
      </c>
      <c r="AR247" s="75">
        <f ca="1">IF(AR$2=1,1,IF(Prj_Inflation=0,POWER(1+OFFSET(AR246,0,-1),Параметры!AR$30/360),1) * IF(AR$2&gt;1, AQ247, 1))</f>
        <v>1</v>
      </c>
      <c r="AS247" s="75">
        <f ca="1">IF(AS$2=1,1,IF(Prj_Inflation=0,POWER(1+OFFSET(AS246,0,-1),Параметры!AS$30/360),1) * IF(AS$2&gt;1, AR247, 1))</f>
        <v>1</v>
      </c>
      <c r="AT247" s="75">
        <f ca="1">IF(AT$2=1,1,IF(Prj_Inflation=0,POWER(1+OFFSET(AT246,0,-1),Параметры!AT$30/360),1) * IF(AT$2&gt;1, AS247, 1))</f>
        <v>1</v>
      </c>
      <c r="AU247" s="75">
        <f ca="1">IF(AU$2=1,1,IF(Prj_Inflation=0,POWER(1+OFFSET(AU246,0,-1),Параметры!AU$30/360),1) * IF(AU$2&gt;1, AT247, 1))</f>
        <v>1</v>
      </c>
      <c r="AV247" s="75">
        <f ca="1">IF(AV$2=1,1,IF(Prj_Inflation=0,POWER(1+OFFSET(AV246,0,-1),Параметры!AV$30/360),1) * IF(AV$2&gt;1, AU247, 1))</f>
        <v>1</v>
      </c>
    </row>
    <row r="248" spans="1:50" hidden="1" outlineLevel="1" x14ac:dyDescent="0.2">
      <c r="A248" s="65" t="str">
        <f ca="1">Language!A$1323</f>
        <v>Денежный поток для расчета эффективности</v>
      </c>
      <c r="B248" s="269"/>
      <c r="C248" s="130" t="str">
        <f ca="1">Параметры!$C$64</f>
        <v>тыс. руб.</v>
      </c>
      <c r="D248" s="57"/>
      <c r="E248" s="57"/>
      <c r="F248" s="57" t="s">
        <v>753</v>
      </c>
      <c r="G248" s="148">
        <f ca="1">G239*G247</f>
        <v>-796792.20428188285</v>
      </c>
      <c r="H248" s="148">
        <f t="shared" ref="H248" ca="1" si="867">H239*H247</f>
        <v>-7165.6847785357386</v>
      </c>
      <c r="I248" s="148">
        <f t="shared" ref="I248" ca="1" si="868">I239*I247</f>
        <v>47415.840987251679</v>
      </c>
      <c r="J248" s="148">
        <f t="shared" ref="J248" ca="1" si="869">J239*J247</f>
        <v>59092.585322022802</v>
      </c>
      <c r="K248" s="148">
        <f t="shared" ref="K248:L248" ca="1" si="870">K239*K247</f>
        <v>148524.99262800685</v>
      </c>
      <c r="L248" s="148">
        <f t="shared" ca="1" si="870"/>
        <v>126042.37360842898</v>
      </c>
      <c r="M248" s="148">
        <f t="shared" ref="M248:N248" ca="1" si="871">M239*M247</f>
        <v>40113.155241384236</v>
      </c>
      <c r="N248" s="148">
        <f t="shared" ca="1" si="871"/>
        <v>83065.393729424628</v>
      </c>
      <c r="O248" s="148">
        <f t="shared" ref="O248:P248" ca="1" si="872">O239*O247</f>
        <v>202696.47973432834</v>
      </c>
      <c r="P248" s="148">
        <f t="shared" ca="1" si="872"/>
        <v>176274.03803665275</v>
      </c>
      <c r="Q248" s="148">
        <f t="shared" ref="Q248:R248" ca="1" si="873">Q239*Q247</f>
        <v>86326.080973896751</v>
      </c>
      <c r="R248" s="148">
        <f t="shared" ca="1" si="873"/>
        <v>126278.02048817964</v>
      </c>
      <c r="S248" s="148">
        <f t="shared" ref="S248:T248" ca="1" si="874">S239*S247</f>
        <v>242135.5356075241</v>
      </c>
      <c r="T248" s="148">
        <f t="shared" ca="1" si="874"/>
        <v>202846.76050562898</v>
      </c>
      <c r="U248" s="148">
        <f t="shared" ref="U248:V248" ca="1" si="875">U239*U247</f>
        <v>52867.887659887085</v>
      </c>
      <c r="V248" s="148">
        <f t="shared" ca="1" si="875"/>
        <v>67395.65232337208</v>
      </c>
      <c r="W248" s="148">
        <f t="shared" ref="W248:X248" ca="1" si="876">W239*W247</f>
        <v>100834.41784551216</v>
      </c>
      <c r="X248" s="148">
        <f t="shared" ca="1" si="876"/>
        <v>87565.047362625628</v>
      </c>
      <c r="Y248" s="148">
        <f t="shared" ref="Y248:Z248" ca="1" si="877">Y239*Y247</f>
        <v>54705.976194467468</v>
      </c>
      <c r="Z248" s="148">
        <f t="shared" ca="1" si="877"/>
        <v>64953.316607535598</v>
      </c>
      <c r="AA248" s="148">
        <f t="shared" ref="AA248:AB248" ca="1" si="878">AA239*AA247</f>
        <v>100325.68283502309</v>
      </c>
      <c r="AB248" s="148">
        <f t="shared" ca="1" si="878"/>
        <v>86186.641176546051</v>
      </c>
      <c r="AC248" s="148">
        <f t="shared" ref="AC248:AD248" ca="1" si="879">AC239*AC247</f>
        <v>52786.614878775596</v>
      </c>
      <c r="AD248" s="148">
        <f t="shared" ca="1" si="879"/>
        <v>64325.024966892612</v>
      </c>
      <c r="AE248" s="148">
        <f t="shared" ref="AE248:AF248" ca="1" si="880">AE239*AE247</f>
        <v>101716.62876253831</v>
      </c>
      <c r="AF248" s="148">
        <f t="shared" ca="1" si="880"/>
        <v>86624.162740368833</v>
      </c>
      <c r="AG248" s="148">
        <f t="shared" ref="AG248:AH248" ca="1" si="881">AG239*AG247</f>
        <v>50375.933477960556</v>
      </c>
      <c r="AH248" s="148">
        <f t="shared" ca="1" si="881"/>
        <v>61803.40594345874</v>
      </c>
      <c r="AI248" s="148">
        <f t="shared" ref="AI248:AJ248" ca="1" si="882">AI239*AI247</f>
        <v>101344.39429239446</v>
      </c>
      <c r="AJ248" s="148">
        <f t="shared" ca="1" si="882"/>
        <v>85250.881627711933</v>
      </c>
      <c r="AK248" s="148">
        <f t="shared" ref="AK248:AL248" ca="1" si="883">AK239*AK247</f>
        <v>46195.276326964333</v>
      </c>
      <c r="AL248" s="148">
        <f t="shared" ca="1" si="883"/>
        <v>57883.359899564966</v>
      </c>
      <c r="AM248" s="148">
        <f t="shared" ref="AM248:AN248" ca="1" si="884">AM239*AM247</f>
        <v>317282.55496131931</v>
      </c>
      <c r="AN248" s="148">
        <f t="shared" ca="1" si="884"/>
        <v>304389.31270437461</v>
      </c>
      <c r="AO248" s="148">
        <f t="shared" ref="AO248:AP248" ca="1" si="885">AO239*AO247</f>
        <v>163869.81099400215</v>
      </c>
      <c r="AP248" s="148">
        <f t="shared" ca="1" si="885"/>
        <v>212828.56480315898</v>
      </c>
      <c r="AQ248" s="148">
        <f t="shared" ref="AQ248:AR248" ca="1" si="886">AQ239*AQ247</f>
        <v>377540.30579911149</v>
      </c>
      <c r="AR248" s="148">
        <f t="shared" ca="1" si="886"/>
        <v>322179.43428775296</v>
      </c>
      <c r="AS248" s="148">
        <f t="shared" ref="AS248:AT248" ca="1" si="887">AS239*AS247</f>
        <v>155243.8034234533</v>
      </c>
      <c r="AT248" s="148">
        <f t="shared" ca="1" si="887"/>
        <v>198701.68774011367</v>
      </c>
      <c r="AU248" s="148">
        <f t="shared" ref="AU248:AV248" ca="1" si="888">AU239*AU247</f>
        <v>372901.45675774344</v>
      </c>
      <c r="AV248" s="148">
        <f t="shared" ca="1" si="888"/>
        <v>313818.46509628498</v>
      </c>
      <c r="AX248" s="171">
        <f ca="1">SUM(G248:AW248)</f>
        <v>4798749.0692912247</v>
      </c>
    </row>
    <row r="249" spans="1:50" x14ac:dyDescent="0.2">
      <c r="A249" s="92"/>
      <c r="B249" s="269"/>
      <c r="D249" s="57"/>
      <c r="E249" s="57"/>
      <c r="F249" s="57"/>
      <c r="G249" s="170"/>
    </row>
    <row r="250" spans="1:50" collapsed="1" x14ac:dyDescent="0.2">
      <c r="A250" s="79" t="str">
        <f ca="1">Language!A1364</f>
        <v>Модифицированная IRR, MIRR</v>
      </c>
      <c r="B250" s="275">
        <f ca="1">IFERROR(IF(POWER(1+IRR(G252:AW252,B224),360/Параметры!B$21)-1&gt;999%,"-",POWER(1+IRR(G252:AW252,B224),360/Параметры!B$21)-1),"-")</f>
        <v>0.31559128223573785</v>
      </c>
      <c r="C250" s="130" t="s">
        <v>1</v>
      </c>
      <c r="D250" s="57"/>
      <c r="E250" s="57"/>
      <c r="F250" s="57"/>
      <c r="G250" s="170" t="str">
        <f ca="1">Language!A$1333</f>
        <v>(с учетом инфляции, номинальная)</v>
      </c>
    </row>
    <row r="251" spans="1:50" hidden="1" outlineLevel="1" x14ac:dyDescent="0.2">
      <c r="A251" s="79" t="str">
        <f ca="1">Language!A1323</f>
        <v>Денежный поток для расчета эффективности</v>
      </c>
      <c r="B251" s="275"/>
      <c r="C251" s="130" t="str">
        <f ca="1">Параметры!$C$64</f>
        <v>тыс. руб.</v>
      </c>
      <c r="D251" s="57"/>
      <c r="E251" s="57"/>
      <c r="F251" s="57" t="s">
        <v>753</v>
      </c>
      <c r="G251" s="138">
        <f ca="1">IF(G239&gt;0,G239*G247*Параметры!G141,G239*G247/G226)</f>
        <v>-796792.20428188285</v>
      </c>
      <c r="H251" s="138">
        <f ca="1">IF(H239&gt;0,H239*H247*Параметры!H141,H239*H247/H226)</f>
        <v>-6846.4018728605151</v>
      </c>
      <c r="I251" s="138">
        <f ca="1">IF(I239&gt;0,I239*I247*Параметры!I141,I239*I247/I226)</f>
        <v>280504.9998703571</v>
      </c>
      <c r="J251" s="138">
        <f ca="1">IF(J239&gt;0,J239*J247*Параметры!J141,J239*J247/J226)</f>
        <v>334006.43064504251</v>
      </c>
      <c r="K251" s="138">
        <f ca="1">IF(K239&gt;0,K239*K247*Параметры!K141,K239*K247/K226)</f>
        <v>802095.47342423687</v>
      </c>
      <c r="L251" s="138">
        <f ca="1">IF(L239&gt;0,L239*L247*Параметры!L141,L239*L247/L226)</f>
        <v>650350.96286421677</v>
      </c>
      <c r="M251" s="138">
        <f ca="1">IF(M239&gt;0,M239*M247*Параметры!M141,M239*M247/M226)</f>
        <v>197752.8390566301</v>
      </c>
      <c r="N251" s="138">
        <f ca="1">IF(N239&gt;0,N239*N247*Параметры!N141,N239*N247/N226)</f>
        <v>391255.73762058135</v>
      </c>
      <c r="O251" s="138">
        <f ca="1">IF(O239&gt;0,O239*O247*Параметры!O141,O239*O247/O226)</f>
        <v>912202.97898017848</v>
      </c>
      <c r="P251" s="138">
        <f ca="1">IF(P239&gt;0,P239*P247*Параметры!P141,P239*P247/P226)</f>
        <v>757946.09835768607</v>
      </c>
      <c r="Q251" s="138">
        <f ca="1">IF(Q239&gt;0,Q239*Q247*Параметры!Q141,Q239*Q247/Q226)</f>
        <v>354647.31986495637</v>
      </c>
      <c r="R251" s="138">
        <f ca="1">IF(R239&gt;0,R239*R247*Параметры!R141,R239*R247/R226)</f>
        <v>495663.69572535082</v>
      </c>
      <c r="S251" s="138">
        <f ca="1">IF(S239&gt;0,S239*S247*Параметры!S141,S239*S247/S226)</f>
        <v>908076.76740630786</v>
      </c>
      <c r="T251" s="138">
        <f ca="1">IF(T239&gt;0,T239*T247*Параметры!T141,T239*T247/T226)</f>
        <v>726836.61758596927</v>
      </c>
      <c r="U251" s="138">
        <f ca="1">IF(U239&gt;0,U239*U247*Параметры!U141,U239*U247/U226)</f>
        <v>180994.49642928116</v>
      </c>
      <c r="V251" s="138">
        <f ca="1">IF(V239&gt;0,V239*V247*Параметры!V141,V239*V247/V226)</f>
        <v>220449.93774636064</v>
      </c>
      <c r="W251" s="138">
        <f ca="1">IF(W239&gt;0,W239*W247*Параметры!W141,W239*W247/W226)</f>
        <v>315131.33051257749</v>
      </c>
      <c r="X251" s="138">
        <f ca="1">IF(X239&gt;0,X239*X247*Параметры!X141,X239*X247/X226)</f>
        <v>261467.8303840427</v>
      </c>
      <c r="Y251" s="138">
        <f ca="1">IF(Y239&gt;0,Y239*Y247*Параметры!Y141,Y239*Y247/Y226)</f>
        <v>156072.69761259563</v>
      </c>
      <c r="Z251" s="138">
        <f ca="1">IF(Z239&gt;0,Z239*Z247*Параметры!Z141,Z239*Z247/Z226)</f>
        <v>177050.91882691585</v>
      </c>
      <c r="AA251" s="138">
        <f ca="1">IF(AA239&gt;0,AA239*AA247*Параметры!AA141,AA239*AA247/AA226)</f>
        <v>261284.51137935539</v>
      </c>
      <c r="AB251" s="138">
        <f ca="1">IF(AB239&gt;0,AB239*AB247*Параметры!AB141,AB239*AB247/AB226)</f>
        <v>214459.94297242333</v>
      </c>
      <c r="AC251" s="138">
        <f ca="1">IF(AC239&gt;0,AC239*AC247*Параметры!AC141,AC239*AC247/AC226)</f>
        <v>125497.4007574829</v>
      </c>
      <c r="AD251" s="138">
        <f ca="1">IF(AD239&gt;0,AD239*AD247*Параметры!AD141,AD239*AD247/AD226)</f>
        <v>146115.25847564597</v>
      </c>
      <c r="AE251" s="138">
        <f ca="1">IF(AE239&gt;0,AE239*AE247*Параметры!AE141,AE239*AE247/AE226)</f>
        <v>220755.86641390927</v>
      </c>
      <c r="AF251" s="138">
        <f ca="1">IF(AF239&gt;0,AF239*AF247*Параметры!AF141,AF239*AF247/AF226)</f>
        <v>179623.86385842899</v>
      </c>
      <c r="AG251" s="138">
        <f ca="1">IF(AG239&gt;0,AG239*AG247*Параметры!AG141,AG239*AG247/AG226)</f>
        <v>99805.110423265622</v>
      </c>
      <c r="AH251" s="138">
        <f ca="1">IF(AH239&gt;0,AH239*AH247*Параметры!AH141,AH239*AH247/AH226)</f>
        <v>116989.46921968555</v>
      </c>
      <c r="AI251" s="138">
        <f ca="1">IF(AI239&gt;0,AI239*AI247*Параметры!AI141,AI239*AI247/AI226)</f>
        <v>183290.00413852031</v>
      </c>
      <c r="AJ251" s="138">
        <f ca="1">IF(AJ239&gt;0,AJ239*AJ247*Параметры!AJ141,AJ239*AJ247/AJ226)</f>
        <v>147313.52345268635</v>
      </c>
      <c r="AK251" s="138">
        <f ca="1">IF(AK239&gt;0,AK239*AK247*Параметры!AK141,AK239*AK247/AK226)</f>
        <v>76268.638887241745</v>
      </c>
      <c r="AL251" s="138">
        <f ca="1">IF(AL239&gt;0,AL239*AL247*Параметры!AL141,AL239*AL247/AL226)</f>
        <v>91307.583133003354</v>
      </c>
      <c r="AM251" s="138">
        <f ca="1">IF(AM239&gt;0,AM239*AM247*Параметры!AM141,AM239*AM247/AM226)</f>
        <v>478193.86243961862</v>
      </c>
      <c r="AN251" s="138">
        <f ca="1">IF(AN239&gt;0,AN239*AN247*Параметры!AN141,AN239*AN247/AN226)</f>
        <v>438320.61029429967</v>
      </c>
      <c r="AO251" s="138">
        <f ca="1">IF(AO239&gt;0,AO239*AO247*Параметры!AO141,AO239*AO247/AO226)</f>
        <v>225458.25087472031</v>
      </c>
      <c r="AP251" s="138">
        <f ca="1">IF(AP239&gt;0,AP239*AP247*Параметры!AP141,AP239*AP247/AP226)</f>
        <v>279770.41397793661</v>
      </c>
      <c r="AQ251" s="138">
        <f ca="1">IF(AQ239&gt;0,AQ239*AQ247*Параметры!AQ141,AQ239*AQ247/AQ226)</f>
        <v>474176.3407034296</v>
      </c>
      <c r="AR251" s="138">
        <f ca="1">IF(AR239&gt;0,AR239*AR247*Параметры!AR141,AR239*AR247/AR226)</f>
        <v>386615.32114530361</v>
      </c>
      <c r="AS251" s="138">
        <f ca="1">IF(AS239&gt;0,AS239*AS247*Параметры!AS141,AS239*AS247/AS226)</f>
        <v>177991.88761839611</v>
      </c>
      <c r="AT251" s="138">
        <f ca="1">IF(AT239&gt;0,AT239*AT247*Параметры!AT141,AT239*AT247/AT226)</f>
        <v>217666.79317921598</v>
      </c>
      <c r="AU251" s="138">
        <f ca="1">IF(AU239&gt;0,AU239*AU247*Параметры!AU141,AU239*AU247/AU226)</f>
        <v>390291.76817316003</v>
      </c>
      <c r="AV251" s="138">
        <f ca="1">IF(AV239&gt;0,AV239*AV247*Параметры!AV141,AV239*AV247/AV226)</f>
        <v>313818.46509628498</v>
      </c>
      <c r="AW251" s="138"/>
      <c r="AX251" s="171">
        <f ca="1">SUM(G251:AW251)</f>
        <v>12563883.413372559</v>
      </c>
    </row>
    <row r="252" spans="1:50" hidden="1" outlineLevel="1" x14ac:dyDescent="0.2">
      <c r="A252" s="79" t="str">
        <f ca="1">Language!A467</f>
        <v>Модифицированный денежный поток</v>
      </c>
      <c r="B252" s="275"/>
      <c r="C252" s="130" t="str">
        <f ca="1">Параметры!$C$64</f>
        <v>тыс. руб.</v>
      </c>
      <c r="D252" s="57"/>
      <c r="E252" s="57"/>
      <c r="F252" s="57" t="s">
        <v>753</v>
      </c>
      <c r="G252" s="138">
        <f t="shared" ref="G252:AV252" ca="1" si="889">IF(G$2=1,SUMIF($G251:$AW251,"&lt;0",$G251:$AW251),IF(G$2=Prj_Len,SUMIF($G251:$AW251,"&gt;0",$G251:$AW251),0))</f>
        <v>-803638.60615474335</v>
      </c>
      <c r="H252" s="138">
        <f t="shared" si="889"/>
        <v>0</v>
      </c>
      <c r="I252" s="138">
        <f t="shared" si="889"/>
        <v>0</v>
      </c>
      <c r="J252" s="138">
        <f t="shared" si="889"/>
        <v>0</v>
      </c>
      <c r="K252" s="138">
        <f t="shared" si="889"/>
        <v>0</v>
      </c>
      <c r="L252" s="138">
        <f t="shared" si="889"/>
        <v>0</v>
      </c>
      <c r="M252" s="138">
        <f t="shared" si="889"/>
        <v>0</v>
      </c>
      <c r="N252" s="138">
        <f t="shared" si="889"/>
        <v>0</v>
      </c>
      <c r="O252" s="138">
        <f t="shared" si="889"/>
        <v>0</v>
      </c>
      <c r="P252" s="138">
        <f t="shared" si="889"/>
        <v>0</v>
      </c>
      <c r="Q252" s="138">
        <f t="shared" si="889"/>
        <v>0</v>
      </c>
      <c r="R252" s="138">
        <f t="shared" si="889"/>
        <v>0</v>
      </c>
      <c r="S252" s="138">
        <f t="shared" si="889"/>
        <v>0</v>
      </c>
      <c r="T252" s="138">
        <f t="shared" si="889"/>
        <v>0</v>
      </c>
      <c r="U252" s="138">
        <f t="shared" si="889"/>
        <v>0</v>
      </c>
      <c r="V252" s="138">
        <f t="shared" si="889"/>
        <v>0</v>
      </c>
      <c r="W252" s="138">
        <f t="shared" si="889"/>
        <v>0</v>
      </c>
      <c r="X252" s="138">
        <f t="shared" si="889"/>
        <v>0</v>
      </c>
      <c r="Y252" s="138">
        <f t="shared" si="889"/>
        <v>0</v>
      </c>
      <c r="Z252" s="138">
        <f t="shared" si="889"/>
        <v>0</v>
      </c>
      <c r="AA252" s="138">
        <f t="shared" si="889"/>
        <v>0</v>
      </c>
      <c r="AB252" s="138">
        <f t="shared" si="889"/>
        <v>0</v>
      </c>
      <c r="AC252" s="138">
        <f t="shared" si="889"/>
        <v>0</v>
      </c>
      <c r="AD252" s="138">
        <f t="shared" si="889"/>
        <v>0</v>
      </c>
      <c r="AE252" s="138">
        <f t="shared" si="889"/>
        <v>0</v>
      </c>
      <c r="AF252" s="138">
        <f t="shared" si="889"/>
        <v>0</v>
      </c>
      <c r="AG252" s="138">
        <f t="shared" si="889"/>
        <v>0</v>
      </c>
      <c r="AH252" s="138">
        <f t="shared" si="889"/>
        <v>0</v>
      </c>
      <c r="AI252" s="138">
        <f t="shared" si="889"/>
        <v>0</v>
      </c>
      <c r="AJ252" s="138">
        <f t="shared" si="889"/>
        <v>0</v>
      </c>
      <c r="AK252" s="138">
        <f t="shared" si="889"/>
        <v>0</v>
      </c>
      <c r="AL252" s="138">
        <f t="shared" si="889"/>
        <v>0</v>
      </c>
      <c r="AM252" s="138">
        <f t="shared" si="889"/>
        <v>0</v>
      </c>
      <c r="AN252" s="138">
        <f t="shared" si="889"/>
        <v>0</v>
      </c>
      <c r="AO252" s="138">
        <f t="shared" si="889"/>
        <v>0</v>
      </c>
      <c r="AP252" s="138">
        <f t="shared" si="889"/>
        <v>0</v>
      </c>
      <c r="AQ252" s="138">
        <f t="shared" si="889"/>
        <v>0</v>
      </c>
      <c r="AR252" s="138">
        <f t="shared" si="889"/>
        <v>0</v>
      </c>
      <c r="AS252" s="138">
        <f t="shared" si="889"/>
        <v>0</v>
      </c>
      <c r="AT252" s="138">
        <f t="shared" si="889"/>
        <v>0</v>
      </c>
      <c r="AU252" s="138">
        <f t="shared" si="889"/>
        <v>0</v>
      </c>
      <c r="AV252" s="138">
        <f t="shared" ca="1" si="889"/>
        <v>13367522.019527303</v>
      </c>
      <c r="AW252" s="138"/>
      <c r="AX252" s="171">
        <f ca="1">SUM(G252:AW252)</f>
        <v>12563883.413372559</v>
      </c>
    </row>
    <row r="253" spans="1:50" x14ac:dyDescent="0.2">
      <c r="A253" s="65"/>
      <c r="D253" s="57"/>
      <c r="E253" s="57"/>
      <c r="F253" s="57"/>
    </row>
    <row r="254" spans="1:50" collapsed="1" x14ac:dyDescent="0.2">
      <c r="A254" s="92" t="str">
        <f ca="1">Language!A1365</f>
        <v>Дисконтированный срок окупаемости, PBP</v>
      </c>
      <c r="B254" s="276">
        <f ca="1">IF(B255&gt;0, AX256/12, "-")</f>
        <v>3.0086844368229078</v>
      </c>
      <c r="C254" s="130" t="str">
        <f ca="1">Language!A48</f>
        <v>лет</v>
      </c>
      <c r="D254" s="57"/>
      <c r="E254" s="57"/>
      <c r="F254" s="57"/>
    </row>
    <row r="255" spans="1:50" hidden="1" outlineLevel="1" x14ac:dyDescent="0.2">
      <c r="A255" s="79" t="str">
        <f ca="1">Language!A$1337</f>
        <v>Флаг периода окупаемости</v>
      </c>
      <c r="B255" s="277">
        <f ca="1">MAX(G255:AW255)</f>
        <v>13</v>
      </c>
      <c r="C255" s="130" t="str">
        <f ca="1">Параметры!$C$17</f>
        <v>кв.</v>
      </c>
      <c r="D255" s="57"/>
      <c r="E255" s="57"/>
      <c r="F255" s="57" t="s">
        <v>1534</v>
      </c>
      <c r="G255" s="278">
        <f>IF(G$2&gt;1, IF(AND(F241&lt;0,G241&gt;=0), G$2, 0), 0)</f>
        <v>0</v>
      </c>
      <c r="H255" s="278">
        <f t="shared" ref="H255:AV255" ca="1" si="890">IF(H$2&gt;1, IF(AND(G241&lt;0,H241&gt;=0), H$2, 0), 0)</f>
        <v>0</v>
      </c>
      <c r="I255" s="278">
        <f t="shared" ca="1" si="890"/>
        <v>0</v>
      </c>
      <c r="J255" s="278">
        <f t="shared" ca="1" si="890"/>
        <v>0</v>
      </c>
      <c r="K255" s="278">
        <f t="shared" ca="1" si="890"/>
        <v>0</v>
      </c>
      <c r="L255" s="278">
        <f t="shared" ca="1" si="890"/>
        <v>0</v>
      </c>
      <c r="M255" s="278">
        <f t="shared" ca="1" si="890"/>
        <v>0</v>
      </c>
      <c r="N255" s="278">
        <f t="shared" ca="1" si="890"/>
        <v>0</v>
      </c>
      <c r="O255" s="278">
        <f t="shared" ca="1" si="890"/>
        <v>0</v>
      </c>
      <c r="P255" s="278">
        <f t="shared" ca="1" si="890"/>
        <v>0</v>
      </c>
      <c r="Q255" s="278">
        <f t="shared" ca="1" si="890"/>
        <v>0</v>
      </c>
      <c r="R255" s="278">
        <f t="shared" ca="1" si="890"/>
        <v>0</v>
      </c>
      <c r="S255" s="278">
        <f t="shared" ca="1" si="890"/>
        <v>13</v>
      </c>
      <c r="T255" s="278">
        <f t="shared" ca="1" si="890"/>
        <v>0</v>
      </c>
      <c r="U255" s="278">
        <f t="shared" ca="1" si="890"/>
        <v>0</v>
      </c>
      <c r="V255" s="278">
        <f t="shared" ca="1" si="890"/>
        <v>0</v>
      </c>
      <c r="W255" s="278">
        <f t="shared" ca="1" si="890"/>
        <v>0</v>
      </c>
      <c r="X255" s="278">
        <f t="shared" ca="1" si="890"/>
        <v>0</v>
      </c>
      <c r="Y255" s="278">
        <f t="shared" ca="1" si="890"/>
        <v>0</v>
      </c>
      <c r="Z255" s="278">
        <f t="shared" ca="1" si="890"/>
        <v>0</v>
      </c>
      <c r="AA255" s="278">
        <f t="shared" ca="1" si="890"/>
        <v>0</v>
      </c>
      <c r="AB255" s="278">
        <f t="shared" ca="1" si="890"/>
        <v>0</v>
      </c>
      <c r="AC255" s="278">
        <f t="shared" ca="1" si="890"/>
        <v>0</v>
      </c>
      <c r="AD255" s="278">
        <f t="shared" ca="1" si="890"/>
        <v>0</v>
      </c>
      <c r="AE255" s="278">
        <f t="shared" ca="1" si="890"/>
        <v>0</v>
      </c>
      <c r="AF255" s="278">
        <f t="shared" ca="1" si="890"/>
        <v>0</v>
      </c>
      <c r="AG255" s="278">
        <f t="shared" ca="1" si="890"/>
        <v>0</v>
      </c>
      <c r="AH255" s="278">
        <f t="shared" ca="1" si="890"/>
        <v>0</v>
      </c>
      <c r="AI255" s="278">
        <f t="shared" ca="1" si="890"/>
        <v>0</v>
      </c>
      <c r="AJ255" s="278">
        <f t="shared" ca="1" si="890"/>
        <v>0</v>
      </c>
      <c r="AK255" s="278">
        <f t="shared" ca="1" si="890"/>
        <v>0</v>
      </c>
      <c r="AL255" s="278">
        <f t="shared" ca="1" si="890"/>
        <v>0</v>
      </c>
      <c r="AM255" s="278">
        <f t="shared" ca="1" si="890"/>
        <v>0</v>
      </c>
      <c r="AN255" s="278">
        <f t="shared" ca="1" si="890"/>
        <v>0</v>
      </c>
      <c r="AO255" s="278">
        <f t="shared" ca="1" si="890"/>
        <v>0</v>
      </c>
      <c r="AP255" s="278">
        <f t="shared" ca="1" si="890"/>
        <v>0</v>
      </c>
      <c r="AQ255" s="278">
        <f t="shared" ca="1" si="890"/>
        <v>0</v>
      </c>
      <c r="AR255" s="278">
        <f t="shared" ca="1" si="890"/>
        <v>0</v>
      </c>
      <c r="AS255" s="278">
        <f t="shared" ca="1" si="890"/>
        <v>0</v>
      </c>
      <c r="AT255" s="278">
        <f t="shared" ca="1" si="890"/>
        <v>0</v>
      </c>
      <c r="AU255" s="278">
        <f t="shared" ca="1" si="890"/>
        <v>0</v>
      </c>
      <c r="AV255" s="278">
        <f t="shared" ca="1" si="890"/>
        <v>0</v>
      </c>
    </row>
    <row r="256" spans="1:50" hidden="1" outlineLevel="1" x14ac:dyDescent="0.2">
      <c r="A256" s="107" t="str">
        <f ca="1">Language!A1367</f>
        <v>Расчет окупаемости в месяцах</v>
      </c>
      <c r="B256" s="280">
        <f ca="1">AX256</f>
        <v>36.104213241874895</v>
      </c>
      <c r="C256" s="130" t="str">
        <f ca="1">Language!A46</f>
        <v>мес.</v>
      </c>
      <c r="D256" s="57"/>
      <c r="E256" s="57"/>
      <c r="F256" s="57" t="s">
        <v>1534</v>
      </c>
      <c r="G256" s="279">
        <f ca="1">IF(G$2&lt;$B255, Параметры!G$31, IF(G$2=$B255, -F241/(G241-F241)*Параметры!G$31, 0))</f>
        <v>3</v>
      </c>
      <c r="H256" s="279">
        <f ca="1">IF(H$2&lt;$B255, Параметры!H$31, IF(H$2=$B255, -G241/(H241-G241)*Параметры!H$31, 0))</f>
        <v>3</v>
      </c>
      <c r="I256" s="279">
        <f ca="1">IF(I$2&lt;$B255, Параметры!I$31, IF(I$2=$B255, -H241/(I241-H241)*Параметры!I$31, 0))</f>
        <v>3</v>
      </c>
      <c r="J256" s="279">
        <f ca="1">IF(J$2&lt;$B255, Параметры!J$31, IF(J$2=$B255, -I241/(J241-I241)*Параметры!J$31, 0))</f>
        <v>3</v>
      </c>
      <c r="K256" s="279">
        <f ca="1">IF(K$2&lt;$B255, Параметры!K$31, IF(K$2=$B255, -J241/(K241-J241)*Параметры!K$31, 0))</f>
        <v>3</v>
      </c>
      <c r="L256" s="279">
        <f ca="1">IF(L$2&lt;$B255, Параметры!L$31, IF(L$2=$B255, -K241/(L241-K241)*Параметры!L$31, 0))</f>
        <v>3</v>
      </c>
      <c r="M256" s="279">
        <f ca="1">IF(M$2&lt;$B255, Параметры!M$31, IF(M$2=$B255, -L241/(M241-L241)*Параметры!M$31, 0))</f>
        <v>3</v>
      </c>
      <c r="N256" s="279">
        <f ca="1">IF(N$2&lt;$B255, Параметры!N$31, IF(N$2=$B255, -M241/(N241-M241)*Параметры!N$31, 0))</f>
        <v>3</v>
      </c>
      <c r="O256" s="279">
        <f ca="1">IF(O$2&lt;$B255, Параметры!O$31, IF(O$2=$B255, -N241/(O241-N241)*Параметры!O$31, 0))</f>
        <v>3</v>
      </c>
      <c r="P256" s="279">
        <f ca="1">IF(P$2&lt;$B255, Параметры!P$31, IF(P$2=$B255, -O241/(P241-O241)*Параметры!P$31, 0))</f>
        <v>3</v>
      </c>
      <c r="Q256" s="279">
        <f ca="1">IF(Q$2&lt;$B255, Параметры!Q$31, IF(Q$2=$B255, -P241/(Q241-P241)*Параметры!Q$31, 0))</f>
        <v>3</v>
      </c>
      <c r="R256" s="279">
        <f ca="1">IF(R$2&lt;$B255, Параметры!R$31, IF(R$2=$B255, -Q241/(R241-Q241)*Параметры!R$31, 0))</f>
        <v>3</v>
      </c>
      <c r="S256" s="279">
        <f ca="1">IF(S$2&lt;$B255, Параметры!S$31, IF(S$2=$B255, -R241/(S241-R241)*Параметры!S$31, 0))</f>
        <v>0.10421324187489724</v>
      </c>
      <c r="T256" s="279">
        <f ca="1">IF(T$2&lt;$B255, Параметры!T$31, IF(T$2=$B255, -S241/(T241-S241)*Параметры!T$31, 0))</f>
        <v>0</v>
      </c>
      <c r="U256" s="279">
        <f ca="1">IF(U$2&lt;$B255, Параметры!U$31, IF(U$2=$B255, -T241/(U241-T241)*Параметры!U$31, 0))</f>
        <v>0</v>
      </c>
      <c r="V256" s="279">
        <f ca="1">IF(V$2&lt;$B255, Параметры!V$31, IF(V$2=$B255, -U241/(V241-U241)*Параметры!V$31, 0))</f>
        <v>0</v>
      </c>
      <c r="W256" s="279">
        <f ca="1">IF(W$2&lt;$B255, Параметры!W$31, IF(W$2=$B255, -V241/(W241-V241)*Параметры!W$31, 0))</f>
        <v>0</v>
      </c>
      <c r="X256" s="279">
        <f ca="1">IF(X$2&lt;$B255, Параметры!X$31, IF(X$2=$B255, -W241/(X241-W241)*Параметры!X$31, 0))</f>
        <v>0</v>
      </c>
      <c r="Y256" s="279">
        <f ca="1">IF(Y$2&lt;$B255, Параметры!Y$31, IF(Y$2=$B255, -X241/(Y241-X241)*Параметры!Y$31, 0))</f>
        <v>0</v>
      </c>
      <c r="Z256" s="279">
        <f ca="1">IF(Z$2&lt;$B255, Параметры!Z$31, IF(Z$2=$B255, -Y241/(Z241-Y241)*Параметры!Z$31, 0))</f>
        <v>0</v>
      </c>
      <c r="AA256" s="279">
        <f ca="1">IF(AA$2&lt;$B255, Параметры!AA$31, IF(AA$2=$B255, -Z241/(AA241-Z241)*Параметры!AA$31, 0))</f>
        <v>0</v>
      </c>
      <c r="AB256" s="279">
        <f ca="1">IF(AB$2&lt;$B255, Параметры!AB$31, IF(AB$2=$B255, -AA241/(AB241-AA241)*Параметры!AB$31, 0))</f>
        <v>0</v>
      </c>
      <c r="AC256" s="279">
        <f ca="1">IF(AC$2&lt;$B255, Параметры!AC$31, IF(AC$2=$B255, -AB241/(AC241-AB241)*Параметры!AC$31, 0))</f>
        <v>0</v>
      </c>
      <c r="AD256" s="279">
        <f ca="1">IF(AD$2&lt;$B255, Параметры!AD$31, IF(AD$2=$B255, -AC241/(AD241-AC241)*Параметры!AD$31, 0))</f>
        <v>0</v>
      </c>
      <c r="AE256" s="279">
        <f ca="1">IF(AE$2&lt;$B255, Параметры!AE$31, IF(AE$2=$B255, -AD241/(AE241-AD241)*Параметры!AE$31, 0))</f>
        <v>0</v>
      </c>
      <c r="AF256" s="279">
        <f ca="1">IF(AF$2&lt;$B255, Параметры!AF$31, IF(AF$2=$B255, -AE241/(AF241-AE241)*Параметры!AF$31, 0))</f>
        <v>0</v>
      </c>
      <c r="AG256" s="279">
        <f ca="1">IF(AG$2&lt;$B255, Параметры!AG$31, IF(AG$2=$B255, -AF241/(AG241-AF241)*Параметры!AG$31, 0))</f>
        <v>0</v>
      </c>
      <c r="AH256" s="279">
        <f ca="1">IF(AH$2&lt;$B255, Параметры!AH$31, IF(AH$2=$B255, -AG241/(AH241-AG241)*Параметры!AH$31, 0))</f>
        <v>0</v>
      </c>
      <c r="AI256" s="279">
        <f ca="1">IF(AI$2&lt;$B255, Параметры!AI$31, IF(AI$2=$B255, -AH241/(AI241-AH241)*Параметры!AI$31, 0))</f>
        <v>0</v>
      </c>
      <c r="AJ256" s="279">
        <f ca="1">IF(AJ$2&lt;$B255, Параметры!AJ$31, IF(AJ$2=$B255, -AI241/(AJ241-AI241)*Параметры!AJ$31, 0))</f>
        <v>0</v>
      </c>
      <c r="AK256" s="279">
        <f ca="1">IF(AK$2&lt;$B255, Параметры!AK$31, IF(AK$2=$B255, -AJ241/(AK241-AJ241)*Параметры!AK$31, 0))</f>
        <v>0</v>
      </c>
      <c r="AL256" s="279">
        <f ca="1">IF(AL$2&lt;$B255, Параметры!AL$31, IF(AL$2=$B255, -AK241/(AL241-AK241)*Параметры!AL$31, 0))</f>
        <v>0</v>
      </c>
      <c r="AM256" s="279">
        <f ca="1">IF(AM$2&lt;$B255, Параметры!AM$31, IF(AM$2=$B255, -AL241/(AM241-AL241)*Параметры!AM$31, 0))</f>
        <v>0</v>
      </c>
      <c r="AN256" s="279">
        <f ca="1">IF(AN$2&lt;$B255, Параметры!AN$31, IF(AN$2=$B255, -AM241/(AN241-AM241)*Параметры!AN$31, 0))</f>
        <v>0</v>
      </c>
      <c r="AO256" s="279">
        <f ca="1">IF(AO$2&lt;$B255, Параметры!AO$31, IF(AO$2=$B255, -AN241/(AO241-AN241)*Параметры!AO$31, 0))</f>
        <v>0</v>
      </c>
      <c r="AP256" s="279">
        <f ca="1">IF(AP$2&lt;$B255, Параметры!AP$31, IF(AP$2=$B255, -AO241/(AP241-AO241)*Параметры!AP$31, 0))</f>
        <v>0</v>
      </c>
      <c r="AQ256" s="279">
        <f ca="1">IF(AQ$2&lt;$B255, Параметры!AQ$31, IF(AQ$2=$B255, -AP241/(AQ241-AP241)*Параметры!AQ$31, 0))</f>
        <v>0</v>
      </c>
      <c r="AR256" s="279">
        <f ca="1">IF(AR$2&lt;$B255, Параметры!AR$31, IF(AR$2=$B255, -AQ241/(AR241-AQ241)*Параметры!AR$31, 0))</f>
        <v>0</v>
      </c>
      <c r="AS256" s="279">
        <f ca="1">IF(AS$2&lt;$B255, Параметры!AS$31, IF(AS$2=$B255, -AR241/(AS241-AR241)*Параметры!AS$31, 0))</f>
        <v>0</v>
      </c>
      <c r="AT256" s="279">
        <f ca="1">IF(AT$2&lt;$B255, Параметры!AT$31, IF(AT$2=$B255, -AS241/(AT241-AS241)*Параметры!AT$31, 0))</f>
        <v>0</v>
      </c>
      <c r="AU256" s="279">
        <f ca="1">IF(AU$2&lt;$B255, Параметры!AU$31, IF(AU$2=$B255, -AT241/(AU241-AT241)*Параметры!AU$31, 0))</f>
        <v>0</v>
      </c>
      <c r="AV256" s="279">
        <f ca="1">IF(AV$2&lt;$B255, Параметры!AV$31, IF(AV$2=$B255, -AU241/(AV241-AU241)*Параметры!AV$31, 0))</f>
        <v>0</v>
      </c>
      <c r="AX256" s="171">
        <f ca="1">SUM(G256:AW256)</f>
        <v>36.104213241874895</v>
      </c>
    </row>
    <row r="257" spans="1:50" x14ac:dyDescent="0.2">
      <c r="A257" s="107"/>
      <c r="B257" s="280"/>
      <c r="D257" s="57"/>
      <c r="E257" s="57"/>
      <c r="F257" s="57"/>
      <c r="G257" s="279"/>
      <c r="H257" s="279"/>
      <c r="I257" s="279"/>
      <c r="J257" s="279"/>
      <c r="K257" s="279"/>
      <c r="L257" s="279"/>
      <c r="M257" s="279"/>
      <c r="N257" s="279"/>
      <c r="O257" s="279"/>
      <c r="P257" s="279"/>
      <c r="Q257" s="279"/>
      <c r="R257" s="279"/>
      <c r="S257" s="279"/>
      <c r="T257" s="279"/>
      <c r="U257" s="279"/>
      <c r="V257" s="279"/>
      <c r="W257" s="279"/>
      <c r="X257" s="279"/>
      <c r="Y257" s="279"/>
      <c r="Z257" s="279"/>
      <c r="AA257" s="279"/>
      <c r="AB257" s="279"/>
      <c r="AC257" s="279"/>
      <c r="AD257" s="279"/>
      <c r="AE257" s="279"/>
      <c r="AF257" s="279"/>
      <c r="AG257" s="279"/>
      <c r="AH257" s="279"/>
      <c r="AI257" s="279"/>
      <c r="AJ257" s="279"/>
      <c r="AK257" s="279"/>
      <c r="AL257" s="279"/>
      <c r="AM257" s="279"/>
      <c r="AN257" s="279"/>
      <c r="AO257" s="279"/>
      <c r="AP257" s="279"/>
      <c r="AQ257" s="279"/>
      <c r="AR257" s="279"/>
      <c r="AS257" s="279"/>
      <c r="AT257" s="279"/>
      <c r="AU257" s="279"/>
      <c r="AV257" s="279"/>
      <c r="AX257" s="171"/>
    </row>
    <row r="258" spans="1:50" collapsed="1" x14ac:dyDescent="0.2">
      <c r="A258" s="65" t="str">
        <f ca="1">Language!A$1339</f>
        <v>Простой срок окупаемости</v>
      </c>
      <c r="B258" s="276">
        <f ca="1">IF(B260&gt;0, AX261/12, "-")</f>
        <v>2.3875799137667117</v>
      </c>
      <c r="C258" s="130" t="str">
        <f ca="1">Language!A$48</f>
        <v>лет</v>
      </c>
      <c r="D258" s="57"/>
      <c r="E258" s="57"/>
      <c r="F258" s="57"/>
    </row>
    <row r="259" spans="1:50" hidden="1" outlineLevel="1" x14ac:dyDescent="0.2">
      <c r="A259" s="79" t="str">
        <f ca="1">Language!A$1340</f>
        <v>Недисконтированный поток нарастающим итогом</v>
      </c>
      <c r="B259" s="215"/>
      <c r="C259" s="130" t="str">
        <f ca="1">Параметры!$C$64</f>
        <v>тыс. руб.</v>
      </c>
      <c r="D259" s="57"/>
      <c r="E259" s="57"/>
      <c r="F259" s="57" t="s">
        <v>754</v>
      </c>
      <c r="G259" s="148">
        <f ca="1">G239 + IF(G$2&gt;1, F259)</f>
        <v>-796792.20428188285</v>
      </c>
      <c r="H259" s="148">
        <f t="shared" ref="H259" ca="1" si="891">H239 + IF(H$2&gt;1, G259)</f>
        <v>-803957.88906041859</v>
      </c>
      <c r="I259" s="148">
        <f t="shared" ref="I259" ca="1" si="892">I239 + IF(I$2&gt;1, H259)</f>
        <v>-756542.04807316686</v>
      </c>
      <c r="J259" s="148">
        <f t="shared" ref="J259" ca="1" si="893">J239 + IF(J$2&gt;1, I259)</f>
        <v>-697449.46275114408</v>
      </c>
      <c r="K259" s="148">
        <f t="shared" ref="K259:AV259" ca="1" si="894">K239 + IF(K$2&gt;1, J259)</f>
        <v>-548924.47012313723</v>
      </c>
      <c r="L259" s="148">
        <f t="shared" ca="1" si="894"/>
        <v>-422882.09651470825</v>
      </c>
      <c r="M259" s="148">
        <f t="shared" ca="1" si="894"/>
        <v>-382768.94127332402</v>
      </c>
      <c r="N259" s="148">
        <f t="shared" ca="1" si="894"/>
        <v>-299703.54754389939</v>
      </c>
      <c r="O259" s="148">
        <f t="shared" ca="1" si="894"/>
        <v>-97007.067809571046</v>
      </c>
      <c r="P259" s="148">
        <f t="shared" ca="1" si="894"/>
        <v>79266.970227081707</v>
      </c>
      <c r="Q259" s="148">
        <f t="shared" ca="1" si="894"/>
        <v>165593.05120097846</v>
      </c>
      <c r="R259" s="148">
        <f t="shared" ca="1" si="894"/>
        <v>291871.0716891581</v>
      </c>
      <c r="S259" s="148">
        <f t="shared" ca="1" si="894"/>
        <v>534006.6072966822</v>
      </c>
      <c r="T259" s="148">
        <f t="shared" ca="1" si="894"/>
        <v>736853.3678023112</v>
      </c>
      <c r="U259" s="148">
        <f t="shared" ca="1" si="894"/>
        <v>789721.25546219829</v>
      </c>
      <c r="V259" s="148">
        <f t="shared" ca="1" si="894"/>
        <v>857116.90778557037</v>
      </c>
      <c r="W259" s="148">
        <f t="shared" ca="1" si="894"/>
        <v>957951.32563108252</v>
      </c>
      <c r="X259" s="148">
        <f t="shared" ca="1" si="894"/>
        <v>1045516.3729937081</v>
      </c>
      <c r="Y259" s="148">
        <f t="shared" ca="1" si="894"/>
        <v>1100222.3491881755</v>
      </c>
      <c r="Z259" s="148">
        <f t="shared" ca="1" si="894"/>
        <v>1165175.6657957111</v>
      </c>
      <c r="AA259" s="148">
        <f t="shared" ca="1" si="894"/>
        <v>1265501.3486307343</v>
      </c>
      <c r="AB259" s="148">
        <f t="shared" ca="1" si="894"/>
        <v>1351687.9898072802</v>
      </c>
      <c r="AC259" s="148">
        <f t="shared" ca="1" si="894"/>
        <v>1404474.6046860558</v>
      </c>
      <c r="AD259" s="148">
        <f t="shared" ca="1" si="894"/>
        <v>1468799.6296529484</v>
      </c>
      <c r="AE259" s="148">
        <f t="shared" ca="1" si="894"/>
        <v>1570516.2584154867</v>
      </c>
      <c r="AF259" s="148">
        <f t="shared" ca="1" si="894"/>
        <v>1657140.4211558555</v>
      </c>
      <c r="AG259" s="148">
        <f t="shared" ca="1" si="894"/>
        <v>1707516.3546338161</v>
      </c>
      <c r="AH259" s="148">
        <f t="shared" ca="1" si="894"/>
        <v>1769319.7605772747</v>
      </c>
      <c r="AI259" s="148">
        <f t="shared" ca="1" si="894"/>
        <v>1870664.1548696691</v>
      </c>
      <c r="AJ259" s="148">
        <f t="shared" ca="1" si="894"/>
        <v>1955915.0364973811</v>
      </c>
      <c r="AK259" s="148">
        <f t="shared" ca="1" si="894"/>
        <v>2002110.3128243454</v>
      </c>
      <c r="AL259" s="148">
        <f t="shared" ca="1" si="894"/>
        <v>2059993.6727239103</v>
      </c>
      <c r="AM259" s="148">
        <f t="shared" ca="1" si="894"/>
        <v>2377276.2276852299</v>
      </c>
      <c r="AN259" s="148">
        <f t="shared" ca="1" si="894"/>
        <v>2681665.5403896044</v>
      </c>
      <c r="AO259" s="148">
        <f t="shared" ca="1" si="894"/>
        <v>2845535.3513836064</v>
      </c>
      <c r="AP259" s="148">
        <f t="shared" ca="1" si="894"/>
        <v>3058363.9161867653</v>
      </c>
      <c r="AQ259" s="148">
        <f t="shared" ca="1" si="894"/>
        <v>3435904.2219858766</v>
      </c>
      <c r="AR259" s="148">
        <f t="shared" ca="1" si="894"/>
        <v>3758083.6562736295</v>
      </c>
      <c r="AS259" s="148">
        <f t="shared" ca="1" si="894"/>
        <v>3913327.4596970826</v>
      </c>
      <c r="AT259" s="148">
        <f t="shared" ca="1" si="894"/>
        <v>4112029.1474371962</v>
      </c>
      <c r="AU259" s="148">
        <f t="shared" ca="1" si="894"/>
        <v>4484930.6041949401</v>
      </c>
      <c r="AV259" s="148">
        <f t="shared" ca="1" si="894"/>
        <v>4798749.0692912247</v>
      </c>
    </row>
    <row r="260" spans="1:50" hidden="1" outlineLevel="1" x14ac:dyDescent="0.2">
      <c r="A260" s="79" t="str">
        <f ca="1">Language!A$1337</f>
        <v>Флаг периода окупаемости</v>
      </c>
      <c r="B260" s="277">
        <f ca="1">MAX(G260:AW260)</f>
        <v>10</v>
      </c>
      <c r="C260" s="130" t="str">
        <f ca="1">Параметры!$C$17</f>
        <v>кв.</v>
      </c>
      <c r="D260" s="57"/>
      <c r="E260" s="57"/>
      <c r="F260" s="57" t="s">
        <v>1534</v>
      </c>
      <c r="G260" s="278">
        <f>IF(G$2&gt;1, IF(AND(F259&lt;0,G259&gt;=0), G$2, 0), 0)</f>
        <v>0</v>
      </c>
      <c r="H260" s="278">
        <f t="shared" ref="H260" ca="1" si="895">IF(H$2&gt;1, IF(AND(G259&lt;0,H259&gt;=0), H$2, 0), 0)</f>
        <v>0</v>
      </c>
      <c r="I260" s="278">
        <f t="shared" ref="I260" ca="1" si="896">IF(I$2&gt;1, IF(AND(H259&lt;0,I259&gt;=0), I$2, 0), 0)</f>
        <v>0</v>
      </c>
      <c r="J260" s="278">
        <f t="shared" ref="J260" ca="1" si="897">IF(J$2&gt;1, IF(AND(I259&lt;0,J259&gt;=0), J$2, 0), 0)</f>
        <v>0</v>
      </c>
      <c r="K260" s="278">
        <f t="shared" ref="K260:AV260" ca="1" si="898">IF(K$2&gt;1, IF(AND(J259&lt;0,K259&gt;=0), K$2, 0), 0)</f>
        <v>0</v>
      </c>
      <c r="L260" s="278">
        <f t="shared" ca="1" si="898"/>
        <v>0</v>
      </c>
      <c r="M260" s="278">
        <f t="shared" ca="1" si="898"/>
        <v>0</v>
      </c>
      <c r="N260" s="278">
        <f t="shared" ca="1" si="898"/>
        <v>0</v>
      </c>
      <c r="O260" s="278">
        <f t="shared" ca="1" si="898"/>
        <v>0</v>
      </c>
      <c r="P260" s="278">
        <f t="shared" ca="1" si="898"/>
        <v>10</v>
      </c>
      <c r="Q260" s="278">
        <f t="shared" ca="1" si="898"/>
        <v>0</v>
      </c>
      <c r="R260" s="278">
        <f t="shared" ca="1" si="898"/>
        <v>0</v>
      </c>
      <c r="S260" s="278">
        <f t="shared" ca="1" si="898"/>
        <v>0</v>
      </c>
      <c r="T260" s="278">
        <f t="shared" ca="1" si="898"/>
        <v>0</v>
      </c>
      <c r="U260" s="278">
        <f t="shared" ca="1" si="898"/>
        <v>0</v>
      </c>
      <c r="V260" s="278">
        <f t="shared" ca="1" si="898"/>
        <v>0</v>
      </c>
      <c r="W260" s="278">
        <f t="shared" ca="1" si="898"/>
        <v>0</v>
      </c>
      <c r="X260" s="278">
        <f t="shared" ca="1" si="898"/>
        <v>0</v>
      </c>
      <c r="Y260" s="278">
        <f t="shared" ca="1" si="898"/>
        <v>0</v>
      </c>
      <c r="Z260" s="278">
        <f t="shared" ca="1" si="898"/>
        <v>0</v>
      </c>
      <c r="AA260" s="278">
        <f t="shared" ca="1" si="898"/>
        <v>0</v>
      </c>
      <c r="AB260" s="278">
        <f t="shared" ca="1" si="898"/>
        <v>0</v>
      </c>
      <c r="AC260" s="278">
        <f t="shared" ca="1" si="898"/>
        <v>0</v>
      </c>
      <c r="AD260" s="278">
        <f t="shared" ca="1" si="898"/>
        <v>0</v>
      </c>
      <c r="AE260" s="278">
        <f t="shared" ca="1" si="898"/>
        <v>0</v>
      </c>
      <c r="AF260" s="278">
        <f t="shared" ca="1" si="898"/>
        <v>0</v>
      </c>
      <c r="AG260" s="278">
        <f t="shared" ca="1" si="898"/>
        <v>0</v>
      </c>
      <c r="AH260" s="278">
        <f t="shared" ca="1" si="898"/>
        <v>0</v>
      </c>
      <c r="AI260" s="278">
        <f t="shared" ca="1" si="898"/>
        <v>0</v>
      </c>
      <c r="AJ260" s="278">
        <f t="shared" ca="1" si="898"/>
        <v>0</v>
      </c>
      <c r="AK260" s="278">
        <f t="shared" ca="1" si="898"/>
        <v>0</v>
      </c>
      <c r="AL260" s="278">
        <f t="shared" ca="1" si="898"/>
        <v>0</v>
      </c>
      <c r="AM260" s="278">
        <f t="shared" ca="1" si="898"/>
        <v>0</v>
      </c>
      <c r="AN260" s="278">
        <f t="shared" ca="1" si="898"/>
        <v>0</v>
      </c>
      <c r="AO260" s="278">
        <f t="shared" ca="1" si="898"/>
        <v>0</v>
      </c>
      <c r="AP260" s="278">
        <f t="shared" ca="1" si="898"/>
        <v>0</v>
      </c>
      <c r="AQ260" s="278">
        <f t="shared" ca="1" si="898"/>
        <v>0</v>
      </c>
      <c r="AR260" s="278">
        <f t="shared" ca="1" si="898"/>
        <v>0</v>
      </c>
      <c r="AS260" s="278">
        <f t="shared" ca="1" si="898"/>
        <v>0</v>
      </c>
      <c r="AT260" s="278">
        <f t="shared" ca="1" si="898"/>
        <v>0</v>
      </c>
      <c r="AU260" s="278">
        <f t="shared" ca="1" si="898"/>
        <v>0</v>
      </c>
      <c r="AV260" s="278">
        <f t="shared" ca="1" si="898"/>
        <v>0</v>
      </c>
      <c r="AW260" s="279"/>
      <c r="AX260" s="279"/>
    </row>
    <row r="261" spans="1:50" hidden="1" outlineLevel="1" x14ac:dyDescent="0.2">
      <c r="A261" s="107" t="str">
        <f ca="1">Language!A$1338</f>
        <v>Расчет окупаемости в месяцах</v>
      </c>
      <c r="B261" s="280">
        <f ca="1">AX261</f>
        <v>28.650958965200541</v>
      </c>
      <c r="C261" s="130" t="str">
        <f ca="1">Language!A$46</f>
        <v>мес.</v>
      </c>
      <c r="D261" s="57"/>
      <c r="E261" s="57"/>
      <c r="F261" s="57" t="s">
        <v>1534</v>
      </c>
      <c r="G261" s="279">
        <f ca="1">IF(G$2&lt;$B260, Параметры!G$31, IF(G$2=$B260, -F259/(G259-F259)*Параметры!G$31, 0))</f>
        <v>3</v>
      </c>
      <c r="H261" s="279">
        <f ca="1">IF(H$2&lt;$B260, Параметры!H$31, IF(H$2=$B260, -G259/(H259-G259)*Параметры!H$31, 0))</f>
        <v>3</v>
      </c>
      <c r="I261" s="279">
        <f ca="1">IF(I$2&lt;$B260, Параметры!I$31, IF(I$2=$B260, -H259/(I259-H259)*Параметры!I$31, 0))</f>
        <v>3</v>
      </c>
      <c r="J261" s="279">
        <f ca="1">IF(J$2&lt;$B260, Параметры!J$31, IF(J$2=$B260, -I259/(J259-I259)*Параметры!J$31, 0))</f>
        <v>3</v>
      </c>
      <c r="K261" s="279">
        <f ca="1">IF(K$2&lt;$B260, Параметры!K$31, IF(K$2=$B260, -J259/(K259-J259)*Параметры!K$31, 0))</f>
        <v>3</v>
      </c>
      <c r="L261" s="279">
        <f ca="1">IF(L$2&lt;$B260, Параметры!L$31, IF(L$2=$B260, -K259/(L259-K259)*Параметры!L$31, 0))</f>
        <v>3</v>
      </c>
      <c r="M261" s="279">
        <f ca="1">IF(M$2&lt;$B260, Параметры!M$31, IF(M$2=$B260, -L259/(M259-L259)*Параметры!M$31, 0))</f>
        <v>3</v>
      </c>
      <c r="N261" s="279">
        <f ca="1">IF(N$2&lt;$B260, Параметры!N$31, IF(N$2=$B260, -M259/(N259-M259)*Параметры!N$31, 0))</f>
        <v>3</v>
      </c>
      <c r="O261" s="279">
        <f ca="1">IF(O$2&lt;$B260, Параметры!O$31, IF(O$2=$B260, -N259/(O259-N259)*Параметры!O$31, 0))</f>
        <v>3</v>
      </c>
      <c r="P261" s="279">
        <f ca="1">IF(P$2&lt;$B260, Параметры!P$31, IF(P$2=$B260, -O259/(P259-O259)*Параметры!P$31, 0))</f>
        <v>1.6509589652005416</v>
      </c>
      <c r="Q261" s="279">
        <f ca="1">IF(Q$2&lt;$B260, Параметры!Q$31, IF(Q$2=$B260, -P259/(Q259-P259)*Параметры!Q$31, 0))</f>
        <v>0</v>
      </c>
      <c r="R261" s="279">
        <f ca="1">IF(R$2&lt;$B260, Параметры!R$31, IF(R$2=$B260, -Q259/(R259-Q259)*Параметры!R$31, 0))</f>
        <v>0</v>
      </c>
      <c r="S261" s="279">
        <f ca="1">IF(S$2&lt;$B260, Параметры!S$31, IF(S$2=$B260, -R259/(S259-R259)*Параметры!S$31, 0))</f>
        <v>0</v>
      </c>
      <c r="T261" s="279">
        <f ca="1">IF(T$2&lt;$B260, Параметры!T$31, IF(T$2=$B260, -S259/(T259-S259)*Параметры!T$31, 0))</f>
        <v>0</v>
      </c>
      <c r="U261" s="279">
        <f ca="1">IF(U$2&lt;$B260, Параметры!U$31, IF(U$2=$B260, -T259/(U259-T259)*Параметры!U$31, 0))</f>
        <v>0</v>
      </c>
      <c r="V261" s="279">
        <f ca="1">IF(V$2&lt;$B260, Параметры!V$31, IF(V$2=$B260, -U259/(V259-U259)*Параметры!V$31, 0))</f>
        <v>0</v>
      </c>
      <c r="W261" s="279">
        <f ca="1">IF(W$2&lt;$B260, Параметры!W$31, IF(W$2=$B260, -V259/(W259-V259)*Параметры!W$31, 0))</f>
        <v>0</v>
      </c>
      <c r="X261" s="279">
        <f ca="1">IF(X$2&lt;$B260, Параметры!X$31, IF(X$2=$B260, -W259/(X259-W259)*Параметры!X$31, 0))</f>
        <v>0</v>
      </c>
      <c r="Y261" s="279">
        <f ca="1">IF(Y$2&lt;$B260, Параметры!Y$31, IF(Y$2=$B260, -X259/(Y259-X259)*Параметры!Y$31, 0))</f>
        <v>0</v>
      </c>
      <c r="Z261" s="279">
        <f ca="1">IF(Z$2&lt;$B260, Параметры!Z$31, IF(Z$2=$B260, -Y259/(Z259-Y259)*Параметры!Z$31, 0))</f>
        <v>0</v>
      </c>
      <c r="AA261" s="279">
        <f ca="1">IF(AA$2&lt;$B260, Параметры!AA$31, IF(AA$2=$B260, -Z259/(AA259-Z259)*Параметры!AA$31, 0))</f>
        <v>0</v>
      </c>
      <c r="AB261" s="279">
        <f ca="1">IF(AB$2&lt;$B260, Параметры!AB$31, IF(AB$2=$B260, -AA259/(AB259-AA259)*Параметры!AB$31, 0))</f>
        <v>0</v>
      </c>
      <c r="AC261" s="279">
        <f ca="1">IF(AC$2&lt;$B260, Параметры!AC$31, IF(AC$2=$B260, -AB259/(AC259-AB259)*Параметры!AC$31, 0))</f>
        <v>0</v>
      </c>
      <c r="AD261" s="279">
        <f ca="1">IF(AD$2&lt;$B260, Параметры!AD$31, IF(AD$2=$B260, -AC259/(AD259-AC259)*Параметры!AD$31, 0))</f>
        <v>0</v>
      </c>
      <c r="AE261" s="279">
        <f ca="1">IF(AE$2&lt;$B260, Параметры!AE$31, IF(AE$2=$B260, -AD259/(AE259-AD259)*Параметры!AE$31, 0))</f>
        <v>0</v>
      </c>
      <c r="AF261" s="279">
        <f ca="1">IF(AF$2&lt;$B260, Параметры!AF$31, IF(AF$2=$B260, -AE259/(AF259-AE259)*Параметры!AF$31, 0))</f>
        <v>0</v>
      </c>
      <c r="AG261" s="279">
        <f ca="1">IF(AG$2&lt;$B260, Параметры!AG$31, IF(AG$2=$B260, -AF259/(AG259-AF259)*Параметры!AG$31, 0))</f>
        <v>0</v>
      </c>
      <c r="AH261" s="279">
        <f ca="1">IF(AH$2&lt;$B260, Параметры!AH$31, IF(AH$2=$B260, -AG259/(AH259-AG259)*Параметры!AH$31, 0))</f>
        <v>0</v>
      </c>
      <c r="AI261" s="279">
        <f ca="1">IF(AI$2&lt;$B260, Параметры!AI$31, IF(AI$2=$B260, -AH259/(AI259-AH259)*Параметры!AI$31, 0))</f>
        <v>0</v>
      </c>
      <c r="AJ261" s="279">
        <f ca="1">IF(AJ$2&lt;$B260, Параметры!AJ$31, IF(AJ$2=$B260, -AI259/(AJ259-AI259)*Параметры!AJ$31, 0))</f>
        <v>0</v>
      </c>
      <c r="AK261" s="279">
        <f ca="1">IF(AK$2&lt;$B260, Параметры!AK$31, IF(AK$2=$B260, -AJ259/(AK259-AJ259)*Параметры!AK$31, 0))</f>
        <v>0</v>
      </c>
      <c r="AL261" s="279">
        <f ca="1">IF(AL$2&lt;$B260, Параметры!AL$31, IF(AL$2=$B260, -AK259/(AL259-AK259)*Параметры!AL$31, 0))</f>
        <v>0</v>
      </c>
      <c r="AM261" s="279">
        <f ca="1">IF(AM$2&lt;$B260, Параметры!AM$31, IF(AM$2=$B260, -AL259/(AM259-AL259)*Параметры!AM$31, 0))</f>
        <v>0</v>
      </c>
      <c r="AN261" s="279">
        <f ca="1">IF(AN$2&lt;$B260, Параметры!AN$31, IF(AN$2=$B260, -AM259/(AN259-AM259)*Параметры!AN$31, 0))</f>
        <v>0</v>
      </c>
      <c r="AO261" s="279">
        <f ca="1">IF(AO$2&lt;$B260, Параметры!AO$31, IF(AO$2=$B260, -AN259/(AO259-AN259)*Параметры!AO$31, 0))</f>
        <v>0</v>
      </c>
      <c r="AP261" s="279">
        <f ca="1">IF(AP$2&lt;$B260, Параметры!AP$31, IF(AP$2=$B260, -AO259/(AP259-AO259)*Параметры!AP$31, 0))</f>
        <v>0</v>
      </c>
      <c r="AQ261" s="279">
        <f ca="1">IF(AQ$2&lt;$B260, Параметры!AQ$31, IF(AQ$2=$B260, -AP259/(AQ259-AP259)*Параметры!AQ$31, 0))</f>
        <v>0</v>
      </c>
      <c r="AR261" s="279">
        <f ca="1">IF(AR$2&lt;$B260, Параметры!AR$31, IF(AR$2=$B260, -AQ259/(AR259-AQ259)*Параметры!AR$31, 0))</f>
        <v>0</v>
      </c>
      <c r="AS261" s="279">
        <f ca="1">IF(AS$2&lt;$B260, Параметры!AS$31, IF(AS$2=$B260, -AR259/(AS259-AR259)*Параметры!AS$31, 0))</f>
        <v>0</v>
      </c>
      <c r="AT261" s="279">
        <f ca="1">IF(AT$2&lt;$B260, Параметры!AT$31, IF(AT$2=$B260, -AS259/(AT259-AS259)*Параметры!AT$31, 0))</f>
        <v>0</v>
      </c>
      <c r="AU261" s="279">
        <f ca="1">IF(AU$2&lt;$B260, Параметры!AU$31, IF(AU$2=$B260, -AT259/(AU259-AT259)*Параметры!AU$31, 0))</f>
        <v>0</v>
      </c>
      <c r="AV261" s="279">
        <f ca="1">IF(AV$2&lt;$B260, Параметры!AV$31, IF(AV$2=$B260, -AU259/(AV259-AU259)*Параметры!AV$31, 0))</f>
        <v>0</v>
      </c>
      <c r="AW261" s="279"/>
      <c r="AX261" s="281">
        <f ca="1">SUM(G261:AW261)</f>
        <v>28.650958965200541</v>
      </c>
    </row>
    <row r="262" spans="1:50" x14ac:dyDescent="0.2">
      <c r="A262" s="107"/>
      <c r="B262" s="280"/>
      <c r="D262" s="57"/>
      <c r="E262" s="57"/>
      <c r="F262" s="57"/>
      <c r="G262" s="279"/>
      <c r="H262" s="279"/>
      <c r="I262" s="279"/>
      <c r="J262" s="279"/>
      <c r="K262" s="279"/>
      <c r="L262" s="279"/>
      <c r="M262" s="279"/>
      <c r="N262" s="279"/>
      <c r="O262" s="279"/>
      <c r="P262" s="279"/>
      <c r="Q262" s="279"/>
      <c r="R262" s="279"/>
      <c r="S262" s="279"/>
      <c r="T262" s="279"/>
      <c r="U262" s="279"/>
      <c r="V262" s="279"/>
      <c r="W262" s="279"/>
      <c r="X262" s="279"/>
      <c r="Y262" s="279"/>
      <c r="Z262" s="279"/>
      <c r="AA262" s="279"/>
      <c r="AB262" s="279"/>
      <c r="AC262" s="279"/>
      <c r="AD262" s="279"/>
      <c r="AE262" s="279"/>
      <c r="AF262" s="279"/>
      <c r="AG262" s="279"/>
      <c r="AH262" s="279"/>
      <c r="AI262" s="279"/>
      <c r="AJ262" s="279"/>
      <c r="AK262" s="279"/>
      <c r="AL262" s="279"/>
      <c r="AM262" s="279"/>
      <c r="AN262" s="279"/>
      <c r="AO262" s="279"/>
      <c r="AP262" s="279"/>
      <c r="AQ262" s="279"/>
      <c r="AR262" s="279"/>
      <c r="AS262" s="279"/>
      <c r="AT262" s="279"/>
      <c r="AU262" s="279"/>
      <c r="AV262" s="279"/>
      <c r="AW262" s="279"/>
      <c r="AX262" s="281"/>
    </row>
    <row r="263" spans="1:50" collapsed="1" x14ac:dyDescent="0.2">
      <c r="A263" s="107" t="str">
        <f ca="1">Language!A$1341</f>
        <v>Норма доходности дисконтированных затрат (PI)</v>
      </c>
      <c r="B263" s="280">
        <f ca="1">IF(AX267=0,"-",AX265/-AX267)</f>
        <v>2.5667427526287949</v>
      </c>
      <c r="C263" s="130" t="str">
        <f ca="1">Language!$A$1449</f>
        <v>раз</v>
      </c>
      <c r="D263" s="57"/>
      <c r="E263" s="57"/>
      <c r="F263" s="57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279"/>
      <c r="AX263" s="281"/>
    </row>
    <row r="264" spans="1:50" hidden="1" outlineLevel="1" x14ac:dyDescent="0.2">
      <c r="A264" s="99" t="str">
        <f ca="1">Language!A$1342</f>
        <v>притоки</v>
      </c>
      <c r="B264" s="280"/>
      <c r="C264" s="130" t="str">
        <f ca="1">Параметры!$C$64</f>
        <v>тыс. руб.</v>
      </c>
      <c r="D264" s="57"/>
      <c r="E264" s="57"/>
      <c r="F264" s="57" t="s">
        <v>753</v>
      </c>
      <c r="G264" s="138">
        <f ca="1">MAX(0,G239)</f>
        <v>0</v>
      </c>
      <c r="H264" s="138">
        <f t="shared" ref="H264:K264" ca="1" si="899">MAX(0,H239)</f>
        <v>0</v>
      </c>
      <c r="I264" s="138">
        <f t="shared" ca="1" si="899"/>
        <v>47415.840987251679</v>
      </c>
      <c r="J264" s="138">
        <f t="shared" ca="1" si="899"/>
        <v>59092.585322022802</v>
      </c>
      <c r="K264" s="138">
        <f t="shared" ca="1" si="899"/>
        <v>148524.99262800685</v>
      </c>
      <c r="L264" s="138">
        <f t="shared" ref="L264:M264" ca="1" si="900">MAX(0,L239)</f>
        <v>126042.37360842898</v>
      </c>
      <c r="M264" s="138">
        <f t="shared" ca="1" si="900"/>
        <v>40113.155241384236</v>
      </c>
      <c r="N264" s="138">
        <f t="shared" ref="N264:O264" ca="1" si="901">MAX(0,N239)</f>
        <v>83065.393729424628</v>
      </c>
      <c r="O264" s="138">
        <f t="shared" ca="1" si="901"/>
        <v>202696.47973432834</v>
      </c>
      <c r="P264" s="138">
        <f t="shared" ref="P264:Q264" ca="1" si="902">MAX(0,P239)</f>
        <v>176274.03803665275</v>
      </c>
      <c r="Q264" s="138">
        <f t="shared" ca="1" si="902"/>
        <v>86326.080973896751</v>
      </c>
      <c r="R264" s="138">
        <f t="shared" ref="R264:S264" ca="1" si="903">MAX(0,R239)</f>
        <v>126278.02048817964</v>
      </c>
      <c r="S264" s="138">
        <f t="shared" ca="1" si="903"/>
        <v>242135.5356075241</v>
      </c>
      <c r="T264" s="138">
        <f t="shared" ref="T264:U264" ca="1" si="904">MAX(0,T239)</f>
        <v>202846.76050562898</v>
      </c>
      <c r="U264" s="138">
        <f t="shared" ca="1" si="904"/>
        <v>52867.887659887085</v>
      </c>
      <c r="V264" s="138">
        <f t="shared" ref="V264:W264" ca="1" si="905">MAX(0,V239)</f>
        <v>67395.65232337208</v>
      </c>
      <c r="W264" s="138">
        <f t="shared" ca="1" si="905"/>
        <v>100834.41784551216</v>
      </c>
      <c r="X264" s="138">
        <f t="shared" ref="X264:Y264" ca="1" si="906">MAX(0,X239)</f>
        <v>87565.047362625628</v>
      </c>
      <c r="Y264" s="138">
        <f t="shared" ca="1" si="906"/>
        <v>54705.976194467468</v>
      </c>
      <c r="Z264" s="138">
        <f t="shared" ref="Z264:AA264" ca="1" si="907">MAX(0,Z239)</f>
        <v>64953.316607535598</v>
      </c>
      <c r="AA264" s="138">
        <f t="shared" ca="1" si="907"/>
        <v>100325.68283502309</v>
      </c>
      <c r="AB264" s="138">
        <f t="shared" ref="AB264:AC264" ca="1" si="908">MAX(0,AB239)</f>
        <v>86186.641176546051</v>
      </c>
      <c r="AC264" s="138">
        <f t="shared" ca="1" si="908"/>
        <v>52786.614878775596</v>
      </c>
      <c r="AD264" s="138">
        <f t="shared" ref="AD264:AE264" ca="1" si="909">MAX(0,AD239)</f>
        <v>64325.024966892612</v>
      </c>
      <c r="AE264" s="138">
        <f t="shared" ca="1" si="909"/>
        <v>101716.62876253831</v>
      </c>
      <c r="AF264" s="138">
        <f t="shared" ref="AF264:AG264" ca="1" si="910">MAX(0,AF239)</f>
        <v>86624.162740368833</v>
      </c>
      <c r="AG264" s="138">
        <f t="shared" ca="1" si="910"/>
        <v>50375.933477960556</v>
      </c>
      <c r="AH264" s="138">
        <f t="shared" ref="AH264:AI264" ca="1" si="911">MAX(0,AH239)</f>
        <v>61803.40594345874</v>
      </c>
      <c r="AI264" s="138">
        <f t="shared" ca="1" si="911"/>
        <v>101344.39429239446</v>
      </c>
      <c r="AJ264" s="138">
        <f t="shared" ref="AJ264:AK264" ca="1" si="912">MAX(0,AJ239)</f>
        <v>85250.881627711933</v>
      </c>
      <c r="AK264" s="138">
        <f t="shared" ca="1" si="912"/>
        <v>46195.276326964333</v>
      </c>
      <c r="AL264" s="138">
        <f t="shared" ref="AL264:AM264" ca="1" si="913">MAX(0,AL239)</f>
        <v>57883.359899564966</v>
      </c>
      <c r="AM264" s="138">
        <f t="shared" ca="1" si="913"/>
        <v>317282.55496131931</v>
      </c>
      <c r="AN264" s="138">
        <f t="shared" ref="AN264:AO264" ca="1" si="914">MAX(0,AN239)</f>
        <v>304389.31270437461</v>
      </c>
      <c r="AO264" s="138">
        <f t="shared" ca="1" si="914"/>
        <v>163869.81099400215</v>
      </c>
      <c r="AP264" s="138">
        <f t="shared" ref="AP264:AQ264" ca="1" si="915">MAX(0,AP239)</f>
        <v>212828.56480315898</v>
      </c>
      <c r="AQ264" s="138">
        <f t="shared" ca="1" si="915"/>
        <v>377540.30579911149</v>
      </c>
      <c r="AR264" s="138">
        <f t="shared" ref="AR264:AS264" ca="1" si="916">MAX(0,AR239)</f>
        <v>322179.43428775296</v>
      </c>
      <c r="AS264" s="138">
        <f t="shared" ca="1" si="916"/>
        <v>155243.8034234533</v>
      </c>
      <c r="AT264" s="138">
        <f t="shared" ref="AT264:AU264" ca="1" si="917">MAX(0,AT239)</f>
        <v>198701.68774011367</v>
      </c>
      <c r="AU264" s="138">
        <f t="shared" ca="1" si="917"/>
        <v>372901.45675774344</v>
      </c>
      <c r="AV264" s="138">
        <f t="shared" ref="AV264" ca="1" si="918">MAX(0,AV239)</f>
        <v>313818.46509628498</v>
      </c>
      <c r="AW264" s="279"/>
      <c r="AX264" s="171">
        <f ca="1">SUM(G264:AW264)</f>
        <v>5602706.9583516438</v>
      </c>
    </row>
    <row r="265" spans="1:50" hidden="1" outlineLevel="1" x14ac:dyDescent="0.2">
      <c r="A265" s="99" t="str">
        <f ca="1">Language!A$1343</f>
        <v>дисконтированные притоки</v>
      </c>
      <c r="B265" s="280"/>
      <c r="C265" s="130" t="str">
        <f ca="1">Параметры!$C$64</f>
        <v>тыс. руб.</v>
      </c>
      <c r="D265" s="57"/>
      <c r="E265" s="57"/>
      <c r="F265" s="57" t="s">
        <v>753</v>
      </c>
      <c r="G265" s="148">
        <f ca="1">G264/G226</f>
        <v>0</v>
      </c>
      <c r="H265" s="148">
        <f t="shared" ref="H265:K265" ca="1" si="919">H264/H226</f>
        <v>0</v>
      </c>
      <c r="I265" s="148">
        <f t="shared" ca="1" si="919"/>
        <v>43284.542819659611</v>
      </c>
      <c r="J265" s="148">
        <f t="shared" ca="1" si="919"/>
        <v>51540.313562962678</v>
      </c>
      <c r="K265" s="148">
        <f t="shared" ca="1" si="919"/>
        <v>123770.82719000569</v>
      </c>
      <c r="L265" s="148">
        <f t="shared" ref="L265:M265" ca="1" si="920">L264/L226</f>
        <v>100355.23114708613</v>
      </c>
      <c r="M265" s="148">
        <f t="shared" ca="1" si="920"/>
        <v>30515.111081128784</v>
      </c>
      <c r="N265" s="148">
        <f t="shared" ref="N265:O265" ca="1" si="921">N264/N226</f>
        <v>60374.416628233637</v>
      </c>
      <c r="O265" s="148">
        <f t="shared" ca="1" si="921"/>
        <v>140761.44425995016</v>
      </c>
      <c r="P265" s="148">
        <f t="shared" ref="P265:Q265" ca="1" si="922">P264/P226</f>
        <v>116958.16603810983</v>
      </c>
      <c r="Q265" s="148">
        <f t="shared" ca="1" si="922"/>
        <v>54725.395660209208</v>
      </c>
      <c r="R265" s="148">
        <f t="shared" ref="R265:S265" ca="1" si="923">R264/R226</f>
        <v>76485.540263776013</v>
      </c>
      <c r="S265" s="148">
        <f t="shared" ca="1" si="923"/>
        <v>140124.73125435409</v>
      </c>
      <c r="T265" s="148">
        <f t="shared" ref="T265:U265" ca="1" si="924">T264/T226</f>
        <v>112157.68243466924</v>
      </c>
      <c r="U265" s="148">
        <f t="shared" ca="1" si="924"/>
        <v>27929.142205795852</v>
      </c>
      <c r="V265" s="148">
        <f t="shared" ref="V265:W265" ca="1" si="925">V264/V226</f>
        <v>34017.485514995351</v>
      </c>
      <c r="W265" s="148">
        <f t="shared" ca="1" si="925"/>
        <v>48627.709223337217</v>
      </c>
      <c r="X265" s="148">
        <f t="shared" ref="X265:Y265" ca="1" si="926">X264/X226</f>
        <v>40346.929664185263</v>
      </c>
      <c r="Y265" s="148">
        <f t="shared" ca="1" si="926"/>
        <v>24083.475752355338</v>
      </c>
      <c r="Z265" s="148">
        <f t="shared" ref="Z265:AA265" ca="1" si="927">Z264/Z226</f>
        <v>27320.611328730833</v>
      </c>
      <c r="AA265" s="148">
        <f t="shared" ca="1" si="927"/>
        <v>40318.641828632564</v>
      </c>
      <c r="AB265" s="148">
        <f t="shared" ref="AB265:AC265" ca="1" si="928">AB264/AB226</f>
        <v>33093.173344439187</v>
      </c>
      <c r="AC265" s="148">
        <f t="shared" ca="1" si="928"/>
        <v>19365.421719234386</v>
      </c>
      <c r="AD265" s="148">
        <f t="shared" ref="AD265:AE265" ca="1" si="929">AD264/AD226</f>
        <v>22546.949840529698</v>
      </c>
      <c r="AE265" s="148">
        <f t="shared" ca="1" si="929"/>
        <v>34064.693167323792</v>
      </c>
      <c r="AF265" s="148">
        <f t="shared" ref="AF265:AG265" ca="1" si="930">AF264/AF226</f>
        <v>27717.640791452115</v>
      </c>
      <c r="AG265" s="148">
        <f t="shared" ca="1" si="930"/>
        <v>15400.861224339353</v>
      </c>
      <c r="AH265" s="148">
        <f t="shared" ref="AH265:AI265" ca="1" si="931">AH264/AH226</f>
        <v>18052.568375712082</v>
      </c>
      <c r="AI265" s="148">
        <f t="shared" ca="1" si="931"/>
        <v>28283.360497018261</v>
      </c>
      <c r="AJ265" s="148">
        <f t="shared" ref="AJ265:AK265" ca="1" si="932">AJ264/AJ226</f>
        <v>22731.853324360553</v>
      </c>
      <c r="AK265" s="148">
        <f t="shared" ca="1" si="932"/>
        <v>11768.963716289316</v>
      </c>
      <c r="AL265" s="148">
        <f t="shared" ref="AL265:AM265" ca="1" si="933">AL264/AL226</f>
        <v>14089.613353440162</v>
      </c>
      <c r="AM265" s="148">
        <f t="shared" ca="1" si="933"/>
        <v>73789.781730922492</v>
      </c>
      <c r="AN265" s="148">
        <f t="shared" ref="AN265:AO265" ca="1" si="934">AN264/AN226</f>
        <v>67636.966306453018</v>
      </c>
      <c r="AO265" s="148">
        <f t="shared" ca="1" si="934"/>
        <v>34790.315033752377</v>
      </c>
      <c r="AP265" s="148">
        <f t="shared" ref="AP265:AQ265" ca="1" si="935">AP264/AP226</f>
        <v>43171.18935170045</v>
      </c>
      <c r="AQ265" s="148">
        <f t="shared" ca="1" si="935"/>
        <v>73169.840582995152</v>
      </c>
      <c r="AR265" s="148">
        <f t="shared" ref="AR265:AS265" ca="1" si="936">AR264/AR226</f>
        <v>59658.357001068187</v>
      </c>
      <c r="AS265" s="148">
        <f t="shared" ca="1" si="936"/>
        <v>27465.811606678151</v>
      </c>
      <c r="AT265" s="148">
        <f t="shared" ref="AT265:AU265" ca="1" si="937">AT264/AT226</f>
        <v>33588.020299596137</v>
      </c>
      <c r="AU265" s="148">
        <f t="shared" ca="1" si="937"/>
        <v>60225.667134131785</v>
      </c>
      <c r="AV265" s="148">
        <f t="shared" ref="AV265" ca="1" si="938">AV264/AV226</f>
        <v>48425.121820780289</v>
      </c>
      <c r="AW265" s="279"/>
      <c r="AX265" s="171">
        <f ca="1">SUM(G265:AW265)</f>
        <v>2062733.5680803938</v>
      </c>
    </row>
    <row r="266" spans="1:50" hidden="1" outlineLevel="1" x14ac:dyDescent="0.2">
      <c r="A266" s="99" t="str">
        <f ca="1">Language!A$1344</f>
        <v>оттоки</v>
      </c>
      <c r="B266" s="280"/>
      <c r="C266" s="130" t="str">
        <f ca="1">Параметры!$C$64</f>
        <v>тыс. руб.</v>
      </c>
      <c r="D266" s="57"/>
      <c r="E266" s="57"/>
      <c r="F266" s="57" t="s">
        <v>753</v>
      </c>
      <c r="G266" s="138">
        <f ca="1">MIN(0,G239)</f>
        <v>-796792.20428188285</v>
      </c>
      <c r="H266" s="138">
        <f t="shared" ref="H266:K266" ca="1" si="939">MIN(0,H239)</f>
        <v>-7165.6847785357386</v>
      </c>
      <c r="I266" s="138">
        <f t="shared" ca="1" si="939"/>
        <v>0</v>
      </c>
      <c r="J266" s="138">
        <f t="shared" ca="1" si="939"/>
        <v>0</v>
      </c>
      <c r="K266" s="138">
        <f t="shared" ca="1" si="939"/>
        <v>0</v>
      </c>
      <c r="L266" s="138">
        <f t="shared" ref="L266:M266" ca="1" si="940">MIN(0,L239)</f>
        <v>0</v>
      </c>
      <c r="M266" s="138">
        <f t="shared" ca="1" si="940"/>
        <v>0</v>
      </c>
      <c r="N266" s="138">
        <f t="shared" ref="N266:O266" ca="1" si="941">MIN(0,N239)</f>
        <v>0</v>
      </c>
      <c r="O266" s="138">
        <f t="shared" ca="1" si="941"/>
        <v>0</v>
      </c>
      <c r="P266" s="138">
        <f t="shared" ref="P266:Q266" ca="1" si="942">MIN(0,P239)</f>
        <v>0</v>
      </c>
      <c r="Q266" s="138">
        <f t="shared" ca="1" si="942"/>
        <v>0</v>
      </c>
      <c r="R266" s="138">
        <f t="shared" ref="R266:S266" ca="1" si="943">MIN(0,R239)</f>
        <v>0</v>
      </c>
      <c r="S266" s="138">
        <f t="shared" ca="1" si="943"/>
        <v>0</v>
      </c>
      <c r="T266" s="138">
        <f t="shared" ref="T266:U266" ca="1" si="944">MIN(0,T239)</f>
        <v>0</v>
      </c>
      <c r="U266" s="138">
        <f t="shared" ca="1" si="944"/>
        <v>0</v>
      </c>
      <c r="V266" s="138">
        <f t="shared" ref="V266:W266" ca="1" si="945">MIN(0,V239)</f>
        <v>0</v>
      </c>
      <c r="W266" s="138">
        <f t="shared" ca="1" si="945"/>
        <v>0</v>
      </c>
      <c r="X266" s="138">
        <f t="shared" ref="X266:Y266" ca="1" si="946">MIN(0,X239)</f>
        <v>0</v>
      </c>
      <c r="Y266" s="138">
        <f t="shared" ca="1" si="946"/>
        <v>0</v>
      </c>
      <c r="Z266" s="138">
        <f t="shared" ref="Z266:AA266" ca="1" si="947">MIN(0,Z239)</f>
        <v>0</v>
      </c>
      <c r="AA266" s="138">
        <f t="shared" ca="1" si="947"/>
        <v>0</v>
      </c>
      <c r="AB266" s="138">
        <f t="shared" ref="AB266:AC266" ca="1" si="948">MIN(0,AB239)</f>
        <v>0</v>
      </c>
      <c r="AC266" s="138">
        <f t="shared" ca="1" si="948"/>
        <v>0</v>
      </c>
      <c r="AD266" s="138">
        <f t="shared" ref="AD266:AE266" ca="1" si="949">MIN(0,AD239)</f>
        <v>0</v>
      </c>
      <c r="AE266" s="138">
        <f t="shared" ca="1" si="949"/>
        <v>0</v>
      </c>
      <c r="AF266" s="138">
        <f t="shared" ref="AF266:AG266" ca="1" si="950">MIN(0,AF239)</f>
        <v>0</v>
      </c>
      <c r="AG266" s="138">
        <f t="shared" ca="1" si="950"/>
        <v>0</v>
      </c>
      <c r="AH266" s="138">
        <f t="shared" ref="AH266:AI266" ca="1" si="951">MIN(0,AH239)</f>
        <v>0</v>
      </c>
      <c r="AI266" s="138">
        <f t="shared" ca="1" si="951"/>
        <v>0</v>
      </c>
      <c r="AJ266" s="138">
        <f t="shared" ref="AJ266:AK266" ca="1" si="952">MIN(0,AJ239)</f>
        <v>0</v>
      </c>
      <c r="AK266" s="138">
        <f t="shared" ca="1" si="952"/>
        <v>0</v>
      </c>
      <c r="AL266" s="138">
        <f t="shared" ref="AL266:AM266" ca="1" si="953">MIN(0,AL239)</f>
        <v>0</v>
      </c>
      <c r="AM266" s="138">
        <f t="shared" ca="1" si="953"/>
        <v>0</v>
      </c>
      <c r="AN266" s="138">
        <f t="shared" ref="AN266:AO266" ca="1" si="954">MIN(0,AN239)</f>
        <v>0</v>
      </c>
      <c r="AO266" s="138">
        <f t="shared" ca="1" si="954"/>
        <v>0</v>
      </c>
      <c r="AP266" s="138">
        <f t="shared" ref="AP266:AQ266" ca="1" si="955">MIN(0,AP239)</f>
        <v>0</v>
      </c>
      <c r="AQ266" s="138">
        <f t="shared" ca="1" si="955"/>
        <v>0</v>
      </c>
      <c r="AR266" s="138">
        <f t="shared" ref="AR266:AS266" ca="1" si="956">MIN(0,AR239)</f>
        <v>0</v>
      </c>
      <c r="AS266" s="138">
        <f t="shared" ca="1" si="956"/>
        <v>0</v>
      </c>
      <c r="AT266" s="138">
        <f t="shared" ref="AT266:AU266" ca="1" si="957">MIN(0,AT239)</f>
        <v>0</v>
      </c>
      <c r="AU266" s="138">
        <f t="shared" ca="1" si="957"/>
        <v>0</v>
      </c>
      <c r="AV266" s="138">
        <f t="shared" ref="AV266" ca="1" si="958">MIN(0,AV239)</f>
        <v>0</v>
      </c>
      <c r="AW266" s="279"/>
      <c r="AX266" s="171">
        <f ca="1">SUM(G266:AW266)</f>
        <v>-803957.88906041859</v>
      </c>
    </row>
    <row r="267" spans="1:50" hidden="1" outlineLevel="1" x14ac:dyDescent="0.2">
      <c r="A267" s="99" t="str">
        <f ca="1">Language!A$1345</f>
        <v>дисконтированные оттоки</v>
      </c>
      <c r="B267" s="280"/>
      <c r="C267" s="130" t="str">
        <f ca="1">Параметры!$C$64</f>
        <v>тыс. руб.</v>
      </c>
      <c r="D267" s="57"/>
      <c r="E267" s="57"/>
      <c r="F267" s="57" t="s">
        <v>753</v>
      </c>
      <c r="G267" s="148">
        <f ca="1">G266/G226</f>
        <v>-796792.20428188285</v>
      </c>
      <c r="H267" s="148">
        <f t="shared" ref="H267:K267" ca="1" si="959">H266/H226</f>
        <v>-6846.4018728605151</v>
      </c>
      <c r="I267" s="148">
        <f t="shared" ca="1" si="959"/>
        <v>0</v>
      </c>
      <c r="J267" s="148">
        <f t="shared" ca="1" si="959"/>
        <v>0</v>
      </c>
      <c r="K267" s="148">
        <f t="shared" ca="1" si="959"/>
        <v>0</v>
      </c>
      <c r="L267" s="148">
        <f t="shared" ref="L267:M267" ca="1" si="960">L266/L226</f>
        <v>0</v>
      </c>
      <c r="M267" s="148">
        <f t="shared" ca="1" si="960"/>
        <v>0</v>
      </c>
      <c r="N267" s="148">
        <f t="shared" ref="N267:O267" ca="1" si="961">N266/N226</f>
        <v>0</v>
      </c>
      <c r="O267" s="148">
        <f t="shared" ca="1" si="961"/>
        <v>0</v>
      </c>
      <c r="P267" s="148">
        <f t="shared" ref="P267:Q267" ca="1" si="962">P266/P226</f>
        <v>0</v>
      </c>
      <c r="Q267" s="148">
        <f t="shared" ca="1" si="962"/>
        <v>0</v>
      </c>
      <c r="R267" s="148">
        <f t="shared" ref="R267:S267" ca="1" si="963">R266/R226</f>
        <v>0</v>
      </c>
      <c r="S267" s="148">
        <f t="shared" ca="1" si="963"/>
        <v>0</v>
      </c>
      <c r="T267" s="148">
        <f t="shared" ref="T267:U267" ca="1" si="964">T266/T226</f>
        <v>0</v>
      </c>
      <c r="U267" s="148">
        <f t="shared" ca="1" si="964"/>
        <v>0</v>
      </c>
      <c r="V267" s="148">
        <f t="shared" ref="V267:W267" ca="1" si="965">V266/V226</f>
        <v>0</v>
      </c>
      <c r="W267" s="148">
        <f t="shared" ca="1" si="965"/>
        <v>0</v>
      </c>
      <c r="X267" s="148">
        <f t="shared" ref="X267:Y267" ca="1" si="966">X266/X226</f>
        <v>0</v>
      </c>
      <c r="Y267" s="148">
        <f t="shared" ca="1" si="966"/>
        <v>0</v>
      </c>
      <c r="Z267" s="148">
        <f t="shared" ref="Z267:AA267" ca="1" si="967">Z266/Z226</f>
        <v>0</v>
      </c>
      <c r="AA267" s="148">
        <f t="shared" ca="1" si="967"/>
        <v>0</v>
      </c>
      <c r="AB267" s="148">
        <f t="shared" ref="AB267:AC267" ca="1" si="968">AB266/AB226</f>
        <v>0</v>
      </c>
      <c r="AC267" s="148">
        <f t="shared" ca="1" si="968"/>
        <v>0</v>
      </c>
      <c r="AD267" s="148">
        <f t="shared" ref="AD267:AE267" ca="1" si="969">AD266/AD226</f>
        <v>0</v>
      </c>
      <c r="AE267" s="148">
        <f t="shared" ca="1" si="969"/>
        <v>0</v>
      </c>
      <c r="AF267" s="148">
        <f t="shared" ref="AF267:AG267" ca="1" si="970">AF266/AF226</f>
        <v>0</v>
      </c>
      <c r="AG267" s="148">
        <f t="shared" ca="1" si="970"/>
        <v>0</v>
      </c>
      <c r="AH267" s="148">
        <f t="shared" ref="AH267:AI267" ca="1" si="971">AH266/AH226</f>
        <v>0</v>
      </c>
      <c r="AI267" s="148">
        <f t="shared" ca="1" si="971"/>
        <v>0</v>
      </c>
      <c r="AJ267" s="148">
        <f t="shared" ref="AJ267:AK267" ca="1" si="972">AJ266/AJ226</f>
        <v>0</v>
      </c>
      <c r="AK267" s="148">
        <f t="shared" ca="1" si="972"/>
        <v>0</v>
      </c>
      <c r="AL267" s="148">
        <f t="shared" ref="AL267:AM267" ca="1" si="973">AL266/AL226</f>
        <v>0</v>
      </c>
      <c r="AM267" s="148">
        <f t="shared" ca="1" si="973"/>
        <v>0</v>
      </c>
      <c r="AN267" s="148">
        <f t="shared" ref="AN267:AO267" ca="1" si="974">AN266/AN226</f>
        <v>0</v>
      </c>
      <c r="AO267" s="148">
        <f t="shared" ca="1" si="974"/>
        <v>0</v>
      </c>
      <c r="AP267" s="148">
        <f t="shared" ref="AP267:AQ267" ca="1" si="975">AP266/AP226</f>
        <v>0</v>
      </c>
      <c r="AQ267" s="148">
        <f t="shared" ca="1" si="975"/>
        <v>0</v>
      </c>
      <c r="AR267" s="148">
        <f t="shared" ref="AR267:AS267" ca="1" si="976">AR266/AR226</f>
        <v>0</v>
      </c>
      <c r="AS267" s="148">
        <f t="shared" ca="1" si="976"/>
        <v>0</v>
      </c>
      <c r="AT267" s="148">
        <f t="shared" ref="AT267:AU267" ca="1" si="977">AT266/AT226</f>
        <v>0</v>
      </c>
      <c r="AU267" s="148">
        <f t="shared" ca="1" si="977"/>
        <v>0</v>
      </c>
      <c r="AV267" s="148">
        <f t="shared" ref="AV267" ca="1" si="978">AV266/AV226</f>
        <v>0</v>
      </c>
      <c r="AW267" s="279"/>
      <c r="AX267" s="171">
        <f ca="1">SUM(G267:AW267)</f>
        <v>-803638.60615474335</v>
      </c>
    </row>
    <row r="268" spans="1:50" x14ac:dyDescent="0.2">
      <c r="A268" s="67"/>
      <c r="B268" s="248"/>
      <c r="C268" s="133"/>
      <c r="D268" s="68"/>
      <c r="E268" s="68" t="s">
        <v>749</v>
      </c>
      <c r="F268" s="68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</row>
    <row r="269" spans="1:50" x14ac:dyDescent="0.2">
      <c r="D269" s="57"/>
      <c r="E269" s="57"/>
      <c r="F269" s="57"/>
    </row>
    <row r="270" spans="1:50" x14ac:dyDescent="0.2">
      <c r="D270" s="57"/>
      <c r="E270" s="57"/>
      <c r="F270" s="57"/>
    </row>
    <row r="271" spans="1:50" s="64" customFormat="1" ht="25.5" customHeight="1" thickBot="1" x14ac:dyDescent="0.25">
      <c r="A271" s="118" t="str">
        <f ca="1">Language!A1368</f>
        <v>ЭФФЕКТИВНОСТЬ ДЛЯ БАНКА (CFADS)</v>
      </c>
      <c r="B271" s="241"/>
      <c r="C271" s="242"/>
      <c r="D271" s="121"/>
      <c r="E271" s="121" t="s">
        <v>905</v>
      </c>
      <c r="F271" s="121"/>
      <c r="G271" s="69" t="str">
        <f ca="1">Параметры!G$34</f>
        <v>4 кв. 2022</v>
      </c>
      <c r="H271" s="140" t="str">
        <f ca="1">Параметры!H$34</f>
        <v>1 кв. 2023</v>
      </c>
      <c r="I271" s="140" t="str">
        <f ca="1">Параметры!I$34</f>
        <v>2 кв. 2023</v>
      </c>
      <c r="J271" s="140" t="str">
        <f ca="1">Параметры!J$34</f>
        <v>3 кв. 2023</v>
      </c>
      <c r="K271" s="140" t="str">
        <f ca="1">Параметры!K$34</f>
        <v>4 кв. 2023</v>
      </c>
      <c r="L271" s="140" t="str">
        <f ca="1">Параметры!L$34</f>
        <v>1 кв. 2024</v>
      </c>
      <c r="M271" s="140" t="str">
        <f ca="1">Параметры!M$34</f>
        <v>2 кв. 2024</v>
      </c>
      <c r="N271" s="140" t="str">
        <f ca="1">Параметры!N$34</f>
        <v>3 кв. 2024</v>
      </c>
      <c r="O271" s="140" t="str">
        <f ca="1">Параметры!O$34</f>
        <v>4 кв. 2024</v>
      </c>
      <c r="P271" s="140" t="str">
        <f ca="1">Параметры!P$34</f>
        <v>1 кв. 2025</v>
      </c>
      <c r="Q271" s="140" t="str">
        <f ca="1">Параметры!Q$34</f>
        <v>2 кв. 2025</v>
      </c>
      <c r="R271" s="140" t="str">
        <f ca="1">Параметры!R$34</f>
        <v>3 кв. 2025</v>
      </c>
      <c r="S271" s="140" t="str">
        <f ca="1">Параметры!S$34</f>
        <v>4 кв. 2025</v>
      </c>
      <c r="T271" s="140" t="str">
        <f ca="1">Параметры!T$34</f>
        <v>1 кв. 2026</v>
      </c>
      <c r="U271" s="140" t="str">
        <f ca="1">Параметры!U$34</f>
        <v>2 кв. 2026</v>
      </c>
      <c r="V271" s="140" t="str">
        <f ca="1">Параметры!V$34</f>
        <v>3 кв. 2026</v>
      </c>
      <c r="W271" s="140" t="str">
        <f ca="1">Параметры!W$34</f>
        <v>4 кв. 2026</v>
      </c>
      <c r="X271" s="140" t="str">
        <f ca="1">Параметры!X$34</f>
        <v>1 кв. 2027</v>
      </c>
      <c r="Y271" s="140" t="str">
        <f ca="1">Параметры!Y$34</f>
        <v>2 кв. 2027</v>
      </c>
      <c r="Z271" s="140" t="str">
        <f ca="1">Параметры!Z$34</f>
        <v>3 кв. 2027</v>
      </c>
      <c r="AA271" s="140" t="str">
        <f ca="1">Параметры!AA$34</f>
        <v>4 кв. 2027</v>
      </c>
      <c r="AB271" s="140" t="str">
        <f ca="1">Параметры!AB$34</f>
        <v>1 кв. 2028</v>
      </c>
      <c r="AC271" s="140" t="str">
        <f ca="1">Параметры!AC$34</f>
        <v>2 кв. 2028</v>
      </c>
      <c r="AD271" s="140" t="str">
        <f ca="1">Параметры!AD$34</f>
        <v>3 кв. 2028</v>
      </c>
      <c r="AE271" s="140" t="str">
        <f ca="1">Параметры!AE$34</f>
        <v>4 кв. 2028</v>
      </c>
      <c r="AF271" s="140" t="str">
        <f ca="1">Параметры!AF$34</f>
        <v>1 кв. 2029</v>
      </c>
      <c r="AG271" s="140" t="str">
        <f ca="1">Параметры!AG$34</f>
        <v>2 кв. 2029</v>
      </c>
      <c r="AH271" s="140" t="str">
        <f ca="1">Параметры!AH$34</f>
        <v>3 кв. 2029</v>
      </c>
      <c r="AI271" s="140" t="str">
        <f ca="1">Параметры!AI$34</f>
        <v>4 кв. 2029</v>
      </c>
      <c r="AJ271" s="140" t="str">
        <f ca="1">Параметры!AJ$34</f>
        <v>1 кв. 2030</v>
      </c>
      <c r="AK271" s="140" t="str">
        <f ca="1">Параметры!AK$34</f>
        <v>2 кв. 2030</v>
      </c>
      <c r="AL271" s="140" t="str">
        <f ca="1">Параметры!AL$34</f>
        <v>3 кв. 2030</v>
      </c>
      <c r="AM271" s="140" t="str">
        <f ca="1">Параметры!AM$34</f>
        <v>4 кв. 2030</v>
      </c>
      <c r="AN271" s="140" t="str">
        <f ca="1">Параметры!AN$34</f>
        <v>1 кв. 2031</v>
      </c>
      <c r="AO271" s="140" t="str">
        <f ca="1">Параметры!AO$34</f>
        <v>2 кв. 2031</v>
      </c>
      <c r="AP271" s="140" t="str">
        <f ca="1">Параметры!AP$34</f>
        <v>3 кв. 2031</v>
      </c>
      <c r="AQ271" s="140" t="str">
        <f ca="1">Параметры!AQ$34</f>
        <v>4 кв. 2031</v>
      </c>
      <c r="AR271" s="140" t="str">
        <f ca="1">Параметры!AR$34</f>
        <v>1 кв. 2032</v>
      </c>
      <c r="AS271" s="140" t="str">
        <f ca="1">Параметры!AS$34</f>
        <v>2 кв. 2032</v>
      </c>
      <c r="AT271" s="140" t="str">
        <f ca="1">Параметры!AT$34</f>
        <v>3 кв. 2032</v>
      </c>
      <c r="AU271" s="140" t="str">
        <f ca="1">Параметры!AU$34</f>
        <v>4 кв. 2032</v>
      </c>
      <c r="AV271" s="140" t="str">
        <f ca="1">Параметры!AV$34</f>
        <v>1 кв. 2033</v>
      </c>
      <c r="AW271" s="140"/>
      <c r="AX271" s="141" t="str">
        <f ca="1">Language!$A$1445</f>
        <v>ИТОГО</v>
      </c>
    </row>
    <row r="272" spans="1:50" ht="13.5" thickTop="1" x14ac:dyDescent="0.2">
      <c r="A272" s="65"/>
      <c r="D272" s="57"/>
      <c r="E272" s="57"/>
      <c r="F272" s="57"/>
    </row>
    <row r="273" spans="1:50" collapsed="1" x14ac:dyDescent="0.2">
      <c r="A273" s="65" t="str">
        <f ca="1">Language!A1369</f>
        <v>Ставка дисконтирования</v>
      </c>
      <c r="B273" s="269">
        <f>Параметры!B121</f>
        <v>0.01</v>
      </c>
      <c r="C273" s="130" t="s">
        <v>1</v>
      </c>
      <c r="D273" s="57"/>
      <c r="E273" s="57"/>
      <c r="F273" s="57"/>
    </row>
    <row r="274" spans="1:50" hidden="1" outlineLevel="1" x14ac:dyDescent="0.2">
      <c r="A274" s="99" t="str">
        <f ca="1">Language!A1370</f>
        <v>ставка на расчетный период</v>
      </c>
      <c r="C274" s="130" t="s">
        <v>1</v>
      </c>
      <c r="D274" s="57"/>
      <c r="E274" s="57"/>
      <c r="F274" s="57" t="s">
        <v>756</v>
      </c>
      <c r="G274" s="270">
        <f>Параметры!G122</f>
        <v>2.4906793143211203E-3</v>
      </c>
      <c r="H274" s="270">
        <f>Параметры!H122</f>
        <v>2.4906793143211203E-3</v>
      </c>
      <c r="I274" s="270">
        <f>Параметры!I122</f>
        <v>2.4906793143211203E-3</v>
      </c>
      <c r="J274" s="270">
        <f>Параметры!J122</f>
        <v>2.4906793143211203E-3</v>
      </c>
      <c r="K274" s="270">
        <f>Параметры!K122</f>
        <v>2.4906793143211203E-3</v>
      </c>
      <c r="L274" s="270">
        <f>Параметры!L122</f>
        <v>2.4906793143211203E-3</v>
      </c>
      <c r="M274" s="270">
        <f>Параметры!M122</f>
        <v>2.4906793143211203E-3</v>
      </c>
      <c r="N274" s="270">
        <f>Параметры!N122</f>
        <v>2.4906793143211203E-3</v>
      </c>
      <c r="O274" s="270">
        <f>Параметры!O122</f>
        <v>2.4906793143211203E-3</v>
      </c>
      <c r="P274" s="270">
        <f>Параметры!P122</f>
        <v>2.4906793143211203E-3</v>
      </c>
      <c r="Q274" s="270">
        <f>Параметры!Q122</f>
        <v>2.4906793143211203E-3</v>
      </c>
      <c r="R274" s="270">
        <f>Параметры!R122</f>
        <v>2.4906793143211203E-3</v>
      </c>
      <c r="S274" s="270">
        <f>Параметры!S122</f>
        <v>2.4906793143211203E-3</v>
      </c>
      <c r="T274" s="270">
        <f>Параметры!T122</f>
        <v>2.4906793143211203E-3</v>
      </c>
      <c r="U274" s="270">
        <f>Параметры!U122</f>
        <v>2.4906793143211203E-3</v>
      </c>
      <c r="V274" s="270">
        <f>Параметры!V122</f>
        <v>2.4906793143211203E-3</v>
      </c>
      <c r="W274" s="270">
        <f>Параметры!W122</f>
        <v>2.4906793143211203E-3</v>
      </c>
      <c r="X274" s="270">
        <f>Параметры!X122</f>
        <v>2.4906793143211203E-3</v>
      </c>
      <c r="Y274" s="270">
        <f>Параметры!Y122</f>
        <v>2.4906793143211203E-3</v>
      </c>
      <c r="Z274" s="270">
        <f>Параметры!Z122</f>
        <v>2.4906793143211203E-3</v>
      </c>
      <c r="AA274" s="270">
        <f>Параметры!AA122</f>
        <v>2.4906793143211203E-3</v>
      </c>
      <c r="AB274" s="270">
        <f>Параметры!AB122</f>
        <v>2.4906793143211203E-3</v>
      </c>
      <c r="AC274" s="270">
        <f>Параметры!AC122</f>
        <v>2.4906793143211203E-3</v>
      </c>
      <c r="AD274" s="270">
        <f>Параметры!AD122</f>
        <v>2.4906793143211203E-3</v>
      </c>
      <c r="AE274" s="270">
        <f>Параметры!AE122</f>
        <v>2.4906793143211203E-3</v>
      </c>
      <c r="AF274" s="270">
        <f>Параметры!AF122</f>
        <v>2.4906793143211203E-3</v>
      </c>
      <c r="AG274" s="270">
        <f>Параметры!AG122</f>
        <v>2.4906793143211203E-3</v>
      </c>
      <c r="AH274" s="270">
        <f>Параметры!AH122</f>
        <v>2.4906793143211203E-3</v>
      </c>
      <c r="AI274" s="270">
        <f>Параметры!AI122</f>
        <v>2.4906793143211203E-3</v>
      </c>
      <c r="AJ274" s="270">
        <f>Параметры!AJ122</f>
        <v>2.4906793143211203E-3</v>
      </c>
      <c r="AK274" s="270">
        <f>Параметры!AK122</f>
        <v>2.4906793143211203E-3</v>
      </c>
      <c r="AL274" s="270">
        <f>Параметры!AL122</f>
        <v>2.4906793143211203E-3</v>
      </c>
      <c r="AM274" s="270">
        <f>Параметры!AM122</f>
        <v>2.4906793143211203E-3</v>
      </c>
      <c r="AN274" s="270">
        <f>Параметры!AN122</f>
        <v>2.4906793143211203E-3</v>
      </c>
      <c r="AO274" s="270">
        <f>Параметры!AO122</f>
        <v>2.4906793143211203E-3</v>
      </c>
      <c r="AP274" s="270">
        <f>Параметры!AP122</f>
        <v>2.4906793143211203E-3</v>
      </c>
      <c r="AQ274" s="270">
        <f>Параметры!AQ122</f>
        <v>2.4906793143211203E-3</v>
      </c>
      <c r="AR274" s="270">
        <f>Параметры!AR122</f>
        <v>2.4906793143211203E-3</v>
      </c>
      <c r="AS274" s="270">
        <f>Параметры!AS122</f>
        <v>2.4906793143211203E-3</v>
      </c>
      <c r="AT274" s="270">
        <f>Параметры!AT122</f>
        <v>2.4906793143211203E-3</v>
      </c>
      <c r="AU274" s="270">
        <f>Параметры!AU122</f>
        <v>2.4906793143211203E-3</v>
      </c>
      <c r="AV274" s="270">
        <f>Параметры!AV122</f>
        <v>2.4906793143211203E-3</v>
      </c>
    </row>
    <row r="275" spans="1:50" hidden="1" outlineLevel="1" x14ac:dyDescent="0.2">
      <c r="A275" s="99" t="str">
        <f ca="1">Language!A1371</f>
        <v>коэффициент дисконта на начало периода</v>
      </c>
      <c r="C275" s="130" t="str">
        <f ca="1">Language!$A$1449</f>
        <v>раз</v>
      </c>
      <c r="D275" s="57"/>
      <c r="E275" s="57"/>
      <c r="F275" s="57" t="s">
        <v>756</v>
      </c>
      <c r="G275" s="91">
        <f>Параметры!G123</f>
        <v>1</v>
      </c>
      <c r="H275" s="91">
        <f>Параметры!H123</f>
        <v>1.0024906793143211</v>
      </c>
      <c r="I275" s="91">
        <f>Параметры!I123</f>
        <v>1.004987562112089</v>
      </c>
      <c r="J275" s="91">
        <f>Параметры!J123</f>
        <v>1.0074906638441916</v>
      </c>
      <c r="K275" s="91">
        <f>Параметры!K123</f>
        <v>1.01</v>
      </c>
      <c r="L275" s="91">
        <f>Параметры!L123</f>
        <v>1.0125155861074644</v>
      </c>
      <c r="M275" s="91">
        <f>Параметры!M123</f>
        <v>1.0150374377332101</v>
      </c>
      <c r="N275" s="91">
        <f>Параметры!N123</f>
        <v>1.0175655704826336</v>
      </c>
      <c r="O275" s="91">
        <f>Параметры!O123</f>
        <v>1.0201</v>
      </c>
      <c r="P275" s="91">
        <f>Параметры!P123</f>
        <v>1.022640741968539</v>
      </c>
      <c r="Q275" s="91">
        <f>Параметры!Q123</f>
        <v>1.025187812110542</v>
      </c>
      <c r="R275" s="91">
        <f>Параметры!R123</f>
        <v>1.0277412261874599</v>
      </c>
      <c r="S275" s="91">
        <f>Параметры!S123</f>
        <v>1.0303009999999999</v>
      </c>
      <c r="T275" s="91">
        <f>Параметры!T123</f>
        <v>1.0328671493882242</v>
      </c>
      <c r="U275" s="91">
        <f>Параметры!U123</f>
        <v>1.0354396902316474</v>
      </c>
      <c r="V275" s="91">
        <f>Параметры!V123</f>
        <v>1.0380186384493344</v>
      </c>
      <c r="W275" s="91">
        <f>Параметры!W123</f>
        <v>1.04060401</v>
      </c>
      <c r="X275" s="91">
        <f>Параметры!X123</f>
        <v>1.0431958208821066</v>
      </c>
      <c r="Y275" s="91">
        <f>Параметры!Y123</f>
        <v>1.0457940871339639</v>
      </c>
      <c r="Z275" s="91">
        <f>Параметры!Z123</f>
        <v>1.0483988248338278</v>
      </c>
      <c r="AA275" s="91">
        <f>Параметры!AA123</f>
        <v>1.0510100500999999</v>
      </c>
      <c r="AB275" s="91">
        <f>Параметры!AB123</f>
        <v>1.0536277790909276</v>
      </c>
      <c r="AC275" s="91">
        <f>Параметры!AC123</f>
        <v>1.0562520280053036</v>
      </c>
      <c r="AD275" s="91">
        <f>Параметры!AD123</f>
        <v>1.0588828130821661</v>
      </c>
      <c r="AE275" s="91">
        <f>Параметры!AE123</f>
        <v>1.0615201506010001</v>
      </c>
      <c r="AF275" s="91">
        <f>Параметры!AF123</f>
        <v>1.0641640568818371</v>
      </c>
      <c r="AG275" s="91">
        <f>Параметры!AG123</f>
        <v>1.0668145482853568</v>
      </c>
      <c r="AH275" s="91">
        <f>Параметры!AH123</f>
        <v>1.0694716412129881</v>
      </c>
      <c r="AI275" s="91">
        <f>Параметры!AI123</f>
        <v>1.0721353521070103</v>
      </c>
      <c r="AJ275" s="91">
        <f>Параметры!AJ123</f>
        <v>1.0748056974506557</v>
      </c>
      <c r="AK275" s="91">
        <f>Параметры!AK123</f>
        <v>1.0774826937682105</v>
      </c>
      <c r="AL275" s="91">
        <f>Параметры!AL123</f>
        <v>1.0801663576251179</v>
      </c>
      <c r="AM275" s="91">
        <f>Параметры!AM123</f>
        <v>1.0828567056280805</v>
      </c>
      <c r="AN275" s="91">
        <f>Параметры!AN123</f>
        <v>1.0855537544251623</v>
      </c>
      <c r="AO275" s="91">
        <f>Параметры!AO123</f>
        <v>1.0882575207058927</v>
      </c>
      <c r="AP275" s="91">
        <f>Параметры!AP123</f>
        <v>1.0909680212013693</v>
      </c>
      <c r="AQ275" s="91">
        <f>Параметры!AQ123</f>
        <v>1.0936852726843613</v>
      </c>
      <c r="AR275" s="91">
        <f>Параметры!AR123</f>
        <v>1.0964092919694139</v>
      </c>
      <c r="AS275" s="91">
        <f>Параметры!AS123</f>
        <v>1.0991400959129516</v>
      </c>
      <c r="AT275" s="91">
        <f>Параметры!AT123</f>
        <v>1.1018777014133829</v>
      </c>
      <c r="AU275" s="91">
        <f>Параметры!AU123</f>
        <v>1.104622125411205</v>
      </c>
      <c r="AV275" s="91">
        <f>Параметры!AV123</f>
        <v>1.1073733848891081</v>
      </c>
    </row>
    <row r="276" spans="1:50" x14ac:dyDescent="0.2">
      <c r="A276" s="65" t="str">
        <f ca="1">Language!A1372</f>
        <v>Денежный поток, доступный для погашения долга (CFADS)</v>
      </c>
      <c r="C276" s="130" t="str">
        <f ca="1">Параметры!$C$64</f>
        <v>тыс. руб.</v>
      </c>
      <c r="D276" s="57"/>
      <c r="E276" s="57"/>
      <c r="F276" s="57" t="s">
        <v>753</v>
      </c>
      <c r="G276" s="138">
        <f ca="1">SUM(G277:G281)</f>
        <v>159460.54771811707</v>
      </c>
      <c r="H276" s="138">
        <f t="shared" ref="H276:K276" ca="1" si="979">SUM(H277:H281)</f>
        <v>26333.015221464142</v>
      </c>
      <c r="I276" s="138">
        <f t="shared" ca="1" si="979"/>
        <v>-13460.459012748324</v>
      </c>
      <c r="J276" s="138">
        <f t="shared" ca="1" si="979"/>
        <v>51966.285322022799</v>
      </c>
      <c r="K276" s="138">
        <f t="shared" ca="1" si="979"/>
        <v>241398.69262800686</v>
      </c>
      <c r="L276" s="138">
        <f t="shared" ref="L276:M276" ca="1" si="980">SUM(L277:L281)</f>
        <v>218916.073608429</v>
      </c>
      <c r="M276" s="138">
        <f t="shared" ca="1" si="980"/>
        <v>132986.85524138424</v>
      </c>
      <c r="N276" s="138">
        <f t="shared" ref="N276:O276" ca="1" si="981">SUM(N277:N281)</f>
        <v>175939.09372942464</v>
      </c>
      <c r="O276" s="138">
        <f t="shared" ca="1" si="981"/>
        <v>295570.17973432835</v>
      </c>
      <c r="P276" s="138">
        <f t="shared" ref="P276:Q276" ca="1" si="982">SUM(P277:P281)</f>
        <v>269147.73803665274</v>
      </c>
      <c r="Q276" s="138">
        <f t="shared" ca="1" si="982"/>
        <v>179199.78097389673</v>
      </c>
      <c r="R276" s="138">
        <f t="shared" ref="R276:S276" ca="1" si="983">SUM(R277:R281)</f>
        <v>219151.72048817965</v>
      </c>
      <c r="S276" s="138">
        <f t="shared" ca="1" si="983"/>
        <v>335009.23560752411</v>
      </c>
      <c r="T276" s="138">
        <f t="shared" ref="T276:U276" ca="1" si="984">SUM(T277:T281)</f>
        <v>295720.46050562896</v>
      </c>
      <c r="U276" s="138">
        <f t="shared" ca="1" si="984"/>
        <v>195733.25577490771</v>
      </c>
      <c r="V276" s="138">
        <f t="shared" ref="V276:W276" ca="1" si="985">SUM(V277:V281)</f>
        <v>235884.78074636351</v>
      </c>
      <c r="W276" s="138">
        <f t="shared" ca="1" si="985"/>
        <v>352920.46233665285</v>
      </c>
      <c r="X276" s="138">
        <f t="shared" ref="X276:Y276" ca="1" si="986">SUM(X277:X281)</f>
        <v>306477.66567656182</v>
      </c>
      <c r="Y276" s="138">
        <f t="shared" ca="1" si="986"/>
        <v>191470.91563308594</v>
      </c>
      <c r="Z276" s="138">
        <f t="shared" ref="Z276:AA276" ca="1" si="987">SUM(Z277:Z281)</f>
        <v>227336.6080672004</v>
      </c>
      <c r="AA276" s="138">
        <f t="shared" ca="1" si="987"/>
        <v>351139.88972480758</v>
      </c>
      <c r="AB276" s="138">
        <f t="shared" ref="AB276:AC276" ca="1" si="988">SUM(AB277:AB281)</f>
        <v>301653.24395116838</v>
      </c>
      <c r="AC276" s="138">
        <f t="shared" ca="1" si="988"/>
        <v>184753.15199397964</v>
      </c>
      <c r="AD276" s="138">
        <f t="shared" ref="AD276:AE276" ca="1" si="989">SUM(AD277:AD281)</f>
        <v>225137.58726759348</v>
      </c>
      <c r="AE276" s="138">
        <f t="shared" ca="1" si="989"/>
        <v>356008.2004453736</v>
      </c>
      <c r="AF276" s="138">
        <f t="shared" ref="AF276:AG276" ca="1" si="990">SUM(AF277:AF281)</f>
        <v>303184.56940042012</v>
      </c>
      <c r="AG276" s="138">
        <f t="shared" ca="1" si="990"/>
        <v>176315.76707386202</v>
      </c>
      <c r="AH276" s="138">
        <f t="shared" ref="AH276:AI276" ca="1" si="991">SUM(AH277:AH281)</f>
        <v>216311.9206679413</v>
      </c>
      <c r="AI276" s="138">
        <f t="shared" ca="1" si="991"/>
        <v>354705.37977566081</v>
      </c>
      <c r="AJ276" s="138">
        <f t="shared" ref="AJ276:AK276" ca="1" si="992">SUM(AJ277:AJ281)</f>
        <v>298378.0854837111</v>
      </c>
      <c r="AK276" s="138">
        <f t="shared" ca="1" si="992"/>
        <v>161683.46702978329</v>
      </c>
      <c r="AL276" s="138">
        <f t="shared" ref="AL276:AM276" ca="1" si="993">SUM(AL277:AL281)</f>
        <v>202591.75949739973</v>
      </c>
      <c r="AM276" s="138">
        <f t="shared" ca="1" si="993"/>
        <v>356610.09357837564</v>
      </c>
      <c r="AN276" s="138">
        <f t="shared" ref="AN276:AO276" ca="1" si="994">SUM(AN277:AN281)</f>
        <v>304389.31270437461</v>
      </c>
      <c r="AO276" s="138">
        <f t="shared" ca="1" si="994"/>
        <v>163869.81099400215</v>
      </c>
      <c r="AP276" s="138">
        <f t="shared" ref="AP276:AQ276" ca="1" si="995">SUM(AP277:AP281)</f>
        <v>212828.56480315898</v>
      </c>
      <c r="AQ276" s="138">
        <f t="shared" ca="1" si="995"/>
        <v>377540.30579911149</v>
      </c>
      <c r="AR276" s="138">
        <f t="shared" ref="AR276:AS276" ca="1" si="996">SUM(AR277:AR281)</f>
        <v>322179.43428775296</v>
      </c>
      <c r="AS276" s="138">
        <f t="shared" ca="1" si="996"/>
        <v>155243.8034234533</v>
      </c>
      <c r="AT276" s="138">
        <f t="shared" ref="AT276:AU276" ca="1" si="997">SUM(AT277:AT281)</f>
        <v>198701.68774011367</v>
      </c>
      <c r="AU276" s="138">
        <f t="shared" ca="1" si="997"/>
        <v>372901.45675774344</v>
      </c>
      <c r="AV276" s="138">
        <f t="shared" ref="AV276" ca="1" si="998">SUM(AV277:AV281)</f>
        <v>313818.46509628498</v>
      </c>
      <c r="AX276" s="171">
        <f t="shared" ref="AX276:AX282" ca="1" si="999">SUM(G276:AW276)</f>
        <v>10007108.865533156</v>
      </c>
    </row>
    <row r="277" spans="1:50" x14ac:dyDescent="0.2">
      <c r="A277" s="99" t="str">
        <f ca="1">Language!A1373</f>
        <v>Денежные потоки от операционной деятельности</v>
      </c>
      <c r="C277" s="130" t="str">
        <f ca="1">Параметры!$C$64</f>
        <v>тыс. руб.</v>
      </c>
      <c r="D277" s="57"/>
      <c r="E277" s="57"/>
      <c r="F277" s="57" t="s">
        <v>753</v>
      </c>
      <c r="G277" s="138">
        <f t="shared" ref="G277:AV277" ca="1" si="1000">G49</f>
        <v>180209.79571811709</v>
      </c>
      <c r="H277" s="138">
        <f t="shared" ca="1" si="1000"/>
        <v>70594.315221464145</v>
      </c>
      <c r="I277" s="138">
        <f t="shared" ca="1" si="1000"/>
        <v>-9824.1590127483214</v>
      </c>
      <c r="J277" s="138">
        <f t="shared" ca="1" si="1000"/>
        <v>41110.585322022802</v>
      </c>
      <c r="K277" s="138">
        <f t="shared" ca="1" si="1000"/>
        <v>148524.99262800685</v>
      </c>
      <c r="L277" s="138">
        <f t="shared" ca="1" si="1000"/>
        <v>126042.37360842898</v>
      </c>
      <c r="M277" s="138">
        <f t="shared" ca="1" si="1000"/>
        <v>40113.155241384236</v>
      </c>
      <c r="N277" s="138">
        <f t="shared" ca="1" si="1000"/>
        <v>83065.393729424628</v>
      </c>
      <c r="O277" s="138">
        <f t="shared" ca="1" si="1000"/>
        <v>202696.47973432834</v>
      </c>
      <c r="P277" s="138">
        <f t="shared" ca="1" si="1000"/>
        <v>176274.03803665275</v>
      </c>
      <c r="Q277" s="138">
        <f t="shared" ca="1" si="1000"/>
        <v>86326.080973896751</v>
      </c>
      <c r="R277" s="138">
        <f t="shared" ca="1" si="1000"/>
        <v>126278.02048817964</v>
      </c>
      <c r="S277" s="138">
        <f t="shared" ca="1" si="1000"/>
        <v>242135.5356075241</v>
      </c>
      <c r="T277" s="138">
        <f t="shared" ca="1" si="1000"/>
        <v>202846.76050562898</v>
      </c>
      <c r="U277" s="138">
        <f t="shared" ca="1" si="1000"/>
        <v>104807.28310406437</v>
      </c>
      <c r="V277" s="138">
        <f t="shared" ca="1" si="1000"/>
        <v>147980.74920872075</v>
      </c>
      <c r="W277" s="138">
        <f t="shared" ca="1" si="1000"/>
        <v>271413.1326023931</v>
      </c>
      <c r="X277" s="138">
        <f t="shared" ca="1" si="1000"/>
        <v>230323.78874410767</v>
      </c>
      <c r="Y277" s="138">
        <f t="shared" ca="1" si="1000"/>
        <v>117678.50866840444</v>
      </c>
      <c r="Z277" s="138">
        <f t="shared" ca="1" si="1000"/>
        <v>156995.79400492081</v>
      </c>
      <c r="AA277" s="138">
        <f t="shared" ca="1" si="1000"/>
        <v>287830.5065519113</v>
      </c>
      <c r="AB277" s="138">
        <f t="shared" ca="1" si="1000"/>
        <v>244272.06413937832</v>
      </c>
      <c r="AC277" s="138">
        <f t="shared" ca="1" si="1000"/>
        <v>130277.89519401088</v>
      </c>
      <c r="AD277" s="138">
        <f t="shared" ca="1" si="1000"/>
        <v>174805.34237025067</v>
      </c>
      <c r="AE277" s="138">
        <f t="shared" ca="1" si="1000"/>
        <v>313622.42282538762</v>
      </c>
      <c r="AF277" s="138">
        <f t="shared" ca="1" si="1000"/>
        <v>267584.81628848863</v>
      </c>
      <c r="AG277" s="138">
        <f t="shared" ca="1" si="1000"/>
        <v>144235.75735740989</v>
      </c>
      <c r="AH277" s="138">
        <f t="shared" ca="1" si="1000"/>
        <v>189001.8527050488</v>
      </c>
      <c r="AI277" s="138">
        <f t="shared" ca="1" si="1000"/>
        <v>336202.49041745818</v>
      </c>
      <c r="AJ277" s="138">
        <f t="shared" ca="1" si="1000"/>
        <v>287457.96162542264</v>
      </c>
      <c r="AK277" s="138">
        <f t="shared" ca="1" si="1000"/>
        <v>154837.42369790512</v>
      </c>
      <c r="AL277" s="138">
        <f t="shared" ca="1" si="1000"/>
        <v>201116.97679926013</v>
      </c>
      <c r="AM277" s="138">
        <f t="shared" ca="1" si="1000"/>
        <v>356610.09357837564</v>
      </c>
      <c r="AN277" s="138">
        <f t="shared" ca="1" si="1000"/>
        <v>304389.31270437461</v>
      </c>
      <c r="AO277" s="138">
        <f t="shared" ca="1" si="1000"/>
        <v>163869.81099400215</v>
      </c>
      <c r="AP277" s="138">
        <f t="shared" ca="1" si="1000"/>
        <v>212828.56480315898</v>
      </c>
      <c r="AQ277" s="138">
        <f t="shared" ca="1" si="1000"/>
        <v>377540.30579911149</v>
      </c>
      <c r="AR277" s="138">
        <f t="shared" ca="1" si="1000"/>
        <v>322179.43428775296</v>
      </c>
      <c r="AS277" s="138">
        <f t="shared" ca="1" si="1000"/>
        <v>155243.8034234533</v>
      </c>
      <c r="AT277" s="138">
        <f t="shared" ca="1" si="1000"/>
        <v>198701.68774011367</v>
      </c>
      <c r="AU277" s="138">
        <f t="shared" ca="1" si="1000"/>
        <v>372901.45675774344</v>
      </c>
      <c r="AV277" s="138">
        <f t="shared" ca="1" si="1000"/>
        <v>313818.46509628498</v>
      </c>
      <c r="AX277" s="171">
        <f t="shared" ca="1" si="999"/>
        <v>8254921.0692912247</v>
      </c>
    </row>
    <row r="278" spans="1:50" x14ac:dyDescent="0.2">
      <c r="A278" s="99" t="str">
        <f ca="1">Language!A1374</f>
        <v>Скорректированные проценты по кредитам, * (1 - налог)</v>
      </c>
      <c r="C278" s="130" t="str">
        <f ca="1">Параметры!$C$64</f>
        <v>тыс. руб.</v>
      </c>
      <c r="D278" s="57"/>
      <c r="E278" s="57"/>
      <c r="F278" s="57" t="s">
        <v>753</v>
      </c>
      <c r="G278" s="138">
        <f>-G44 * (1-Параметры!G81)</f>
        <v>78358.751999999993</v>
      </c>
      <c r="H278" s="138">
        <f>-H44 * (1-Параметры!H81)</f>
        <v>83498.7</v>
      </c>
      <c r="I278" s="138">
        <f>-I44 * (1-Параметры!I81)</f>
        <v>89123.7</v>
      </c>
      <c r="J278" s="138">
        <f>-J44 * (1-Параметры!J81)</f>
        <v>92873.7</v>
      </c>
      <c r="K278" s="138">
        <f>-K44 * (1-Параметры!K81)</f>
        <v>92873.7</v>
      </c>
      <c r="L278" s="138">
        <f>-L44 * (1-Параметры!L81)</f>
        <v>92873.7</v>
      </c>
      <c r="M278" s="138">
        <f>-M44 * (1-Параметры!M81)</f>
        <v>92873.7</v>
      </c>
      <c r="N278" s="138">
        <f>-N44 * (1-Параметры!N81)</f>
        <v>92873.7</v>
      </c>
      <c r="O278" s="138">
        <f>-O44 * (1-Параметры!O81)</f>
        <v>92873.7</v>
      </c>
      <c r="P278" s="138">
        <f>-P44 * (1-Параметры!P81)</f>
        <v>92873.7</v>
      </c>
      <c r="Q278" s="138">
        <f>-Q44 * (1-Параметры!Q81)</f>
        <v>92873.7</v>
      </c>
      <c r="R278" s="138">
        <f>-R44 * (1-Параметры!R81)</f>
        <v>92873.7</v>
      </c>
      <c r="S278" s="138">
        <f>-S44 * (1-Параметры!S81)</f>
        <v>92873.7</v>
      </c>
      <c r="T278" s="138">
        <f>-T44 * (1-Параметры!T81)</f>
        <v>92873.7</v>
      </c>
      <c r="U278" s="138">
        <f>-U44 * (1-Параметры!U81)</f>
        <v>90925.972670843345</v>
      </c>
      <c r="V278" s="138">
        <f>-V44 * (1-Параметры!V81)</f>
        <v>87904.031537642775</v>
      </c>
      <c r="W278" s="138">
        <f>-W44 * (1-Параметры!W81)</f>
        <v>81507.329734259736</v>
      </c>
      <c r="X278" s="138">
        <f>-X44 * (1-Параметры!X81)</f>
        <v>76153.876932454164</v>
      </c>
      <c r="Y278" s="138">
        <f>-Y44 * (1-Параметры!Y81)</f>
        <v>73792.406964681519</v>
      </c>
      <c r="Z278" s="138">
        <f>-Z44 * (1-Параметры!Z81)</f>
        <v>70340.814062279576</v>
      </c>
      <c r="AA278" s="138">
        <f>-AA44 * (1-Параметры!AA81)</f>
        <v>63309.383172896283</v>
      </c>
      <c r="AB278" s="138">
        <f>-AB44 * (1-Параметры!AB81)</f>
        <v>57381.179811790062</v>
      </c>
      <c r="AC278" s="138">
        <f>-AC44 * (1-Параметры!AC81)</f>
        <v>54475.256799968745</v>
      </c>
      <c r="AD278" s="138">
        <f>-AD44 * (1-Параметры!AD81)</f>
        <v>50332.244897342818</v>
      </c>
      <c r="AE278" s="138">
        <f>-AE44 * (1-Параметры!AE81)</f>
        <v>42385.777619985973</v>
      </c>
      <c r="AF278" s="138">
        <f>-AF44 * (1-Параметры!AF81)</f>
        <v>35599.753111931474</v>
      </c>
      <c r="AG278" s="138">
        <f>-AG44 * (1-Параметры!AG81)</f>
        <v>32080.009716452128</v>
      </c>
      <c r="AH278" s="138">
        <f>-AH44 * (1-Параметры!AH81)</f>
        <v>27310.067962892499</v>
      </c>
      <c r="AI278" s="138">
        <f>-AI44 * (1-Параметры!AI81)</f>
        <v>18502.88935820261</v>
      </c>
      <c r="AJ278" s="138">
        <f>-AJ44 * (1-Параметры!AJ81)</f>
        <v>10920.123858288463</v>
      </c>
      <c r="AK278" s="138">
        <f>-AK44 * (1-Параметры!AK81)</f>
        <v>6846.0433318781834</v>
      </c>
      <c r="AL278" s="138">
        <f>-AL44 * (1-Параметры!AL81)</f>
        <v>1474.7826981396122</v>
      </c>
      <c r="AM278" s="138">
        <f>-AM44 * (1-Параметры!AM81)</f>
        <v>0</v>
      </c>
      <c r="AN278" s="138">
        <f>-AN44 * (1-Параметры!AN81)</f>
        <v>0</v>
      </c>
      <c r="AO278" s="138">
        <f>-AO44 * (1-Параметры!AO81)</f>
        <v>0</v>
      </c>
      <c r="AP278" s="138">
        <f>-AP44 * (1-Параметры!AP81)</f>
        <v>0</v>
      </c>
      <c r="AQ278" s="138">
        <f>-AQ44 * (1-Параметры!AQ81)</f>
        <v>0</v>
      </c>
      <c r="AR278" s="138">
        <f>-AR44 * (1-Параметры!AR81)</f>
        <v>0</v>
      </c>
      <c r="AS278" s="138">
        <f>-AS44 * (1-Параметры!AS81)</f>
        <v>0</v>
      </c>
      <c r="AT278" s="138">
        <f>-AT44 * (1-Параметры!AT81)</f>
        <v>0</v>
      </c>
      <c r="AU278" s="138">
        <f>-AU44 * (1-Параметры!AU81)</f>
        <v>0</v>
      </c>
      <c r="AV278" s="138">
        <f>-AV44 * (1-Параметры!AV81)</f>
        <v>0</v>
      </c>
      <c r="AX278" s="171">
        <f t="shared" si="999"/>
        <v>2153833.7962419293</v>
      </c>
    </row>
    <row r="279" spans="1:50" x14ac:dyDescent="0.2">
      <c r="A279" s="99" t="str">
        <f ca="1">Language!A1375</f>
        <v>Денежные потоки от инвестиционной деятельности</v>
      </c>
      <c r="C279" s="130" t="str">
        <f ca="1">Параметры!$C$64</f>
        <v>тыс. руб.</v>
      </c>
      <c r="D279" s="57"/>
      <c r="E279" s="57"/>
      <c r="F279" s="57" t="s">
        <v>753</v>
      </c>
      <c r="G279" s="138">
        <f t="shared" ref="G279:AV279" si="1001">G58</f>
        <v>-99108</v>
      </c>
      <c r="H279" s="138">
        <f t="shared" si="1001"/>
        <v>-127760.00000000001</v>
      </c>
      <c r="I279" s="138">
        <f t="shared" si="1001"/>
        <v>-92760</v>
      </c>
      <c r="J279" s="138">
        <f t="shared" si="1001"/>
        <v>-82018</v>
      </c>
      <c r="K279" s="138">
        <f t="shared" si="1001"/>
        <v>0</v>
      </c>
      <c r="L279" s="138">
        <f t="shared" si="1001"/>
        <v>0</v>
      </c>
      <c r="M279" s="138">
        <f t="shared" si="1001"/>
        <v>0</v>
      </c>
      <c r="N279" s="138">
        <f t="shared" si="1001"/>
        <v>0</v>
      </c>
      <c r="O279" s="138">
        <f t="shared" si="1001"/>
        <v>0</v>
      </c>
      <c r="P279" s="138">
        <f t="shared" si="1001"/>
        <v>0</v>
      </c>
      <c r="Q279" s="138">
        <f t="shared" si="1001"/>
        <v>0</v>
      </c>
      <c r="R279" s="138">
        <f t="shared" si="1001"/>
        <v>0</v>
      </c>
      <c r="S279" s="138">
        <f t="shared" si="1001"/>
        <v>0</v>
      </c>
      <c r="T279" s="138">
        <f t="shared" si="1001"/>
        <v>0</v>
      </c>
      <c r="U279" s="138">
        <f t="shared" si="1001"/>
        <v>0</v>
      </c>
      <c r="V279" s="138">
        <f t="shared" si="1001"/>
        <v>0</v>
      </c>
      <c r="W279" s="138">
        <f t="shared" si="1001"/>
        <v>0</v>
      </c>
      <c r="X279" s="138">
        <f t="shared" si="1001"/>
        <v>0</v>
      </c>
      <c r="Y279" s="138">
        <f t="shared" si="1001"/>
        <v>0</v>
      </c>
      <c r="Z279" s="138">
        <f t="shared" si="1001"/>
        <v>0</v>
      </c>
      <c r="AA279" s="138">
        <f t="shared" si="1001"/>
        <v>0</v>
      </c>
      <c r="AB279" s="138">
        <f t="shared" si="1001"/>
        <v>0</v>
      </c>
      <c r="AC279" s="138">
        <f t="shared" si="1001"/>
        <v>0</v>
      </c>
      <c r="AD279" s="138">
        <f t="shared" si="1001"/>
        <v>0</v>
      </c>
      <c r="AE279" s="138">
        <f t="shared" si="1001"/>
        <v>0</v>
      </c>
      <c r="AF279" s="138">
        <f t="shared" si="1001"/>
        <v>0</v>
      </c>
      <c r="AG279" s="138">
        <f t="shared" si="1001"/>
        <v>0</v>
      </c>
      <c r="AH279" s="138">
        <f t="shared" si="1001"/>
        <v>0</v>
      </c>
      <c r="AI279" s="138">
        <f t="shared" si="1001"/>
        <v>0</v>
      </c>
      <c r="AJ279" s="138">
        <f t="shared" si="1001"/>
        <v>0</v>
      </c>
      <c r="AK279" s="138">
        <f t="shared" si="1001"/>
        <v>0</v>
      </c>
      <c r="AL279" s="138">
        <f t="shared" si="1001"/>
        <v>0</v>
      </c>
      <c r="AM279" s="138">
        <f t="shared" si="1001"/>
        <v>0</v>
      </c>
      <c r="AN279" s="138">
        <f t="shared" si="1001"/>
        <v>0</v>
      </c>
      <c r="AO279" s="138">
        <f t="shared" si="1001"/>
        <v>0</v>
      </c>
      <c r="AP279" s="138">
        <f t="shared" si="1001"/>
        <v>0</v>
      </c>
      <c r="AQ279" s="138">
        <f t="shared" si="1001"/>
        <v>0</v>
      </c>
      <c r="AR279" s="138">
        <f t="shared" si="1001"/>
        <v>0</v>
      </c>
      <c r="AS279" s="138">
        <f t="shared" si="1001"/>
        <v>0</v>
      </c>
      <c r="AT279" s="138">
        <f t="shared" si="1001"/>
        <v>0</v>
      </c>
      <c r="AU279" s="138">
        <f t="shared" si="1001"/>
        <v>0</v>
      </c>
      <c r="AV279" s="138">
        <f t="shared" si="1001"/>
        <v>0</v>
      </c>
      <c r="AX279" s="171">
        <f t="shared" si="999"/>
        <v>-401646</v>
      </c>
    </row>
    <row r="280" spans="1:50" x14ac:dyDescent="0.2">
      <c r="A280" s="99" t="str">
        <f ca="1">Language!A1376</f>
        <v>Поступления собственного капитала</v>
      </c>
      <c r="C280" s="130" t="str">
        <f ca="1">Параметры!$C$64</f>
        <v>тыс. руб.</v>
      </c>
      <c r="D280" s="57"/>
      <c r="E280" s="57"/>
      <c r="F280" s="57" t="s">
        <v>753</v>
      </c>
      <c r="G280" s="138">
        <f t="shared" ref="G280:AV280" si="1002">G60</f>
        <v>0</v>
      </c>
      <c r="H280" s="138">
        <f t="shared" si="1002"/>
        <v>0</v>
      </c>
      <c r="I280" s="138">
        <f t="shared" si="1002"/>
        <v>0</v>
      </c>
      <c r="J280" s="138">
        <f t="shared" si="1002"/>
        <v>0</v>
      </c>
      <c r="K280" s="138">
        <f t="shared" si="1002"/>
        <v>0</v>
      </c>
      <c r="L280" s="138">
        <f t="shared" si="1002"/>
        <v>0</v>
      </c>
      <c r="M280" s="138">
        <f t="shared" si="1002"/>
        <v>0</v>
      </c>
      <c r="N280" s="138">
        <f t="shared" si="1002"/>
        <v>0</v>
      </c>
      <c r="O280" s="138">
        <f t="shared" si="1002"/>
        <v>0</v>
      </c>
      <c r="P280" s="138">
        <f t="shared" si="1002"/>
        <v>0</v>
      </c>
      <c r="Q280" s="138">
        <f t="shared" si="1002"/>
        <v>0</v>
      </c>
      <c r="R280" s="138">
        <f t="shared" si="1002"/>
        <v>0</v>
      </c>
      <c r="S280" s="138">
        <f t="shared" si="1002"/>
        <v>0</v>
      </c>
      <c r="T280" s="138">
        <f t="shared" si="1002"/>
        <v>0</v>
      </c>
      <c r="U280" s="138">
        <f t="shared" si="1002"/>
        <v>0</v>
      </c>
      <c r="V280" s="138">
        <f t="shared" si="1002"/>
        <v>0</v>
      </c>
      <c r="W280" s="138">
        <f t="shared" si="1002"/>
        <v>0</v>
      </c>
      <c r="X280" s="138">
        <f t="shared" si="1002"/>
        <v>0</v>
      </c>
      <c r="Y280" s="138">
        <f t="shared" si="1002"/>
        <v>0</v>
      </c>
      <c r="Z280" s="138">
        <f t="shared" si="1002"/>
        <v>0</v>
      </c>
      <c r="AA280" s="138">
        <f t="shared" si="1002"/>
        <v>0</v>
      </c>
      <c r="AB280" s="138">
        <f t="shared" si="1002"/>
        <v>0</v>
      </c>
      <c r="AC280" s="138">
        <f t="shared" si="1002"/>
        <v>0</v>
      </c>
      <c r="AD280" s="138">
        <f t="shared" si="1002"/>
        <v>0</v>
      </c>
      <c r="AE280" s="138">
        <f t="shared" si="1002"/>
        <v>0</v>
      </c>
      <c r="AF280" s="138">
        <f t="shared" si="1002"/>
        <v>0</v>
      </c>
      <c r="AG280" s="138">
        <f t="shared" si="1002"/>
        <v>0</v>
      </c>
      <c r="AH280" s="138">
        <f t="shared" si="1002"/>
        <v>0</v>
      </c>
      <c r="AI280" s="138">
        <f t="shared" si="1002"/>
        <v>0</v>
      </c>
      <c r="AJ280" s="138">
        <f t="shared" si="1002"/>
        <v>0</v>
      </c>
      <c r="AK280" s="138">
        <f t="shared" si="1002"/>
        <v>0</v>
      </c>
      <c r="AL280" s="138">
        <f t="shared" si="1002"/>
        <v>0</v>
      </c>
      <c r="AM280" s="138">
        <f t="shared" si="1002"/>
        <v>0</v>
      </c>
      <c r="AN280" s="138">
        <f t="shared" si="1002"/>
        <v>0</v>
      </c>
      <c r="AO280" s="138">
        <f t="shared" si="1002"/>
        <v>0</v>
      </c>
      <c r="AP280" s="138">
        <f t="shared" si="1002"/>
        <v>0</v>
      </c>
      <c r="AQ280" s="138">
        <f t="shared" si="1002"/>
        <v>0</v>
      </c>
      <c r="AR280" s="138">
        <f t="shared" si="1002"/>
        <v>0</v>
      </c>
      <c r="AS280" s="138">
        <f t="shared" si="1002"/>
        <v>0</v>
      </c>
      <c r="AT280" s="138">
        <f t="shared" si="1002"/>
        <v>0</v>
      </c>
      <c r="AU280" s="138">
        <f t="shared" si="1002"/>
        <v>0</v>
      </c>
      <c r="AV280" s="138">
        <f t="shared" si="1002"/>
        <v>0</v>
      </c>
      <c r="AX280" s="171">
        <f t="shared" si="999"/>
        <v>0</v>
      </c>
    </row>
    <row r="281" spans="1:50" x14ac:dyDescent="0.2">
      <c r="A281" s="99" t="str">
        <f ca="1">Language!A1233</f>
        <v>Выплата дивидендов</v>
      </c>
      <c r="C281" s="130" t="str">
        <f ca="1">Параметры!$C$64</f>
        <v>тыс. руб.</v>
      </c>
      <c r="D281" s="57"/>
      <c r="E281" s="57"/>
      <c r="F281" s="57" t="s">
        <v>753</v>
      </c>
      <c r="G281" s="138">
        <f t="shared" ref="G281:AV281" si="1003">G63</f>
        <v>0</v>
      </c>
      <c r="H281" s="138">
        <f t="shared" si="1003"/>
        <v>0</v>
      </c>
      <c r="I281" s="138">
        <f t="shared" si="1003"/>
        <v>0</v>
      </c>
      <c r="J281" s="138">
        <f t="shared" si="1003"/>
        <v>0</v>
      </c>
      <c r="K281" s="138">
        <f t="shared" si="1003"/>
        <v>0</v>
      </c>
      <c r="L281" s="138">
        <f t="shared" si="1003"/>
        <v>0</v>
      </c>
      <c r="M281" s="138">
        <f t="shared" si="1003"/>
        <v>0</v>
      </c>
      <c r="N281" s="138">
        <f t="shared" si="1003"/>
        <v>0</v>
      </c>
      <c r="O281" s="138">
        <f t="shared" si="1003"/>
        <v>0</v>
      </c>
      <c r="P281" s="138">
        <f t="shared" si="1003"/>
        <v>0</v>
      </c>
      <c r="Q281" s="138">
        <f t="shared" si="1003"/>
        <v>0</v>
      </c>
      <c r="R281" s="138">
        <f t="shared" si="1003"/>
        <v>0</v>
      </c>
      <c r="S281" s="138">
        <f t="shared" si="1003"/>
        <v>0</v>
      </c>
      <c r="T281" s="138">
        <f t="shared" si="1003"/>
        <v>0</v>
      </c>
      <c r="U281" s="138">
        <f t="shared" si="1003"/>
        <v>0</v>
      </c>
      <c r="V281" s="138">
        <f t="shared" si="1003"/>
        <v>0</v>
      </c>
      <c r="W281" s="138">
        <f t="shared" si="1003"/>
        <v>0</v>
      </c>
      <c r="X281" s="138">
        <f t="shared" si="1003"/>
        <v>0</v>
      </c>
      <c r="Y281" s="138">
        <f t="shared" si="1003"/>
        <v>0</v>
      </c>
      <c r="Z281" s="138">
        <f t="shared" si="1003"/>
        <v>0</v>
      </c>
      <c r="AA281" s="138">
        <f t="shared" si="1003"/>
        <v>0</v>
      </c>
      <c r="AB281" s="138">
        <f t="shared" si="1003"/>
        <v>0</v>
      </c>
      <c r="AC281" s="138">
        <f t="shared" si="1003"/>
        <v>0</v>
      </c>
      <c r="AD281" s="138">
        <f t="shared" si="1003"/>
        <v>0</v>
      </c>
      <c r="AE281" s="138">
        <f t="shared" si="1003"/>
        <v>0</v>
      </c>
      <c r="AF281" s="138">
        <f t="shared" si="1003"/>
        <v>0</v>
      </c>
      <c r="AG281" s="138">
        <f t="shared" si="1003"/>
        <v>0</v>
      </c>
      <c r="AH281" s="138">
        <f t="shared" si="1003"/>
        <v>0</v>
      </c>
      <c r="AI281" s="138">
        <f t="shared" si="1003"/>
        <v>0</v>
      </c>
      <c r="AJ281" s="138">
        <f t="shared" si="1003"/>
        <v>0</v>
      </c>
      <c r="AK281" s="138">
        <f t="shared" si="1003"/>
        <v>0</v>
      </c>
      <c r="AL281" s="138">
        <f t="shared" si="1003"/>
        <v>0</v>
      </c>
      <c r="AM281" s="138">
        <f t="shared" si="1003"/>
        <v>0</v>
      </c>
      <c r="AN281" s="138">
        <f t="shared" si="1003"/>
        <v>0</v>
      </c>
      <c r="AO281" s="138">
        <f t="shared" si="1003"/>
        <v>0</v>
      </c>
      <c r="AP281" s="138">
        <f t="shared" si="1003"/>
        <v>0</v>
      </c>
      <c r="AQ281" s="138">
        <f t="shared" si="1003"/>
        <v>0</v>
      </c>
      <c r="AR281" s="138">
        <f t="shared" si="1003"/>
        <v>0</v>
      </c>
      <c r="AS281" s="138">
        <f t="shared" si="1003"/>
        <v>0</v>
      </c>
      <c r="AT281" s="138">
        <f t="shared" si="1003"/>
        <v>0</v>
      </c>
      <c r="AU281" s="138">
        <f t="shared" si="1003"/>
        <v>0</v>
      </c>
      <c r="AV281" s="138">
        <f t="shared" si="1003"/>
        <v>0</v>
      </c>
      <c r="AX281" s="171">
        <f t="shared" si="999"/>
        <v>0</v>
      </c>
    </row>
    <row r="282" spans="1:50" x14ac:dyDescent="0.2">
      <c r="A282" s="65" t="str">
        <f ca="1">Language!A1377</f>
        <v>Дисконтированный денежный поток</v>
      </c>
      <c r="C282" s="130" t="str">
        <f ca="1">Параметры!$C$64</f>
        <v>тыс. руб.</v>
      </c>
      <c r="D282" s="57"/>
      <c r="E282" s="57"/>
      <c r="F282" s="57" t="s">
        <v>753</v>
      </c>
      <c r="G282" s="138">
        <f t="shared" ref="G282:AV282" ca="1" si="1004">G276/G275</f>
        <v>159460.54771811707</v>
      </c>
      <c r="H282" s="138">
        <f t="shared" ca="1" si="1004"/>
        <v>26267.591075734763</v>
      </c>
      <c r="I282" s="138">
        <f t="shared" ca="1" si="1004"/>
        <v>-13393.657314981818</v>
      </c>
      <c r="J282" s="138">
        <f t="shared" ca="1" si="1004"/>
        <v>51579.9174989272</v>
      </c>
      <c r="K282" s="138">
        <f t="shared" ca="1" si="1004"/>
        <v>239008.60656238304</v>
      </c>
      <c r="L282" s="138">
        <f t="shared" ca="1" si="1004"/>
        <v>216210.07776288604</v>
      </c>
      <c r="M282" s="138">
        <f t="shared" ca="1" si="1004"/>
        <v>131016.69977648467</v>
      </c>
      <c r="N282" s="138">
        <f t="shared" ca="1" si="1004"/>
        <v>172901.97195447201</v>
      </c>
      <c r="O282" s="138">
        <f t="shared" ca="1" si="1004"/>
        <v>289746.27951605566</v>
      </c>
      <c r="P282" s="138">
        <f t="shared" ca="1" si="1004"/>
        <v>263188.94504296302</v>
      </c>
      <c r="Q282" s="138">
        <f t="shared" ca="1" si="1004"/>
        <v>174797.02631752935</v>
      </c>
      <c r="R282" s="138">
        <f t="shared" ca="1" si="1004"/>
        <v>213236.28448880225</v>
      </c>
      <c r="S282" s="138">
        <f t="shared" ca="1" si="1004"/>
        <v>325156.66354543396</v>
      </c>
      <c r="T282" s="138">
        <f t="shared" ca="1" si="1004"/>
        <v>286310.25846914254</v>
      </c>
      <c r="U282" s="138">
        <f t="shared" ca="1" si="1004"/>
        <v>189033.95110449987</v>
      </c>
      <c r="V282" s="138">
        <f t="shared" ca="1" si="1004"/>
        <v>227245.22663556878</v>
      </c>
      <c r="W282" s="138">
        <f t="shared" ca="1" si="1004"/>
        <v>339149.62747131143</v>
      </c>
      <c r="X282" s="138">
        <f t="shared" ca="1" si="1004"/>
        <v>293787.28282999649</v>
      </c>
      <c r="Y282" s="138">
        <f t="shared" ca="1" si="1004"/>
        <v>183086.63052190209</v>
      </c>
      <c r="Z282" s="138">
        <f t="shared" ca="1" si="1004"/>
        <v>216841.72347601922</v>
      </c>
      <c r="AA282" s="138">
        <f t="shared" ca="1" si="1004"/>
        <v>334097.55662317201</v>
      </c>
      <c r="AB282" s="138">
        <f t="shared" ca="1" si="1004"/>
        <v>286299.63060715375</v>
      </c>
      <c r="AC282" s="138">
        <f t="shared" ca="1" si="1004"/>
        <v>174913.89090431356</v>
      </c>
      <c r="AD282" s="138">
        <f t="shared" ca="1" si="1004"/>
        <v>212618.03901818878</v>
      </c>
      <c r="AE282" s="138">
        <f t="shared" ca="1" si="1004"/>
        <v>335375.82894098869</v>
      </c>
      <c r="AF282" s="138">
        <f t="shared" ca="1" si="1004"/>
        <v>284903.97457023413</v>
      </c>
      <c r="AG282" s="138">
        <f t="shared" ca="1" si="1004"/>
        <v>165273.11832899772</v>
      </c>
      <c r="AH282" s="138">
        <f t="shared" ca="1" si="1004"/>
        <v>202260.54841678799</v>
      </c>
      <c r="AI282" s="138">
        <f t="shared" ca="1" si="1004"/>
        <v>330840.11181850993</v>
      </c>
      <c r="AJ282" s="138">
        <f t="shared" ca="1" si="1004"/>
        <v>277611.18701867474</v>
      </c>
      <c r="AK282" s="138">
        <f t="shared" ca="1" si="1004"/>
        <v>150056.6718750147</v>
      </c>
      <c r="AL282" s="138">
        <f t="shared" ca="1" si="1004"/>
        <v>187556.0723283618</v>
      </c>
      <c r="AM282" s="138">
        <f t="shared" ca="1" si="1004"/>
        <v>329323.43838747713</v>
      </c>
      <c r="AN282" s="138">
        <f t="shared" ca="1" si="1004"/>
        <v>280400.03681398451</v>
      </c>
      <c r="AO282" s="138">
        <f t="shared" ca="1" si="1004"/>
        <v>150579.99405114044</v>
      </c>
      <c r="AP282" s="138">
        <f t="shared" ca="1" si="1004"/>
        <v>195082.31283332492</v>
      </c>
      <c r="AQ282" s="138">
        <f t="shared" ca="1" si="1004"/>
        <v>345200.13684784254</v>
      </c>
      <c r="AR282" s="138">
        <f t="shared" ca="1" si="1004"/>
        <v>293849.60219467082</v>
      </c>
      <c r="AS282" s="138">
        <f t="shared" ca="1" si="1004"/>
        <v>141241.14296322432</v>
      </c>
      <c r="AT282" s="138">
        <f t="shared" ca="1" si="1004"/>
        <v>180330.074277062</v>
      </c>
      <c r="AU282" s="138">
        <f t="shared" ca="1" si="1004"/>
        <v>337582.82418879459</v>
      </c>
      <c r="AV282" s="138">
        <f t="shared" ca="1" si="1004"/>
        <v>283389.92915899871</v>
      </c>
      <c r="AX282" s="171">
        <f t="shared" ca="1" si="999"/>
        <v>9463417.7766201682</v>
      </c>
    </row>
    <row r="283" spans="1:50" x14ac:dyDescent="0.2">
      <c r="A283" s="65" t="str">
        <f ca="1">Language!A1378</f>
        <v>Дисконтированный поток нарастающим итогом</v>
      </c>
      <c r="C283" s="130" t="str">
        <f ca="1">Параметры!$C$64</f>
        <v>тыс. руб.</v>
      </c>
      <c r="D283" s="57"/>
      <c r="E283" s="57"/>
      <c r="F283" s="57" t="s">
        <v>754</v>
      </c>
      <c r="G283" s="138">
        <f ca="1">G282 + IF(G$2&gt;1, F283)</f>
        <v>159460.54771811707</v>
      </c>
      <c r="H283" s="138">
        <f t="shared" ref="H283" ca="1" si="1005">H282 + IF(H$2&gt;1, G283)</f>
        <v>185728.13879385183</v>
      </c>
      <c r="I283" s="138">
        <f t="shared" ref="I283" ca="1" si="1006">I282 + IF(I$2&gt;1, H283)</f>
        <v>172334.48147887</v>
      </c>
      <c r="J283" s="138">
        <f t="shared" ref="J283" ca="1" si="1007">J282 + IF(J$2&gt;1, I283)</f>
        <v>223914.39897779719</v>
      </c>
      <c r="K283" s="138">
        <f t="shared" ref="K283:AV283" ca="1" si="1008">K282 + IF(K$2&gt;1, J283)</f>
        <v>462923.00554018025</v>
      </c>
      <c r="L283" s="138">
        <f t="shared" ca="1" si="1008"/>
        <v>679133.08330306632</v>
      </c>
      <c r="M283" s="138">
        <f t="shared" ca="1" si="1008"/>
        <v>810149.78307955095</v>
      </c>
      <c r="N283" s="138">
        <f t="shared" ca="1" si="1008"/>
        <v>983051.75503402296</v>
      </c>
      <c r="O283" s="138">
        <f t="shared" ca="1" si="1008"/>
        <v>1272798.0345500787</v>
      </c>
      <c r="P283" s="138">
        <f t="shared" ca="1" si="1008"/>
        <v>1535986.9795930418</v>
      </c>
      <c r="Q283" s="138">
        <f t="shared" ca="1" si="1008"/>
        <v>1710784.0059105712</v>
      </c>
      <c r="R283" s="138">
        <f t="shared" ca="1" si="1008"/>
        <v>1924020.2903993735</v>
      </c>
      <c r="S283" s="138">
        <f t="shared" ca="1" si="1008"/>
        <v>2249176.9539448074</v>
      </c>
      <c r="T283" s="138">
        <f t="shared" ca="1" si="1008"/>
        <v>2535487.2124139499</v>
      </c>
      <c r="U283" s="138">
        <f t="shared" ca="1" si="1008"/>
        <v>2724521.1635184498</v>
      </c>
      <c r="V283" s="138">
        <f t="shared" ca="1" si="1008"/>
        <v>2951766.3901540185</v>
      </c>
      <c r="W283" s="138">
        <f t="shared" ca="1" si="1008"/>
        <v>3290916.01762533</v>
      </c>
      <c r="X283" s="138">
        <f t="shared" ca="1" si="1008"/>
        <v>3584703.3004553267</v>
      </c>
      <c r="Y283" s="138">
        <f t="shared" ca="1" si="1008"/>
        <v>3767789.9309772286</v>
      </c>
      <c r="Z283" s="138">
        <f t="shared" ca="1" si="1008"/>
        <v>3984631.6544532478</v>
      </c>
      <c r="AA283" s="138">
        <f t="shared" ca="1" si="1008"/>
        <v>4318729.2110764198</v>
      </c>
      <c r="AB283" s="138">
        <f t="shared" ca="1" si="1008"/>
        <v>4605028.841683574</v>
      </c>
      <c r="AC283" s="138">
        <f t="shared" ca="1" si="1008"/>
        <v>4779942.7325878879</v>
      </c>
      <c r="AD283" s="138">
        <f t="shared" ca="1" si="1008"/>
        <v>4992560.7716060765</v>
      </c>
      <c r="AE283" s="138">
        <f t="shared" ca="1" si="1008"/>
        <v>5327936.600547065</v>
      </c>
      <c r="AF283" s="138">
        <f t="shared" ca="1" si="1008"/>
        <v>5612840.5751172993</v>
      </c>
      <c r="AG283" s="138">
        <f t="shared" ca="1" si="1008"/>
        <v>5778113.6934462972</v>
      </c>
      <c r="AH283" s="138">
        <f t="shared" ca="1" si="1008"/>
        <v>5980374.241863085</v>
      </c>
      <c r="AI283" s="138">
        <f t="shared" ca="1" si="1008"/>
        <v>6311214.3536815951</v>
      </c>
      <c r="AJ283" s="138">
        <f t="shared" ca="1" si="1008"/>
        <v>6588825.5407002699</v>
      </c>
      <c r="AK283" s="138">
        <f t="shared" ca="1" si="1008"/>
        <v>6738882.2125752848</v>
      </c>
      <c r="AL283" s="138">
        <f t="shared" ca="1" si="1008"/>
        <v>6926438.2849036464</v>
      </c>
      <c r="AM283" s="138">
        <f t="shared" ca="1" si="1008"/>
        <v>7255761.7232911233</v>
      </c>
      <c r="AN283" s="138">
        <f t="shared" ca="1" si="1008"/>
        <v>7536161.7601051079</v>
      </c>
      <c r="AO283" s="138">
        <f t="shared" ca="1" si="1008"/>
        <v>7686741.7541562486</v>
      </c>
      <c r="AP283" s="138">
        <f t="shared" ca="1" si="1008"/>
        <v>7881824.0669895737</v>
      </c>
      <c r="AQ283" s="138">
        <f t="shared" ca="1" si="1008"/>
        <v>8227024.2038374161</v>
      </c>
      <c r="AR283" s="138">
        <f t="shared" ca="1" si="1008"/>
        <v>8520873.8060320877</v>
      </c>
      <c r="AS283" s="138">
        <f t="shared" ca="1" si="1008"/>
        <v>8662114.9489953127</v>
      </c>
      <c r="AT283" s="138">
        <f t="shared" ca="1" si="1008"/>
        <v>8842445.0232723746</v>
      </c>
      <c r="AU283" s="138">
        <f t="shared" ca="1" si="1008"/>
        <v>9180027.8474611696</v>
      </c>
      <c r="AV283" s="138">
        <f t="shared" ca="1" si="1008"/>
        <v>9463417.7766201682</v>
      </c>
      <c r="AX283" s="171"/>
    </row>
    <row r="284" spans="1:50" x14ac:dyDescent="0.2">
      <c r="A284" s="65"/>
      <c r="D284" s="57"/>
      <c r="E284" s="57"/>
      <c r="F284" s="57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</row>
    <row r="285" spans="1:50" x14ac:dyDescent="0.2">
      <c r="A285" s="92" t="str">
        <f ca="1">Language!A1379</f>
        <v>Чистая приведенная стоимость, NPV</v>
      </c>
      <c r="B285" s="274">
        <f ca="1">AX282</f>
        <v>9463417.7766201682</v>
      </c>
      <c r="C285" s="130" t="str">
        <f ca="1">Параметры!$C$64</f>
        <v>тыс. руб.</v>
      </c>
      <c r="D285" s="57"/>
      <c r="E285" s="57"/>
      <c r="F285" s="57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</row>
    <row r="286" spans="1:50" x14ac:dyDescent="0.2">
      <c r="A286" s="65"/>
      <c r="D286" s="57"/>
      <c r="E286" s="57"/>
      <c r="F286" s="57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</row>
    <row r="287" spans="1:50" collapsed="1" x14ac:dyDescent="0.2">
      <c r="A287" s="92" t="str">
        <f ca="1">Language!A1380</f>
        <v>Внутренняя норма рентабельности, IRR</v>
      </c>
      <c r="B287" s="269" t="str">
        <f ca="1">IFERROR(IF(POWER(1+IRR(G290:AW290,B273),360/Параметры!B$21)-1&gt;999%,"-",POWER(1+IRR(G290:AW290,B273),360/Параметры!B$21)-1),"-")</f>
        <v>-</v>
      </c>
      <c r="C287" s="130" t="s">
        <v>1</v>
      </c>
      <c r="D287" s="57"/>
      <c r="E287" s="57"/>
      <c r="F287" s="57"/>
      <c r="G287" s="170" t="str">
        <f ca="1">Language!A$1333</f>
        <v>(с учетом инфляции, номинальная)</v>
      </c>
    </row>
    <row r="288" spans="1:50" hidden="1" outlineLevel="1" x14ac:dyDescent="0.2">
      <c r="A288" s="65" t="str">
        <f ca="1">Language!A$403</f>
        <v>Темпы роста цен, базовые</v>
      </c>
      <c r="B288" s="38"/>
      <c r="C288" s="130" t="str">
        <f ca="1">Language!A$471</f>
        <v>% в год</v>
      </c>
      <c r="D288" s="57"/>
      <c r="E288" s="57"/>
      <c r="F288" s="57" t="s">
        <v>756</v>
      </c>
      <c r="G288" s="89">
        <f>CHOOSE(Prj_CurReport,Параметры!G$43,Параметры!G$56,Параметры!G$62)</f>
        <v>0.06</v>
      </c>
      <c r="H288" s="89">
        <f>CHOOSE(Prj_CurReport,Параметры!H$43,Параметры!H$56,Параметры!H$62)</f>
        <v>0.06</v>
      </c>
      <c r="I288" s="89">
        <f>CHOOSE(Prj_CurReport,Параметры!I$43,Параметры!I$56,Параметры!I$62)</f>
        <v>0.06</v>
      </c>
      <c r="J288" s="89">
        <f>CHOOSE(Prj_CurReport,Параметры!J$43,Параметры!J$56,Параметры!J$62)</f>
        <v>0.06</v>
      </c>
      <c r="K288" s="89">
        <f>CHOOSE(Prj_CurReport,Параметры!K$43,Параметры!K$56,Параметры!K$62)</f>
        <v>0.06</v>
      </c>
      <c r="L288" s="89">
        <f>CHOOSE(Prj_CurReport,Параметры!L$43,Параметры!L$56,Параметры!L$62)</f>
        <v>0.06</v>
      </c>
      <c r="M288" s="89">
        <f>CHOOSE(Prj_CurReport,Параметры!M$43,Параметры!M$56,Параметры!M$62)</f>
        <v>0.06</v>
      </c>
      <c r="N288" s="89">
        <f>CHOOSE(Prj_CurReport,Параметры!N$43,Параметры!N$56,Параметры!N$62)</f>
        <v>0.06</v>
      </c>
      <c r="O288" s="89">
        <f>CHOOSE(Prj_CurReport,Параметры!O$43,Параметры!O$56,Параметры!O$62)</f>
        <v>0.06</v>
      </c>
      <c r="P288" s="89">
        <f>CHOOSE(Prj_CurReport,Параметры!P$43,Параметры!P$56,Параметры!P$62)</f>
        <v>0.06</v>
      </c>
      <c r="Q288" s="89">
        <f>CHOOSE(Prj_CurReport,Параметры!Q$43,Параметры!Q$56,Параметры!Q$62)</f>
        <v>0.06</v>
      </c>
      <c r="R288" s="89">
        <f>CHOOSE(Prj_CurReport,Параметры!R$43,Параметры!R$56,Параметры!R$62)</f>
        <v>0.06</v>
      </c>
      <c r="S288" s="89">
        <f>CHOOSE(Prj_CurReport,Параметры!S$43,Параметры!S$56,Параметры!S$62)</f>
        <v>0.06</v>
      </c>
      <c r="T288" s="89">
        <f>CHOOSE(Prj_CurReport,Параметры!T$43,Параметры!T$56,Параметры!T$62)</f>
        <v>0.06</v>
      </c>
      <c r="U288" s="89">
        <f>CHOOSE(Prj_CurReport,Параметры!U$43,Параметры!U$56,Параметры!U$62)</f>
        <v>0.06</v>
      </c>
      <c r="V288" s="89">
        <f>CHOOSE(Prj_CurReport,Параметры!V$43,Параметры!V$56,Параметры!V$62)</f>
        <v>0.06</v>
      </c>
      <c r="W288" s="89">
        <f>CHOOSE(Prj_CurReport,Параметры!W$43,Параметры!W$56,Параметры!W$62)</f>
        <v>0.06</v>
      </c>
      <c r="X288" s="89">
        <f>CHOOSE(Prj_CurReport,Параметры!X$43,Параметры!X$56,Параметры!X$62)</f>
        <v>0.06</v>
      </c>
      <c r="Y288" s="89">
        <f>CHOOSE(Prj_CurReport,Параметры!Y$43,Параметры!Y$56,Параметры!Y$62)</f>
        <v>0.06</v>
      </c>
      <c r="Z288" s="89">
        <f>CHOOSE(Prj_CurReport,Параметры!Z$43,Параметры!Z$56,Параметры!Z$62)</f>
        <v>0.06</v>
      </c>
      <c r="AA288" s="89">
        <f>CHOOSE(Prj_CurReport,Параметры!AA$43,Параметры!AA$56,Параметры!AA$62)</f>
        <v>0.06</v>
      </c>
      <c r="AB288" s="89">
        <f>CHOOSE(Prj_CurReport,Параметры!AB$43,Параметры!AB$56,Параметры!AB$62)</f>
        <v>0.06</v>
      </c>
      <c r="AC288" s="89">
        <f>CHOOSE(Prj_CurReport,Параметры!AC$43,Параметры!AC$56,Параметры!AC$62)</f>
        <v>0.06</v>
      </c>
      <c r="AD288" s="89">
        <f>CHOOSE(Prj_CurReport,Параметры!AD$43,Параметры!AD$56,Параметры!AD$62)</f>
        <v>0.06</v>
      </c>
      <c r="AE288" s="89">
        <f>CHOOSE(Prj_CurReport,Параметры!AE$43,Параметры!AE$56,Параметры!AE$62)</f>
        <v>0.06</v>
      </c>
      <c r="AF288" s="89">
        <f>CHOOSE(Prj_CurReport,Параметры!AF$43,Параметры!AF$56,Параметры!AF$62)</f>
        <v>0.06</v>
      </c>
      <c r="AG288" s="89">
        <f>CHOOSE(Prj_CurReport,Параметры!AG$43,Параметры!AG$56,Параметры!AG$62)</f>
        <v>0.06</v>
      </c>
      <c r="AH288" s="89">
        <f>CHOOSE(Prj_CurReport,Параметры!AH$43,Параметры!AH$56,Параметры!AH$62)</f>
        <v>0.06</v>
      </c>
      <c r="AI288" s="89">
        <f>CHOOSE(Prj_CurReport,Параметры!AI$43,Параметры!AI$56,Параметры!AI$62)</f>
        <v>0.06</v>
      </c>
      <c r="AJ288" s="89">
        <f>CHOOSE(Prj_CurReport,Параметры!AJ$43,Параметры!AJ$56,Параметры!AJ$62)</f>
        <v>0.06</v>
      </c>
      <c r="AK288" s="89">
        <f>CHOOSE(Prj_CurReport,Параметры!AK$43,Параметры!AK$56,Параметры!AK$62)</f>
        <v>0.06</v>
      </c>
      <c r="AL288" s="89">
        <f>CHOOSE(Prj_CurReport,Параметры!AL$43,Параметры!AL$56,Параметры!AL$62)</f>
        <v>0.06</v>
      </c>
      <c r="AM288" s="89">
        <f>CHOOSE(Prj_CurReport,Параметры!AM$43,Параметры!AM$56,Параметры!AM$62)</f>
        <v>0.06</v>
      </c>
      <c r="AN288" s="89">
        <f>CHOOSE(Prj_CurReport,Параметры!AN$43,Параметры!AN$56,Параметры!AN$62)</f>
        <v>0.06</v>
      </c>
      <c r="AO288" s="89">
        <f>CHOOSE(Prj_CurReport,Параметры!AO$43,Параметры!AO$56,Параметры!AO$62)</f>
        <v>0.06</v>
      </c>
      <c r="AP288" s="89">
        <f>CHOOSE(Prj_CurReport,Параметры!AP$43,Параметры!AP$56,Параметры!AP$62)</f>
        <v>0.06</v>
      </c>
      <c r="AQ288" s="89">
        <f>CHOOSE(Prj_CurReport,Параметры!AQ$43,Параметры!AQ$56,Параметры!AQ$62)</f>
        <v>0.06</v>
      </c>
      <c r="AR288" s="89">
        <f>CHOOSE(Prj_CurReport,Параметры!AR$43,Параметры!AR$56,Параметры!AR$62)</f>
        <v>0.06</v>
      </c>
      <c r="AS288" s="89">
        <f>CHOOSE(Prj_CurReport,Параметры!AS$43,Параметры!AS$56,Параметры!AS$62)</f>
        <v>0.06</v>
      </c>
      <c r="AT288" s="89">
        <f>CHOOSE(Prj_CurReport,Параметры!AT$43,Параметры!AT$56,Параметры!AT$62)</f>
        <v>0.06</v>
      </c>
      <c r="AU288" s="89">
        <f>CHOOSE(Prj_CurReport,Параметры!AU$43,Параметры!AU$56,Параметры!AU$62)</f>
        <v>0.06</v>
      </c>
      <c r="AV288" s="89">
        <f>CHOOSE(Prj_CurReport,Параметры!AV$43,Параметры!AV$56,Параметры!AV$62)</f>
        <v>0.06</v>
      </c>
    </row>
    <row r="289" spans="1:50" hidden="1" outlineLevel="1" x14ac:dyDescent="0.2">
      <c r="A289" s="99" t="str">
        <f ca="1">Language!A$589</f>
        <v>коэффициент изменения цен к началу проекта</v>
      </c>
      <c r="B289" s="84"/>
      <c r="C289" s="130" t="str">
        <f ca="1">Language!$A$1449</f>
        <v>раз</v>
      </c>
      <c r="D289" s="57"/>
      <c r="E289" s="57"/>
      <c r="F289" s="57" t="s">
        <v>756</v>
      </c>
      <c r="G289" s="75">
        <f ca="1">IF(G$2=1,1,IF(Prj_Inflation=0,POWER(1+OFFSET(G288,0,-1),Параметры!G$30/360),1) * IF(G$2&gt;1, F289, 1))</f>
        <v>1</v>
      </c>
      <c r="H289" s="75">
        <f ca="1">IF(H$2=1,1,IF(Prj_Inflation=0,POWER(1+OFFSET(H288,0,-1),Параметры!H$30/360),1) * IF(H$2&gt;1, G289, 1))</f>
        <v>1</v>
      </c>
      <c r="I289" s="75">
        <f ca="1">IF(I$2=1,1,IF(Prj_Inflation=0,POWER(1+OFFSET(I288,0,-1),Параметры!I$30/360),1) * IF(I$2&gt;1, H289, 1))</f>
        <v>1</v>
      </c>
      <c r="J289" s="75">
        <f ca="1">IF(J$2=1,1,IF(Prj_Inflation=0,POWER(1+OFFSET(J288,0,-1),Параметры!J$30/360),1) * IF(J$2&gt;1, I289, 1))</f>
        <v>1</v>
      </c>
      <c r="K289" s="75">
        <f ca="1">IF(K$2=1,1,IF(Prj_Inflation=0,POWER(1+OFFSET(K288,0,-1),Параметры!K$30/360),1) * IF(K$2&gt;1, J289, 1))</f>
        <v>1</v>
      </c>
      <c r="L289" s="75">
        <f ca="1">IF(L$2=1,1,IF(Prj_Inflation=0,POWER(1+OFFSET(L288,0,-1),Параметры!L$30/360),1) * IF(L$2&gt;1, K289, 1))</f>
        <v>1</v>
      </c>
      <c r="M289" s="75">
        <f ca="1">IF(M$2=1,1,IF(Prj_Inflation=0,POWER(1+OFFSET(M288,0,-1),Параметры!M$30/360),1) * IF(M$2&gt;1, L289, 1))</f>
        <v>1</v>
      </c>
      <c r="N289" s="75">
        <f ca="1">IF(N$2=1,1,IF(Prj_Inflation=0,POWER(1+OFFSET(N288,0,-1),Параметры!N$30/360),1) * IF(N$2&gt;1, M289, 1))</f>
        <v>1</v>
      </c>
      <c r="O289" s="75">
        <f ca="1">IF(O$2=1,1,IF(Prj_Inflation=0,POWER(1+OFFSET(O288,0,-1),Параметры!O$30/360),1) * IF(O$2&gt;1, N289, 1))</f>
        <v>1</v>
      </c>
      <c r="P289" s="75">
        <f ca="1">IF(P$2=1,1,IF(Prj_Inflation=0,POWER(1+OFFSET(P288,0,-1),Параметры!P$30/360),1) * IF(P$2&gt;1, O289, 1))</f>
        <v>1</v>
      </c>
      <c r="Q289" s="75">
        <f ca="1">IF(Q$2=1,1,IF(Prj_Inflation=0,POWER(1+OFFSET(Q288,0,-1),Параметры!Q$30/360),1) * IF(Q$2&gt;1, P289, 1))</f>
        <v>1</v>
      </c>
      <c r="R289" s="75">
        <f ca="1">IF(R$2=1,1,IF(Prj_Inflation=0,POWER(1+OFFSET(R288,0,-1),Параметры!R$30/360),1) * IF(R$2&gt;1, Q289, 1))</f>
        <v>1</v>
      </c>
      <c r="S289" s="75">
        <f ca="1">IF(S$2=1,1,IF(Prj_Inflation=0,POWER(1+OFFSET(S288,0,-1),Параметры!S$30/360),1) * IF(S$2&gt;1, R289, 1))</f>
        <v>1</v>
      </c>
      <c r="T289" s="75">
        <f ca="1">IF(T$2=1,1,IF(Prj_Inflation=0,POWER(1+OFFSET(T288,0,-1),Параметры!T$30/360),1) * IF(T$2&gt;1, S289, 1))</f>
        <v>1</v>
      </c>
      <c r="U289" s="75">
        <f ca="1">IF(U$2=1,1,IF(Prj_Inflation=0,POWER(1+OFFSET(U288,0,-1),Параметры!U$30/360),1) * IF(U$2&gt;1, T289, 1))</f>
        <v>1</v>
      </c>
      <c r="V289" s="75">
        <f ca="1">IF(V$2=1,1,IF(Prj_Inflation=0,POWER(1+OFFSET(V288,0,-1),Параметры!V$30/360),1) * IF(V$2&gt;1, U289, 1))</f>
        <v>1</v>
      </c>
      <c r="W289" s="75">
        <f ca="1">IF(W$2=1,1,IF(Prj_Inflation=0,POWER(1+OFFSET(W288,0,-1),Параметры!W$30/360),1) * IF(W$2&gt;1, V289, 1))</f>
        <v>1</v>
      </c>
      <c r="X289" s="75">
        <f ca="1">IF(X$2=1,1,IF(Prj_Inflation=0,POWER(1+OFFSET(X288,0,-1),Параметры!X$30/360),1) * IF(X$2&gt;1, W289, 1))</f>
        <v>1</v>
      </c>
      <c r="Y289" s="75">
        <f ca="1">IF(Y$2=1,1,IF(Prj_Inflation=0,POWER(1+OFFSET(Y288,0,-1),Параметры!Y$30/360),1) * IF(Y$2&gt;1, X289, 1))</f>
        <v>1</v>
      </c>
      <c r="Z289" s="75">
        <f ca="1">IF(Z$2=1,1,IF(Prj_Inflation=0,POWER(1+OFFSET(Z288,0,-1),Параметры!Z$30/360),1) * IF(Z$2&gt;1, Y289, 1))</f>
        <v>1</v>
      </c>
      <c r="AA289" s="75">
        <f ca="1">IF(AA$2=1,1,IF(Prj_Inflation=0,POWER(1+OFFSET(AA288,0,-1),Параметры!AA$30/360),1) * IF(AA$2&gt;1, Z289, 1))</f>
        <v>1</v>
      </c>
      <c r="AB289" s="75">
        <f ca="1">IF(AB$2=1,1,IF(Prj_Inflation=0,POWER(1+OFFSET(AB288,0,-1),Параметры!AB$30/360),1) * IF(AB$2&gt;1, AA289, 1))</f>
        <v>1</v>
      </c>
      <c r="AC289" s="75">
        <f ca="1">IF(AC$2=1,1,IF(Prj_Inflation=0,POWER(1+OFFSET(AC288,0,-1),Параметры!AC$30/360),1) * IF(AC$2&gt;1, AB289, 1))</f>
        <v>1</v>
      </c>
      <c r="AD289" s="75">
        <f ca="1">IF(AD$2=1,1,IF(Prj_Inflation=0,POWER(1+OFFSET(AD288,0,-1),Параметры!AD$30/360),1) * IF(AD$2&gt;1, AC289, 1))</f>
        <v>1</v>
      </c>
      <c r="AE289" s="75">
        <f ca="1">IF(AE$2=1,1,IF(Prj_Inflation=0,POWER(1+OFFSET(AE288,0,-1),Параметры!AE$30/360),1) * IF(AE$2&gt;1, AD289, 1))</f>
        <v>1</v>
      </c>
      <c r="AF289" s="75">
        <f ca="1">IF(AF$2=1,1,IF(Prj_Inflation=0,POWER(1+OFFSET(AF288,0,-1),Параметры!AF$30/360),1) * IF(AF$2&gt;1, AE289, 1))</f>
        <v>1</v>
      </c>
      <c r="AG289" s="75">
        <f ca="1">IF(AG$2=1,1,IF(Prj_Inflation=0,POWER(1+OFFSET(AG288,0,-1),Параметры!AG$30/360),1) * IF(AG$2&gt;1, AF289, 1))</f>
        <v>1</v>
      </c>
      <c r="AH289" s="75">
        <f ca="1">IF(AH$2=1,1,IF(Prj_Inflation=0,POWER(1+OFFSET(AH288,0,-1),Параметры!AH$30/360),1) * IF(AH$2&gt;1, AG289, 1))</f>
        <v>1</v>
      </c>
      <c r="AI289" s="75">
        <f ca="1">IF(AI$2=1,1,IF(Prj_Inflation=0,POWER(1+OFFSET(AI288,0,-1),Параметры!AI$30/360),1) * IF(AI$2&gt;1, AH289, 1))</f>
        <v>1</v>
      </c>
      <c r="AJ289" s="75">
        <f ca="1">IF(AJ$2=1,1,IF(Prj_Inflation=0,POWER(1+OFFSET(AJ288,0,-1),Параметры!AJ$30/360),1) * IF(AJ$2&gt;1, AI289, 1))</f>
        <v>1</v>
      </c>
      <c r="AK289" s="75">
        <f ca="1">IF(AK$2=1,1,IF(Prj_Inflation=0,POWER(1+OFFSET(AK288,0,-1),Параметры!AK$30/360),1) * IF(AK$2&gt;1, AJ289, 1))</f>
        <v>1</v>
      </c>
      <c r="AL289" s="75">
        <f ca="1">IF(AL$2=1,1,IF(Prj_Inflation=0,POWER(1+OFFSET(AL288,0,-1),Параметры!AL$30/360),1) * IF(AL$2&gt;1, AK289, 1))</f>
        <v>1</v>
      </c>
      <c r="AM289" s="75">
        <f ca="1">IF(AM$2=1,1,IF(Prj_Inflation=0,POWER(1+OFFSET(AM288,0,-1),Параметры!AM$30/360),1) * IF(AM$2&gt;1, AL289, 1))</f>
        <v>1</v>
      </c>
      <c r="AN289" s="75">
        <f ca="1">IF(AN$2=1,1,IF(Prj_Inflation=0,POWER(1+OFFSET(AN288,0,-1),Параметры!AN$30/360),1) * IF(AN$2&gt;1, AM289, 1))</f>
        <v>1</v>
      </c>
      <c r="AO289" s="75">
        <f ca="1">IF(AO$2=1,1,IF(Prj_Inflation=0,POWER(1+OFFSET(AO288,0,-1),Параметры!AO$30/360),1) * IF(AO$2&gt;1, AN289, 1))</f>
        <v>1</v>
      </c>
      <c r="AP289" s="75">
        <f ca="1">IF(AP$2=1,1,IF(Prj_Inflation=0,POWER(1+OFFSET(AP288,0,-1),Параметры!AP$30/360),1) * IF(AP$2&gt;1, AO289, 1))</f>
        <v>1</v>
      </c>
      <c r="AQ289" s="75">
        <f ca="1">IF(AQ$2=1,1,IF(Prj_Inflation=0,POWER(1+OFFSET(AQ288,0,-1),Параметры!AQ$30/360),1) * IF(AQ$2&gt;1, AP289, 1))</f>
        <v>1</v>
      </c>
      <c r="AR289" s="75">
        <f ca="1">IF(AR$2=1,1,IF(Prj_Inflation=0,POWER(1+OFFSET(AR288,0,-1),Параметры!AR$30/360),1) * IF(AR$2&gt;1, AQ289, 1))</f>
        <v>1</v>
      </c>
      <c r="AS289" s="75">
        <f ca="1">IF(AS$2=1,1,IF(Prj_Inflation=0,POWER(1+OFFSET(AS288,0,-1),Параметры!AS$30/360),1) * IF(AS$2&gt;1, AR289, 1))</f>
        <v>1</v>
      </c>
      <c r="AT289" s="75">
        <f ca="1">IF(AT$2=1,1,IF(Prj_Inflation=0,POWER(1+OFFSET(AT288,0,-1),Параметры!AT$30/360),1) * IF(AT$2&gt;1, AS289, 1))</f>
        <v>1</v>
      </c>
      <c r="AU289" s="75">
        <f ca="1">IF(AU$2=1,1,IF(Prj_Inflation=0,POWER(1+OFFSET(AU288,0,-1),Параметры!AU$30/360),1) * IF(AU$2&gt;1, AT289, 1))</f>
        <v>1</v>
      </c>
      <c r="AV289" s="75">
        <f ca="1">IF(AV$2=1,1,IF(Prj_Inflation=0,POWER(1+OFFSET(AV288,0,-1),Параметры!AV$30/360),1) * IF(AV$2&gt;1, AU289, 1))</f>
        <v>1</v>
      </c>
    </row>
    <row r="290" spans="1:50" hidden="1" outlineLevel="1" x14ac:dyDescent="0.2">
      <c r="A290" s="65" t="str">
        <f ca="1">Language!A$1323</f>
        <v>Денежный поток для расчета эффективности</v>
      </c>
      <c r="B290" s="269"/>
      <c r="C290" s="130" t="str">
        <f ca="1">Параметры!$C$64</f>
        <v>тыс. руб.</v>
      </c>
      <c r="D290" s="57"/>
      <c r="E290" s="57"/>
      <c r="F290" s="57" t="s">
        <v>753</v>
      </c>
      <c r="G290" s="148">
        <f ca="1">G276*G289</f>
        <v>159460.54771811707</v>
      </c>
      <c r="H290" s="148">
        <f t="shared" ref="H290:K290" ca="1" si="1009">H276*H289</f>
        <v>26333.015221464142</v>
      </c>
      <c r="I290" s="148">
        <f t="shared" ca="1" si="1009"/>
        <v>-13460.459012748324</v>
      </c>
      <c r="J290" s="148">
        <f t="shared" ca="1" si="1009"/>
        <v>51966.285322022799</v>
      </c>
      <c r="K290" s="148">
        <f t="shared" ca="1" si="1009"/>
        <v>241398.69262800686</v>
      </c>
      <c r="L290" s="148">
        <f t="shared" ref="L290:M290" ca="1" si="1010">L276*L289</f>
        <v>218916.073608429</v>
      </c>
      <c r="M290" s="148">
        <f t="shared" ca="1" si="1010"/>
        <v>132986.85524138424</v>
      </c>
      <c r="N290" s="148">
        <f t="shared" ref="N290:O290" ca="1" si="1011">N276*N289</f>
        <v>175939.09372942464</v>
      </c>
      <c r="O290" s="148">
        <f t="shared" ca="1" si="1011"/>
        <v>295570.17973432835</v>
      </c>
      <c r="P290" s="148">
        <f t="shared" ref="P290:Q290" ca="1" si="1012">P276*P289</f>
        <v>269147.73803665274</v>
      </c>
      <c r="Q290" s="148">
        <f t="shared" ca="1" si="1012"/>
        <v>179199.78097389673</v>
      </c>
      <c r="R290" s="148">
        <f t="shared" ref="R290:S290" ca="1" si="1013">R276*R289</f>
        <v>219151.72048817965</v>
      </c>
      <c r="S290" s="148">
        <f t="shared" ca="1" si="1013"/>
        <v>335009.23560752411</v>
      </c>
      <c r="T290" s="148">
        <f t="shared" ref="T290:U290" ca="1" si="1014">T276*T289</f>
        <v>295720.46050562896</v>
      </c>
      <c r="U290" s="148">
        <f t="shared" ca="1" si="1014"/>
        <v>195733.25577490771</v>
      </c>
      <c r="V290" s="148">
        <f t="shared" ref="V290:W290" ca="1" si="1015">V276*V289</f>
        <v>235884.78074636351</v>
      </c>
      <c r="W290" s="148">
        <f t="shared" ca="1" si="1015"/>
        <v>352920.46233665285</v>
      </c>
      <c r="X290" s="148">
        <f t="shared" ref="X290:Y290" ca="1" si="1016">X276*X289</f>
        <v>306477.66567656182</v>
      </c>
      <c r="Y290" s="148">
        <f t="shared" ca="1" si="1016"/>
        <v>191470.91563308594</v>
      </c>
      <c r="Z290" s="148">
        <f t="shared" ref="Z290:AA290" ca="1" si="1017">Z276*Z289</f>
        <v>227336.6080672004</v>
      </c>
      <c r="AA290" s="148">
        <f t="shared" ca="1" si="1017"/>
        <v>351139.88972480758</v>
      </c>
      <c r="AB290" s="148">
        <f t="shared" ref="AB290:AC290" ca="1" si="1018">AB276*AB289</f>
        <v>301653.24395116838</v>
      </c>
      <c r="AC290" s="148">
        <f t="shared" ca="1" si="1018"/>
        <v>184753.15199397964</v>
      </c>
      <c r="AD290" s="148">
        <f t="shared" ref="AD290:AE290" ca="1" si="1019">AD276*AD289</f>
        <v>225137.58726759348</v>
      </c>
      <c r="AE290" s="148">
        <f t="shared" ca="1" si="1019"/>
        <v>356008.2004453736</v>
      </c>
      <c r="AF290" s="148">
        <f t="shared" ref="AF290:AG290" ca="1" si="1020">AF276*AF289</f>
        <v>303184.56940042012</v>
      </c>
      <c r="AG290" s="148">
        <f t="shared" ca="1" si="1020"/>
        <v>176315.76707386202</v>
      </c>
      <c r="AH290" s="148">
        <f t="shared" ref="AH290:AI290" ca="1" si="1021">AH276*AH289</f>
        <v>216311.9206679413</v>
      </c>
      <c r="AI290" s="148">
        <f t="shared" ca="1" si="1021"/>
        <v>354705.37977566081</v>
      </c>
      <c r="AJ290" s="148">
        <f t="shared" ref="AJ290:AK290" ca="1" si="1022">AJ276*AJ289</f>
        <v>298378.0854837111</v>
      </c>
      <c r="AK290" s="148">
        <f t="shared" ca="1" si="1022"/>
        <v>161683.46702978329</v>
      </c>
      <c r="AL290" s="148">
        <f t="shared" ref="AL290:AM290" ca="1" si="1023">AL276*AL289</f>
        <v>202591.75949739973</v>
      </c>
      <c r="AM290" s="148">
        <f t="shared" ca="1" si="1023"/>
        <v>356610.09357837564</v>
      </c>
      <c r="AN290" s="148">
        <f t="shared" ref="AN290:AO290" ca="1" si="1024">AN276*AN289</f>
        <v>304389.31270437461</v>
      </c>
      <c r="AO290" s="148">
        <f t="shared" ca="1" si="1024"/>
        <v>163869.81099400215</v>
      </c>
      <c r="AP290" s="148">
        <f t="shared" ref="AP290:AQ290" ca="1" si="1025">AP276*AP289</f>
        <v>212828.56480315898</v>
      </c>
      <c r="AQ290" s="148">
        <f t="shared" ca="1" si="1025"/>
        <v>377540.30579911149</v>
      </c>
      <c r="AR290" s="148">
        <f t="shared" ref="AR290:AS290" ca="1" si="1026">AR276*AR289</f>
        <v>322179.43428775296</v>
      </c>
      <c r="AS290" s="148">
        <f t="shared" ca="1" si="1026"/>
        <v>155243.8034234533</v>
      </c>
      <c r="AT290" s="148">
        <f t="shared" ref="AT290:AU290" ca="1" si="1027">AT276*AT289</f>
        <v>198701.68774011367</v>
      </c>
      <c r="AU290" s="148">
        <f t="shared" ca="1" si="1027"/>
        <v>372901.45675774344</v>
      </c>
      <c r="AV290" s="148">
        <f t="shared" ref="AV290" ca="1" si="1028">AV276*AV289</f>
        <v>313818.46509628498</v>
      </c>
      <c r="AX290" s="171">
        <f ca="1">SUM(G290:AW290)</f>
        <v>10007108.865533156</v>
      </c>
    </row>
    <row r="291" spans="1:50" x14ac:dyDescent="0.2">
      <c r="A291" s="92"/>
      <c r="B291" s="269"/>
      <c r="D291" s="57"/>
      <c r="E291" s="57"/>
      <c r="F291" s="57"/>
      <c r="G291" s="170"/>
    </row>
    <row r="292" spans="1:50" collapsed="1" x14ac:dyDescent="0.2">
      <c r="A292" s="79" t="str">
        <f ca="1">Language!A1381</f>
        <v>Модифицированная IRR, MIRR</v>
      </c>
      <c r="B292" s="275">
        <f ca="1">IFERROR(IF(POWER(1+IRR(G294:AW294,B273),360/Параметры!B$21)-1&gt;999%,"-",POWER(1+IRR(G294:AW294,B273),360/Параметры!B$21)-1),"-")</f>
        <v>1.0961650356339105</v>
      </c>
      <c r="C292" s="130" t="s">
        <v>1</v>
      </c>
      <c r="D292" s="57"/>
      <c r="E292" s="57"/>
      <c r="F292" s="57"/>
      <c r="G292" s="170" t="str">
        <f ca="1">Language!A$1333</f>
        <v>(с учетом инфляции, номинальная)</v>
      </c>
    </row>
    <row r="293" spans="1:50" hidden="1" outlineLevel="1" x14ac:dyDescent="0.2">
      <c r="A293" s="79" t="str">
        <f ca="1">Language!A1323</f>
        <v>Денежный поток для расчета эффективности</v>
      </c>
      <c r="B293" s="275"/>
      <c r="C293" s="130" t="str">
        <f ca="1">Параметры!$C$64</f>
        <v>тыс. руб.</v>
      </c>
      <c r="D293" s="57"/>
      <c r="E293" s="57"/>
      <c r="F293" s="57" t="s">
        <v>753</v>
      </c>
      <c r="G293" s="138">
        <f ca="1">IF(G276&gt;0,G276*G289*Параметры!G141,G276*G289/G275)</f>
        <v>1033382.311633926</v>
      </c>
      <c r="H293" s="138">
        <f ca="1">IF(H276&gt;0,H276*H289*Параметры!H141,H276*H289/H275)</f>
        <v>163047.08945835358</v>
      </c>
      <c r="I293" s="138">
        <f ca="1">IF(I276&gt;0,I276*I289*Параметры!I141,I276*I289/I275)</f>
        <v>-13393.657314981818</v>
      </c>
      <c r="J293" s="138">
        <f ca="1">IF(J276&gt;0,J276*J289*Параметры!J141,J276*J289/J275)</f>
        <v>293726.75742149347</v>
      </c>
      <c r="K293" s="138">
        <f ca="1">IF(K276&gt;0,K276*K289*Параметры!K141,K276*K289/K275)</f>
        <v>1303651.2927652679</v>
      </c>
      <c r="L293" s="138">
        <f ca="1">IF(L276&gt;0,L276*L289*Параметры!L141,L276*L289/L275)</f>
        <v>1129558.8553417602</v>
      </c>
      <c r="M293" s="138">
        <f ca="1">IF(M276&gt;0,M276*M289*Параметры!M141,M276*M289/M275)</f>
        <v>655608.56589174422</v>
      </c>
      <c r="N293" s="138">
        <f ca="1">IF(N276&gt;0,N276*N289*Параметры!N141,N276*N289/N275)</f>
        <v>828710.69169468258</v>
      </c>
      <c r="O293" s="138">
        <f ca="1">IF(O276&gt;0,O276*O289*Параметры!O141,O276*O289/O275)</f>
        <v>1330166.1617643707</v>
      </c>
      <c r="P293" s="138">
        <f ca="1">IF(P276&gt;0,P276*P289*Параметры!P141,P276*P289/P275)</f>
        <v>1157286.0087556387</v>
      </c>
      <c r="Q293" s="138">
        <f ca="1">IF(Q276&gt;0,Q276*Q289*Параметры!Q141,Q276*Q289/Q275)</f>
        <v>736193.7588942179</v>
      </c>
      <c r="R293" s="138">
        <f ca="1">IF(R276&gt;0,R276*R289*Параметры!R141,R276*R289/R275)</f>
        <v>860209.49078710179</v>
      </c>
      <c r="S293" s="138">
        <f ca="1">IF(S276&gt;0,S276*S289*Параметры!S141,S276*S289/S275)</f>
        <v>1256379.4197264682</v>
      </c>
      <c r="T293" s="138">
        <f ca="1">IF(T276&gt;0,T276*T289*Параметры!T141,T276*T289/T275)</f>
        <v>1059619.8762509297</v>
      </c>
      <c r="U293" s="138">
        <f ca="1">IF(U276&gt;0,U276*U289*Параметры!U141,U276*U289/U275)</f>
        <v>670097.5513028237</v>
      </c>
      <c r="V293" s="138">
        <f ca="1">IF(V276&gt;0,V276*V289*Параметры!V141,V276*V289/V275)</f>
        <v>771574.77430953586</v>
      </c>
      <c r="W293" s="138">
        <f ca="1">IF(W276&gt;0,W276*W289*Параметры!W141,W276*W289/W275)</f>
        <v>1102959.6564107432</v>
      </c>
      <c r="X293" s="138">
        <f ca="1">IF(X276&gt;0,X276*X289*Параметры!X141,X276*X289/X275)</f>
        <v>915137.40606756404</v>
      </c>
      <c r="Y293" s="138">
        <f ca="1">IF(Y276&gt;0,Y276*Y289*Параметры!Y141,Y276*Y289/Y275)</f>
        <v>546254.43865549006</v>
      </c>
      <c r="Z293" s="138">
        <f ca="1">IF(Z276&gt;0,Z276*Z289*Параметры!Z141,Z276*Z289/Z275)</f>
        <v>619678.21573290741</v>
      </c>
      <c r="AA293" s="138">
        <f ca="1">IF(AA276&gt;0,AA276*AA289*Параметры!AA141,AA276*AA289/AA275)</f>
        <v>914495.78931267059</v>
      </c>
      <c r="AB293" s="138">
        <f ca="1">IF(AB276&gt;0,AB276*AB289*Параметры!AB141,AB276*AB289/AB275)</f>
        <v>750609.79998857214</v>
      </c>
      <c r="AC293" s="138">
        <f ca="1">IF(AC276&gt;0,AC276*AC289*Параметры!AC141,AC276*AC289/AC275)</f>
        <v>439240.9024568696</v>
      </c>
      <c r="AD293" s="138">
        <f ca="1">IF(AD276&gt;0,AD276*AD289*Параметры!AD141,AD276*AD289/AD275)</f>
        <v>511403.40440005978</v>
      </c>
      <c r="AE293" s="138">
        <f ca="1">IF(AE276&gt;0,AE276*AE289*Параметры!AE141,AE276*AE289/AE275)</f>
        <v>772645.53196359705</v>
      </c>
      <c r="AF293" s="138">
        <f ca="1">IF(AF276&gt;0,AF276*AF289*Параметры!AF141,AF276*AF289/AF275)</f>
        <v>628683.52310871182</v>
      </c>
      <c r="AG293" s="138">
        <f ca="1">IF(AG276&gt;0,AG276*AG289*Параметры!AG141,AG276*AG289/AG275)</f>
        <v>349317.88628529041</v>
      </c>
      <c r="AH293" s="138">
        <f ca="1">IF(AH276&gt;0,AH276*AH289*Параметры!AH141,AH276*AH289/AH275)</f>
        <v>409463.14201493596</v>
      </c>
      <c r="AI293" s="138">
        <f ca="1">IF(AI276&gt;0,AI276*AI289*Параметры!AI141,AI276*AI289/AI275)</f>
        <v>641515.01403679862</v>
      </c>
      <c r="AJ293" s="138">
        <f ca="1">IF(AJ276&gt;0,AJ276*AJ289*Параметры!AJ141,AJ276*AJ289/AJ275)</f>
        <v>515597.33171585324</v>
      </c>
      <c r="AK293" s="138">
        <f ca="1">IF(AK276&gt;0,AK276*AK289*Параметры!AK141,AK276*AK289/AK275)</f>
        <v>266940.23591615434</v>
      </c>
      <c r="AL293" s="138">
        <f ca="1">IF(AL276&gt;0,AL276*AL289*Параметры!AL141,AL276*AL289/AL275)</f>
        <v>319576.54072719568</v>
      </c>
      <c r="AM293" s="138">
        <f ca="1">IF(AM276&gt;0,AM276*AM289*Параметры!AM141,AM276*AM289/AM275)</f>
        <v>537466.54320149077</v>
      </c>
      <c r="AN293" s="138">
        <f ca="1">IF(AN276&gt;0,AN276*AN289*Параметры!AN141,AN276*AN289/AN275)</f>
        <v>438320.61029429967</v>
      </c>
      <c r="AO293" s="138">
        <f ca="1">IF(AO276&gt;0,AO276*AO289*Параметры!AO141,AO276*AO289/AO275)</f>
        <v>225458.25087472031</v>
      </c>
      <c r="AP293" s="138">
        <f ca="1">IF(AP276&gt;0,AP276*AP289*Параметры!AP141,AP276*AP289/AP275)</f>
        <v>279770.41397793661</v>
      </c>
      <c r="AQ293" s="138">
        <f ca="1">IF(AQ276&gt;0,AQ276*AQ289*Параметры!AQ141,AQ276*AQ289/AQ275)</f>
        <v>474176.3407034296</v>
      </c>
      <c r="AR293" s="138">
        <f ca="1">IF(AR276&gt;0,AR276*AR289*Параметры!AR141,AR276*AR289/AR275)</f>
        <v>386615.32114530361</v>
      </c>
      <c r="AS293" s="138">
        <f ca="1">IF(AS276&gt;0,AS276*AS289*Параметры!AS141,AS276*AS289/AS275)</f>
        <v>177991.88761839611</v>
      </c>
      <c r="AT293" s="138">
        <f ca="1">IF(AT276&gt;0,AT276*AT289*Параметры!AT141,AT276*AT289/AT275)</f>
        <v>217666.79317921598</v>
      </c>
      <c r="AU293" s="138">
        <f ca="1">IF(AU276&gt;0,AU276*AU289*Параметры!AU141,AU276*AU289/AU275)</f>
        <v>390291.76817316003</v>
      </c>
      <c r="AV293" s="138">
        <f ca="1">IF(AV276&gt;0,AV276*AV289*Параметры!AV141,AV276*AV289/AV275)</f>
        <v>313818.46509628498</v>
      </c>
      <c r="AW293" s="138"/>
      <c r="AX293" s="171">
        <f ca="1">SUM(G293:AW293)</f>
        <v>26380914.161740977</v>
      </c>
    </row>
    <row r="294" spans="1:50" hidden="1" outlineLevel="1" x14ac:dyDescent="0.2">
      <c r="A294" s="79" t="str">
        <f ca="1">Language!A467</f>
        <v>Модифицированный денежный поток</v>
      </c>
      <c r="B294" s="275"/>
      <c r="C294" s="130" t="str">
        <f ca="1">Параметры!$C$64</f>
        <v>тыс. руб.</v>
      </c>
      <c r="D294" s="57"/>
      <c r="E294" s="57"/>
      <c r="F294" s="57" t="s">
        <v>753</v>
      </c>
      <c r="G294" s="138">
        <f t="shared" ref="G294:AV294" ca="1" si="1029">IF(G$2=1,SUMIF($G293:$AW293,"&lt;0",$G293:$AW293),IF(G$2=Prj_Len,SUMIF($G293:$AW293,"&gt;0",$G293:$AW293),0))</f>
        <v>-13393.657314981818</v>
      </c>
      <c r="H294" s="138">
        <f t="shared" si="1029"/>
        <v>0</v>
      </c>
      <c r="I294" s="138">
        <f t="shared" si="1029"/>
        <v>0</v>
      </c>
      <c r="J294" s="138">
        <f t="shared" si="1029"/>
        <v>0</v>
      </c>
      <c r="K294" s="138">
        <f t="shared" si="1029"/>
        <v>0</v>
      </c>
      <c r="L294" s="138">
        <f t="shared" si="1029"/>
        <v>0</v>
      </c>
      <c r="M294" s="138">
        <f t="shared" si="1029"/>
        <v>0</v>
      </c>
      <c r="N294" s="138">
        <f t="shared" si="1029"/>
        <v>0</v>
      </c>
      <c r="O294" s="138">
        <f t="shared" si="1029"/>
        <v>0</v>
      </c>
      <c r="P294" s="138">
        <f t="shared" si="1029"/>
        <v>0</v>
      </c>
      <c r="Q294" s="138">
        <f t="shared" si="1029"/>
        <v>0</v>
      </c>
      <c r="R294" s="138">
        <f t="shared" si="1029"/>
        <v>0</v>
      </c>
      <c r="S294" s="138">
        <f t="shared" si="1029"/>
        <v>0</v>
      </c>
      <c r="T294" s="138">
        <f t="shared" si="1029"/>
        <v>0</v>
      </c>
      <c r="U294" s="138">
        <f t="shared" si="1029"/>
        <v>0</v>
      </c>
      <c r="V294" s="138">
        <f t="shared" si="1029"/>
        <v>0</v>
      </c>
      <c r="W294" s="138">
        <f t="shared" si="1029"/>
        <v>0</v>
      </c>
      <c r="X294" s="138">
        <f t="shared" si="1029"/>
        <v>0</v>
      </c>
      <c r="Y294" s="138">
        <f t="shared" si="1029"/>
        <v>0</v>
      </c>
      <c r="Z294" s="138">
        <f t="shared" si="1029"/>
        <v>0</v>
      </c>
      <c r="AA294" s="138">
        <f t="shared" si="1029"/>
        <v>0</v>
      </c>
      <c r="AB294" s="138">
        <f t="shared" si="1029"/>
        <v>0</v>
      </c>
      <c r="AC294" s="138">
        <f t="shared" si="1029"/>
        <v>0</v>
      </c>
      <c r="AD294" s="138">
        <f t="shared" si="1029"/>
        <v>0</v>
      </c>
      <c r="AE294" s="138">
        <f t="shared" si="1029"/>
        <v>0</v>
      </c>
      <c r="AF294" s="138">
        <f t="shared" si="1029"/>
        <v>0</v>
      </c>
      <c r="AG294" s="138">
        <f t="shared" si="1029"/>
        <v>0</v>
      </c>
      <c r="AH294" s="138">
        <f t="shared" si="1029"/>
        <v>0</v>
      </c>
      <c r="AI294" s="138">
        <f t="shared" si="1029"/>
        <v>0</v>
      </c>
      <c r="AJ294" s="138">
        <f t="shared" si="1029"/>
        <v>0</v>
      </c>
      <c r="AK294" s="138">
        <f t="shared" si="1029"/>
        <v>0</v>
      </c>
      <c r="AL294" s="138">
        <f t="shared" si="1029"/>
        <v>0</v>
      </c>
      <c r="AM294" s="138">
        <f t="shared" si="1029"/>
        <v>0</v>
      </c>
      <c r="AN294" s="138">
        <f t="shared" si="1029"/>
        <v>0</v>
      </c>
      <c r="AO294" s="138">
        <f t="shared" si="1029"/>
        <v>0</v>
      </c>
      <c r="AP294" s="138">
        <f t="shared" si="1029"/>
        <v>0</v>
      </c>
      <c r="AQ294" s="138">
        <f t="shared" si="1029"/>
        <v>0</v>
      </c>
      <c r="AR294" s="138">
        <f t="shared" si="1029"/>
        <v>0</v>
      </c>
      <c r="AS294" s="138">
        <f t="shared" si="1029"/>
        <v>0</v>
      </c>
      <c r="AT294" s="138">
        <f t="shared" si="1029"/>
        <v>0</v>
      </c>
      <c r="AU294" s="138">
        <f t="shared" si="1029"/>
        <v>0</v>
      </c>
      <c r="AV294" s="138">
        <f t="shared" ca="1" si="1029"/>
        <v>26394307.819055963</v>
      </c>
      <c r="AW294" s="138"/>
      <c r="AX294" s="171">
        <f ca="1">SUM(G294:AW294)</f>
        <v>26380914.161740981</v>
      </c>
    </row>
    <row r="295" spans="1:50" x14ac:dyDescent="0.2">
      <c r="A295" s="65"/>
      <c r="D295" s="57"/>
      <c r="E295" s="57"/>
      <c r="F295" s="57"/>
    </row>
    <row r="296" spans="1:50" collapsed="1" x14ac:dyDescent="0.2">
      <c r="A296" s="92" t="str">
        <f ca="1">Language!A1382</f>
        <v>Дисконтированный срок окупаемости, PBP</v>
      </c>
      <c r="B296" s="276" t="str">
        <f ca="1">IF(B297&gt;0, AX298/12, "-")</f>
        <v>-</v>
      </c>
      <c r="C296" s="130" t="str">
        <f ca="1">Language!A48</f>
        <v>лет</v>
      </c>
      <c r="D296" s="57"/>
      <c r="E296" s="57"/>
      <c r="F296" s="57"/>
    </row>
    <row r="297" spans="1:50" hidden="1" outlineLevel="1" x14ac:dyDescent="0.2">
      <c r="A297" s="79" t="str">
        <f ca="1">Language!A$1337</f>
        <v>Флаг периода окупаемости</v>
      </c>
      <c r="B297" s="277">
        <f ca="1">MAX(G297:AW297)</f>
        <v>0</v>
      </c>
      <c r="C297" s="130" t="str">
        <f ca="1">Параметры!$C$17</f>
        <v>кв.</v>
      </c>
      <c r="D297" s="57"/>
      <c r="E297" s="57"/>
      <c r="F297" s="57" t="s">
        <v>1534</v>
      </c>
      <c r="G297" s="278">
        <f t="shared" ref="G297:AV297" si="1030">IF(G$2&gt;1, IF(AND(F283&lt;0,G283&gt;=0), G$2, 0), 0)</f>
        <v>0</v>
      </c>
      <c r="H297" s="278">
        <f t="shared" ca="1" si="1030"/>
        <v>0</v>
      </c>
      <c r="I297" s="278">
        <f t="shared" ca="1" si="1030"/>
        <v>0</v>
      </c>
      <c r="J297" s="278">
        <f t="shared" ca="1" si="1030"/>
        <v>0</v>
      </c>
      <c r="K297" s="278">
        <f t="shared" ca="1" si="1030"/>
        <v>0</v>
      </c>
      <c r="L297" s="278">
        <f t="shared" ca="1" si="1030"/>
        <v>0</v>
      </c>
      <c r="M297" s="278">
        <f t="shared" ca="1" si="1030"/>
        <v>0</v>
      </c>
      <c r="N297" s="278">
        <f t="shared" ca="1" si="1030"/>
        <v>0</v>
      </c>
      <c r="O297" s="278">
        <f t="shared" ca="1" si="1030"/>
        <v>0</v>
      </c>
      <c r="P297" s="278">
        <f t="shared" ca="1" si="1030"/>
        <v>0</v>
      </c>
      <c r="Q297" s="278">
        <f t="shared" ca="1" si="1030"/>
        <v>0</v>
      </c>
      <c r="R297" s="278">
        <f t="shared" ca="1" si="1030"/>
        <v>0</v>
      </c>
      <c r="S297" s="278">
        <f t="shared" ca="1" si="1030"/>
        <v>0</v>
      </c>
      <c r="T297" s="278">
        <f t="shared" ca="1" si="1030"/>
        <v>0</v>
      </c>
      <c r="U297" s="278">
        <f t="shared" ca="1" si="1030"/>
        <v>0</v>
      </c>
      <c r="V297" s="278">
        <f t="shared" ca="1" si="1030"/>
        <v>0</v>
      </c>
      <c r="W297" s="278">
        <f t="shared" ca="1" si="1030"/>
        <v>0</v>
      </c>
      <c r="X297" s="278">
        <f t="shared" ca="1" si="1030"/>
        <v>0</v>
      </c>
      <c r="Y297" s="278">
        <f t="shared" ca="1" si="1030"/>
        <v>0</v>
      </c>
      <c r="Z297" s="278">
        <f t="shared" ca="1" si="1030"/>
        <v>0</v>
      </c>
      <c r="AA297" s="278">
        <f t="shared" ca="1" si="1030"/>
        <v>0</v>
      </c>
      <c r="AB297" s="278">
        <f t="shared" ca="1" si="1030"/>
        <v>0</v>
      </c>
      <c r="AC297" s="278">
        <f t="shared" ca="1" si="1030"/>
        <v>0</v>
      </c>
      <c r="AD297" s="278">
        <f t="shared" ca="1" si="1030"/>
        <v>0</v>
      </c>
      <c r="AE297" s="278">
        <f t="shared" ca="1" si="1030"/>
        <v>0</v>
      </c>
      <c r="AF297" s="278">
        <f t="shared" ca="1" si="1030"/>
        <v>0</v>
      </c>
      <c r="AG297" s="278">
        <f t="shared" ca="1" si="1030"/>
        <v>0</v>
      </c>
      <c r="AH297" s="278">
        <f t="shared" ca="1" si="1030"/>
        <v>0</v>
      </c>
      <c r="AI297" s="278">
        <f t="shared" ca="1" si="1030"/>
        <v>0</v>
      </c>
      <c r="AJ297" s="278">
        <f t="shared" ca="1" si="1030"/>
        <v>0</v>
      </c>
      <c r="AK297" s="278">
        <f t="shared" ca="1" si="1030"/>
        <v>0</v>
      </c>
      <c r="AL297" s="278">
        <f t="shared" ca="1" si="1030"/>
        <v>0</v>
      </c>
      <c r="AM297" s="278">
        <f t="shared" ca="1" si="1030"/>
        <v>0</v>
      </c>
      <c r="AN297" s="278">
        <f t="shared" ca="1" si="1030"/>
        <v>0</v>
      </c>
      <c r="AO297" s="278">
        <f t="shared" ca="1" si="1030"/>
        <v>0</v>
      </c>
      <c r="AP297" s="278">
        <f t="shared" ca="1" si="1030"/>
        <v>0</v>
      </c>
      <c r="AQ297" s="278">
        <f t="shared" ca="1" si="1030"/>
        <v>0</v>
      </c>
      <c r="AR297" s="278">
        <f t="shared" ca="1" si="1030"/>
        <v>0</v>
      </c>
      <c r="AS297" s="278">
        <f t="shared" ca="1" si="1030"/>
        <v>0</v>
      </c>
      <c r="AT297" s="278">
        <f t="shared" ca="1" si="1030"/>
        <v>0</v>
      </c>
      <c r="AU297" s="278">
        <f t="shared" ca="1" si="1030"/>
        <v>0</v>
      </c>
      <c r="AV297" s="278">
        <f t="shared" ca="1" si="1030"/>
        <v>0</v>
      </c>
    </row>
    <row r="298" spans="1:50" hidden="1" outlineLevel="1" x14ac:dyDescent="0.2">
      <c r="A298" s="107" t="str">
        <f ca="1">Language!A1384</f>
        <v>Расчет окупаемости в месяцах</v>
      </c>
      <c r="B298" s="280">
        <f ca="1">AX298</f>
        <v>0</v>
      </c>
      <c r="C298" s="130" t="str">
        <f ca="1">Language!A46</f>
        <v>мес.</v>
      </c>
      <c r="D298" s="57"/>
      <c r="E298" s="57"/>
      <c r="F298" s="57" t="s">
        <v>1534</v>
      </c>
      <c r="G298" s="279">
        <f ca="1">IF(G$2&lt;$B297, Параметры!G$31, IF(G$2=$B297, -F283/(G283-F283)*Параметры!G$31, 0))</f>
        <v>0</v>
      </c>
      <c r="H298" s="279">
        <f ca="1">IF(H$2&lt;$B297, Параметры!H$31, IF(H$2=$B297, -G283/(H283-G283)*Параметры!H$31, 0))</f>
        <v>0</v>
      </c>
      <c r="I298" s="279">
        <f ca="1">IF(I$2&lt;$B297, Параметры!I$31, IF(I$2=$B297, -H283/(I283-H283)*Параметры!I$31, 0))</f>
        <v>0</v>
      </c>
      <c r="J298" s="279">
        <f ca="1">IF(J$2&lt;$B297, Параметры!J$31, IF(J$2=$B297, -I283/(J283-I283)*Параметры!J$31, 0))</f>
        <v>0</v>
      </c>
      <c r="K298" s="279">
        <f ca="1">IF(K$2&lt;$B297, Параметры!K$31, IF(K$2=$B297, -J283/(K283-J283)*Параметры!K$31, 0))</f>
        <v>0</v>
      </c>
      <c r="L298" s="279">
        <f ca="1">IF(L$2&lt;$B297, Параметры!L$31, IF(L$2=$B297, -K283/(L283-K283)*Параметры!L$31, 0))</f>
        <v>0</v>
      </c>
      <c r="M298" s="279">
        <f ca="1">IF(M$2&lt;$B297, Параметры!M$31, IF(M$2=$B297, -L283/(M283-L283)*Параметры!M$31, 0))</f>
        <v>0</v>
      </c>
      <c r="N298" s="279">
        <f ca="1">IF(N$2&lt;$B297, Параметры!N$31, IF(N$2=$B297, -M283/(N283-M283)*Параметры!N$31, 0))</f>
        <v>0</v>
      </c>
      <c r="O298" s="279">
        <f ca="1">IF(O$2&lt;$B297, Параметры!O$31, IF(O$2=$B297, -N283/(O283-N283)*Параметры!O$31, 0))</f>
        <v>0</v>
      </c>
      <c r="P298" s="279">
        <f ca="1">IF(P$2&lt;$B297, Параметры!P$31, IF(P$2=$B297, -O283/(P283-O283)*Параметры!P$31, 0))</f>
        <v>0</v>
      </c>
      <c r="Q298" s="279">
        <f ca="1">IF(Q$2&lt;$B297, Параметры!Q$31, IF(Q$2=$B297, -P283/(Q283-P283)*Параметры!Q$31, 0))</f>
        <v>0</v>
      </c>
      <c r="R298" s="279">
        <f ca="1">IF(R$2&lt;$B297, Параметры!R$31, IF(R$2=$B297, -Q283/(R283-Q283)*Параметры!R$31, 0))</f>
        <v>0</v>
      </c>
      <c r="S298" s="279">
        <f ca="1">IF(S$2&lt;$B297, Параметры!S$31, IF(S$2=$B297, -R283/(S283-R283)*Параметры!S$31, 0))</f>
        <v>0</v>
      </c>
      <c r="T298" s="279">
        <f ca="1">IF(T$2&lt;$B297, Параметры!T$31, IF(T$2=$B297, -S283/(T283-S283)*Параметры!T$31, 0))</f>
        <v>0</v>
      </c>
      <c r="U298" s="279">
        <f ca="1">IF(U$2&lt;$B297, Параметры!U$31, IF(U$2=$B297, -T283/(U283-T283)*Параметры!U$31, 0))</f>
        <v>0</v>
      </c>
      <c r="V298" s="279">
        <f ca="1">IF(V$2&lt;$B297, Параметры!V$31, IF(V$2=$B297, -U283/(V283-U283)*Параметры!V$31, 0))</f>
        <v>0</v>
      </c>
      <c r="W298" s="279">
        <f ca="1">IF(W$2&lt;$B297, Параметры!W$31, IF(W$2=$B297, -V283/(W283-V283)*Параметры!W$31, 0))</f>
        <v>0</v>
      </c>
      <c r="X298" s="279">
        <f ca="1">IF(X$2&lt;$B297, Параметры!X$31, IF(X$2=$B297, -W283/(X283-W283)*Параметры!X$31, 0))</f>
        <v>0</v>
      </c>
      <c r="Y298" s="279">
        <f ca="1">IF(Y$2&lt;$B297, Параметры!Y$31, IF(Y$2=$B297, -X283/(Y283-X283)*Параметры!Y$31, 0))</f>
        <v>0</v>
      </c>
      <c r="Z298" s="279">
        <f ca="1">IF(Z$2&lt;$B297, Параметры!Z$31, IF(Z$2=$B297, -Y283/(Z283-Y283)*Параметры!Z$31, 0))</f>
        <v>0</v>
      </c>
      <c r="AA298" s="279">
        <f ca="1">IF(AA$2&lt;$B297, Параметры!AA$31, IF(AA$2=$B297, -Z283/(AA283-Z283)*Параметры!AA$31, 0))</f>
        <v>0</v>
      </c>
      <c r="AB298" s="279">
        <f ca="1">IF(AB$2&lt;$B297, Параметры!AB$31, IF(AB$2=$B297, -AA283/(AB283-AA283)*Параметры!AB$31, 0))</f>
        <v>0</v>
      </c>
      <c r="AC298" s="279">
        <f ca="1">IF(AC$2&lt;$B297, Параметры!AC$31, IF(AC$2=$B297, -AB283/(AC283-AB283)*Параметры!AC$31, 0))</f>
        <v>0</v>
      </c>
      <c r="AD298" s="279">
        <f ca="1">IF(AD$2&lt;$B297, Параметры!AD$31, IF(AD$2=$B297, -AC283/(AD283-AC283)*Параметры!AD$31, 0))</f>
        <v>0</v>
      </c>
      <c r="AE298" s="279">
        <f ca="1">IF(AE$2&lt;$B297, Параметры!AE$31, IF(AE$2=$B297, -AD283/(AE283-AD283)*Параметры!AE$31, 0))</f>
        <v>0</v>
      </c>
      <c r="AF298" s="279">
        <f ca="1">IF(AF$2&lt;$B297, Параметры!AF$31, IF(AF$2=$B297, -AE283/(AF283-AE283)*Параметры!AF$31, 0))</f>
        <v>0</v>
      </c>
      <c r="AG298" s="279">
        <f ca="1">IF(AG$2&lt;$B297, Параметры!AG$31, IF(AG$2=$B297, -AF283/(AG283-AF283)*Параметры!AG$31, 0))</f>
        <v>0</v>
      </c>
      <c r="AH298" s="279">
        <f ca="1">IF(AH$2&lt;$B297, Параметры!AH$31, IF(AH$2=$B297, -AG283/(AH283-AG283)*Параметры!AH$31, 0))</f>
        <v>0</v>
      </c>
      <c r="AI298" s="279">
        <f ca="1">IF(AI$2&lt;$B297, Параметры!AI$31, IF(AI$2=$B297, -AH283/(AI283-AH283)*Параметры!AI$31, 0))</f>
        <v>0</v>
      </c>
      <c r="AJ298" s="279">
        <f ca="1">IF(AJ$2&lt;$B297, Параметры!AJ$31, IF(AJ$2=$B297, -AI283/(AJ283-AI283)*Параметры!AJ$31, 0))</f>
        <v>0</v>
      </c>
      <c r="AK298" s="279">
        <f ca="1">IF(AK$2&lt;$B297, Параметры!AK$31, IF(AK$2=$B297, -AJ283/(AK283-AJ283)*Параметры!AK$31, 0))</f>
        <v>0</v>
      </c>
      <c r="AL298" s="279">
        <f ca="1">IF(AL$2&lt;$B297, Параметры!AL$31, IF(AL$2=$B297, -AK283/(AL283-AK283)*Параметры!AL$31, 0))</f>
        <v>0</v>
      </c>
      <c r="AM298" s="279">
        <f ca="1">IF(AM$2&lt;$B297, Параметры!AM$31, IF(AM$2=$B297, -AL283/(AM283-AL283)*Параметры!AM$31, 0))</f>
        <v>0</v>
      </c>
      <c r="AN298" s="279">
        <f ca="1">IF(AN$2&lt;$B297, Параметры!AN$31, IF(AN$2=$B297, -AM283/(AN283-AM283)*Параметры!AN$31, 0))</f>
        <v>0</v>
      </c>
      <c r="AO298" s="279">
        <f ca="1">IF(AO$2&lt;$B297, Параметры!AO$31, IF(AO$2=$B297, -AN283/(AO283-AN283)*Параметры!AO$31, 0))</f>
        <v>0</v>
      </c>
      <c r="AP298" s="279">
        <f ca="1">IF(AP$2&lt;$B297, Параметры!AP$31, IF(AP$2=$B297, -AO283/(AP283-AO283)*Параметры!AP$31, 0))</f>
        <v>0</v>
      </c>
      <c r="AQ298" s="279">
        <f ca="1">IF(AQ$2&lt;$B297, Параметры!AQ$31, IF(AQ$2=$B297, -AP283/(AQ283-AP283)*Параметры!AQ$31, 0))</f>
        <v>0</v>
      </c>
      <c r="AR298" s="279">
        <f ca="1">IF(AR$2&lt;$B297, Параметры!AR$31, IF(AR$2=$B297, -AQ283/(AR283-AQ283)*Параметры!AR$31, 0))</f>
        <v>0</v>
      </c>
      <c r="AS298" s="279">
        <f ca="1">IF(AS$2&lt;$B297, Параметры!AS$31, IF(AS$2=$B297, -AR283/(AS283-AR283)*Параметры!AS$31, 0))</f>
        <v>0</v>
      </c>
      <c r="AT298" s="279">
        <f ca="1">IF(AT$2&lt;$B297, Параметры!AT$31, IF(AT$2=$B297, -AS283/(AT283-AS283)*Параметры!AT$31, 0))</f>
        <v>0</v>
      </c>
      <c r="AU298" s="279">
        <f ca="1">IF(AU$2&lt;$B297, Параметры!AU$31, IF(AU$2=$B297, -AT283/(AU283-AT283)*Параметры!AU$31, 0))</f>
        <v>0</v>
      </c>
      <c r="AV298" s="279">
        <f ca="1">IF(AV$2&lt;$B297, Параметры!AV$31, IF(AV$2=$B297, -AU283/(AV283-AU283)*Параметры!AV$31, 0))</f>
        <v>0</v>
      </c>
      <c r="AW298" s="279"/>
      <c r="AX298" s="281">
        <f ca="1">SUM(G298:AW298)</f>
        <v>0</v>
      </c>
    </row>
    <row r="299" spans="1:50" x14ac:dyDescent="0.2">
      <c r="A299" s="107"/>
      <c r="B299" s="280"/>
      <c r="D299" s="57"/>
      <c r="E299" s="57"/>
      <c r="F299" s="57"/>
      <c r="G299" s="279"/>
      <c r="H299" s="279"/>
      <c r="I299" s="279"/>
      <c r="J299" s="279"/>
      <c r="K299" s="279"/>
      <c r="L299" s="279"/>
      <c r="M299" s="279"/>
      <c r="N299" s="279"/>
      <c r="O299" s="279"/>
      <c r="P299" s="279"/>
      <c r="Q299" s="279"/>
      <c r="R299" s="279"/>
      <c r="S299" s="279"/>
      <c r="T299" s="279"/>
      <c r="U299" s="279"/>
      <c r="V299" s="279"/>
      <c r="W299" s="279"/>
      <c r="X299" s="279"/>
      <c r="Y299" s="279"/>
      <c r="Z299" s="279"/>
      <c r="AA299" s="279"/>
      <c r="AB299" s="279"/>
      <c r="AC299" s="279"/>
      <c r="AD299" s="279"/>
      <c r="AE299" s="279"/>
      <c r="AF299" s="279"/>
      <c r="AG299" s="279"/>
      <c r="AH299" s="279"/>
      <c r="AI299" s="279"/>
      <c r="AJ299" s="279"/>
      <c r="AK299" s="279"/>
      <c r="AL299" s="279"/>
      <c r="AM299" s="279"/>
      <c r="AN299" s="279"/>
      <c r="AO299" s="279"/>
      <c r="AP299" s="279"/>
      <c r="AQ299" s="279"/>
      <c r="AR299" s="279"/>
      <c r="AS299" s="279"/>
      <c r="AT299" s="279"/>
      <c r="AU299" s="279"/>
      <c r="AV299" s="279"/>
      <c r="AW299" s="279"/>
      <c r="AX299" s="281"/>
    </row>
    <row r="300" spans="1:50" collapsed="1" x14ac:dyDescent="0.2">
      <c r="A300" s="65" t="str">
        <f ca="1">Language!A$1339</f>
        <v>Простой срок окупаемости</v>
      </c>
      <c r="B300" s="276" t="str">
        <f ca="1">IF(B302&gt;0, AX303/12, "-")</f>
        <v>-</v>
      </c>
      <c r="C300" s="130" t="str">
        <f ca="1">Language!A$48</f>
        <v>лет</v>
      </c>
      <c r="D300" s="57"/>
      <c r="E300" s="57"/>
      <c r="F300" s="57"/>
    </row>
    <row r="301" spans="1:50" hidden="1" outlineLevel="1" x14ac:dyDescent="0.2">
      <c r="A301" s="79" t="str">
        <f ca="1">Language!A$1340</f>
        <v>Недисконтированный поток нарастающим итогом</v>
      </c>
      <c r="B301" s="215"/>
      <c r="C301" s="130" t="str">
        <f ca="1">Параметры!$C$64</f>
        <v>тыс. руб.</v>
      </c>
      <c r="D301" s="57"/>
      <c r="E301" s="57"/>
      <c r="F301" s="57" t="s">
        <v>754</v>
      </c>
      <c r="G301" s="148">
        <f ca="1">G276 + IF(G$2&gt;1, F301)</f>
        <v>159460.54771811707</v>
      </c>
      <c r="H301" s="148">
        <f t="shared" ref="H301:AV301" ca="1" si="1031">H276 + IF(H$2&gt;1, G301)</f>
        <v>185793.56293958123</v>
      </c>
      <c r="I301" s="148">
        <f t="shared" ca="1" si="1031"/>
        <v>172333.1039268329</v>
      </c>
      <c r="J301" s="148">
        <f t="shared" ca="1" si="1031"/>
        <v>224299.3892488557</v>
      </c>
      <c r="K301" s="148">
        <f t="shared" ca="1" si="1031"/>
        <v>465698.08187686256</v>
      </c>
      <c r="L301" s="148">
        <f t="shared" ca="1" si="1031"/>
        <v>684614.1554852915</v>
      </c>
      <c r="M301" s="148">
        <f t="shared" ca="1" si="1031"/>
        <v>817601.01072667574</v>
      </c>
      <c r="N301" s="148">
        <f t="shared" ca="1" si="1031"/>
        <v>993540.10445610038</v>
      </c>
      <c r="O301" s="148">
        <f t="shared" ca="1" si="1031"/>
        <v>1289110.2841904287</v>
      </c>
      <c r="P301" s="148">
        <f t="shared" ca="1" si="1031"/>
        <v>1558258.0222270815</v>
      </c>
      <c r="Q301" s="148">
        <f t="shared" ca="1" si="1031"/>
        <v>1737457.8032009783</v>
      </c>
      <c r="R301" s="148">
        <f t="shared" ca="1" si="1031"/>
        <v>1956609.523689158</v>
      </c>
      <c r="S301" s="148">
        <f t="shared" ca="1" si="1031"/>
        <v>2291618.7592966822</v>
      </c>
      <c r="T301" s="148">
        <f t="shared" ca="1" si="1031"/>
        <v>2587339.2198023112</v>
      </c>
      <c r="U301" s="148">
        <f t="shared" ca="1" si="1031"/>
        <v>2783072.4755772189</v>
      </c>
      <c r="V301" s="148">
        <f t="shared" ca="1" si="1031"/>
        <v>3018957.2563235825</v>
      </c>
      <c r="W301" s="148">
        <f t="shared" ca="1" si="1031"/>
        <v>3371877.7186602354</v>
      </c>
      <c r="X301" s="148">
        <f t="shared" ca="1" si="1031"/>
        <v>3678355.3843367971</v>
      </c>
      <c r="Y301" s="148">
        <f t="shared" ca="1" si="1031"/>
        <v>3869826.2999698832</v>
      </c>
      <c r="Z301" s="148">
        <f t="shared" ca="1" si="1031"/>
        <v>4097162.9080370837</v>
      </c>
      <c r="AA301" s="148">
        <f t="shared" ca="1" si="1031"/>
        <v>4448302.797761891</v>
      </c>
      <c r="AB301" s="148">
        <f t="shared" ca="1" si="1031"/>
        <v>4749956.0417130589</v>
      </c>
      <c r="AC301" s="148">
        <f t="shared" ca="1" si="1031"/>
        <v>4934709.1937070386</v>
      </c>
      <c r="AD301" s="148">
        <f t="shared" ca="1" si="1031"/>
        <v>5159846.7809746321</v>
      </c>
      <c r="AE301" s="148">
        <f t="shared" ca="1" si="1031"/>
        <v>5515854.9814200057</v>
      </c>
      <c r="AF301" s="148">
        <f t="shared" ca="1" si="1031"/>
        <v>5819039.5508204261</v>
      </c>
      <c r="AG301" s="148">
        <f t="shared" ca="1" si="1031"/>
        <v>5995355.3178942883</v>
      </c>
      <c r="AH301" s="148">
        <f t="shared" ca="1" si="1031"/>
        <v>6211667.23856223</v>
      </c>
      <c r="AI301" s="148">
        <f t="shared" ca="1" si="1031"/>
        <v>6566372.6183378911</v>
      </c>
      <c r="AJ301" s="148">
        <f t="shared" ca="1" si="1031"/>
        <v>6864750.7038216023</v>
      </c>
      <c r="AK301" s="148">
        <f t="shared" ca="1" si="1031"/>
        <v>7026434.1708513852</v>
      </c>
      <c r="AL301" s="148">
        <f t="shared" ca="1" si="1031"/>
        <v>7229025.9303487847</v>
      </c>
      <c r="AM301" s="148">
        <f t="shared" ca="1" si="1031"/>
        <v>7585636.0239271605</v>
      </c>
      <c r="AN301" s="148">
        <f t="shared" ca="1" si="1031"/>
        <v>7890025.3366315356</v>
      </c>
      <c r="AO301" s="148">
        <f t="shared" ca="1" si="1031"/>
        <v>8053895.1476255376</v>
      </c>
      <c r="AP301" s="148">
        <f t="shared" ca="1" si="1031"/>
        <v>8266723.7124286965</v>
      </c>
      <c r="AQ301" s="148">
        <f t="shared" ca="1" si="1031"/>
        <v>8644264.0182278082</v>
      </c>
      <c r="AR301" s="148">
        <f t="shared" ca="1" si="1031"/>
        <v>8966443.4525155611</v>
      </c>
      <c r="AS301" s="148">
        <f t="shared" ca="1" si="1031"/>
        <v>9121687.2559390143</v>
      </c>
      <c r="AT301" s="148">
        <f t="shared" ca="1" si="1031"/>
        <v>9320388.9436791278</v>
      </c>
      <c r="AU301" s="148">
        <f t="shared" ca="1" si="1031"/>
        <v>9693290.4004368708</v>
      </c>
      <c r="AV301" s="148">
        <f t="shared" ca="1" si="1031"/>
        <v>10007108.865533156</v>
      </c>
    </row>
    <row r="302" spans="1:50" hidden="1" outlineLevel="1" x14ac:dyDescent="0.2">
      <c r="A302" s="79" t="str">
        <f ca="1">Language!A$1337</f>
        <v>Флаг периода окупаемости</v>
      </c>
      <c r="B302" s="277">
        <f ca="1">MAX(G302:AW302)</f>
        <v>0</v>
      </c>
      <c r="C302" s="130" t="str">
        <f ca="1">Параметры!$C$17</f>
        <v>кв.</v>
      </c>
      <c r="D302" s="57"/>
      <c r="E302" s="57"/>
      <c r="F302" s="57" t="s">
        <v>1534</v>
      </c>
      <c r="G302" s="278">
        <f>IF(G$2&gt;1, IF(AND(F301&lt;0,G301&gt;=0), G$2, 0), 0)</f>
        <v>0</v>
      </c>
      <c r="H302" s="278">
        <f t="shared" ref="H302" ca="1" si="1032">IF(H$2&gt;1, IF(AND(G301&lt;0,H301&gt;=0), H$2, 0), 0)</f>
        <v>0</v>
      </c>
      <c r="I302" s="278">
        <f t="shared" ref="I302" ca="1" si="1033">IF(I$2&gt;1, IF(AND(H301&lt;0,I301&gt;=0), I$2, 0), 0)</f>
        <v>0</v>
      </c>
      <c r="J302" s="278">
        <f t="shared" ref="J302" ca="1" si="1034">IF(J$2&gt;1, IF(AND(I301&lt;0,J301&gt;=0), J$2, 0), 0)</f>
        <v>0</v>
      </c>
      <c r="K302" s="278">
        <f t="shared" ref="K302:AV302" ca="1" si="1035">IF(K$2&gt;1, IF(AND(J301&lt;0,K301&gt;=0), K$2, 0), 0)</f>
        <v>0</v>
      </c>
      <c r="L302" s="278">
        <f t="shared" ca="1" si="1035"/>
        <v>0</v>
      </c>
      <c r="M302" s="278">
        <f t="shared" ca="1" si="1035"/>
        <v>0</v>
      </c>
      <c r="N302" s="278">
        <f t="shared" ca="1" si="1035"/>
        <v>0</v>
      </c>
      <c r="O302" s="278">
        <f t="shared" ca="1" si="1035"/>
        <v>0</v>
      </c>
      <c r="P302" s="278">
        <f t="shared" ca="1" si="1035"/>
        <v>0</v>
      </c>
      <c r="Q302" s="278">
        <f t="shared" ca="1" si="1035"/>
        <v>0</v>
      </c>
      <c r="R302" s="278">
        <f t="shared" ca="1" si="1035"/>
        <v>0</v>
      </c>
      <c r="S302" s="278">
        <f t="shared" ca="1" si="1035"/>
        <v>0</v>
      </c>
      <c r="T302" s="278">
        <f t="shared" ca="1" si="1035"/>
        <v>0</v>
      </c>
      <c r="U302" s="278">
        <f t="shared" ca="1" si="1035"/>
        <v>0</v>
      </c>
      <c r="V302" s="278">
        <f t="shared" ca="1" si="1035"/>
        <v>0</v>
      </c>
      <c r="W302" s="278">
        <f t="shared" ca="1" si="1035"/>
        <v>0</v>
      </c>
      <c r="X302" s="278">
        <f t="shared" ca="1" si="1035"/>
        <v>0</v>
      </c>
      <c r="Y302" s="278">
        <f t="shared" ca="1" si="1035"/>
        <v>0</v>
      </c>
      <c r="Z302" s="278">
        <f t="shared" ca="1" si="1035"/>
        <v>0</v>
      </c>
      <c r="AA302" s="278">
        <f t="shared" ca="1" si="1035"/>
        <v>0</v>
      </c>
      <c r="AB302" s="278">
        <f t="shared" ca="1" si="1035"/>
        <v>0</v>
      </c>
      <c r="AC302" s="278">
        <f t="shared" ca="1" si="1035"/>
        <v>0</v>
      </c>
      <c r="AD302" s="278">
        <f t="shared" ca="1" si="1035"/>
        <v>0</v>
      </c>
      <c r="AE302" s="278">
        <f t="shared" ca="1" si="1035"/>
        <v>0</v>
      </c>
      <c r="AF302" s="278">
        <f t="shared" ca="1" si="1035"/>
        <v>0</v>
      </c>
      <c r="AG302" s="278">
        <f t="shared" ca="1" si="1035"/>
        <v>0</v>
      </c>
      <c r="AH302" s="278">
        <f t="shared" ca="1" si="1035"/>
        <v>0</v>
      </c>
      <c r="AI302" s="278">
        <f t="shared" ca="1" si="1035"/>
        <v>0</v>
      </c>
      <c r="AJ302" s="278">
        <f t="shared" ca="1" si="1035"/>
        <v>0</v>
      </c>
      <c r="AK302" s="278">
        <f t="shared" ca="1" si="1035"/>
        <v>0</v>
      </c>
      <c r="AL302" s="278">
        <f t="shared" ca="1" si="1035"/>
        <v>0</v>
      </c>
      <c r="AM302" s="278">
        <f t="shared" ca="1" si="1035"/>
        <v>0</v>
      </c>
      <c r="AN302" s="278">
        <f t="shared" ca="1" si="1035"/>
        <v>0</v>
      </c>
      <c r="AO302" s="278">
        <f t="shared" ca="1" si="1035"/>
        <v>0</v>
      </c>
      <c r="AP302" s="278">
        <f t="shared" ca="1" si="1035"/>
        <v>0</v>
      </c>
      <c r="AQ302" s="278">
        <f t="shared" ca="1" si="1035"/>
        <v>0</v>
      </c>
      <c r="AR302" s="278">
        <f t="shared" ca="1" si="1035"/>
        <v>0</v>
      </c>
      <c r="AS302" s="278">
        <f t="shared" ca="1" si="1035"/>
        <v>0</v>
      </c>
      <c r="AT302" s="278">
        <f t="shared" ca="1" si="1035"/>
        <v>0</v>
      </c>
      <c r="AU302" s="278">
        <f t="shared" ca="1" si="1035"/>
        <v>0</v>
      </c>
      <c r="AV302" s="278">
        <f t="shared" ca="1" si="1035"/>
        <v>0</v>
      </c>
      <c r="AW302" s="279"/>
      <c r="AX302" s="279"/>
    </row>
    <row r="303" spans="1:50" hidden="1" outlineLevel="1" x14ac:dyDescent="0.2">
      <c r="A303" s="107" t="str">
        <f ca="1">Language!A$1338</f>
        <v>Расчет окупаемости в месяцах</v>
      </c>
      <c r="B303" s="280">
        <f ca="1">AX303</f>
        <v>0</v>
      </c>
      <c r="C303" s="130" t="str">
        <f ca="1">Language!A$46</f>
        <v>мес.</v>
      </c>
      <c r="D303" s="57"/>
      <c r="E303" s="57"/>
      <c r="F303" s="57" t="s">
        <v>1534</v>
      </c>
      <c r="G303" s="279">
        <f ca="1">IF(G$2&lt;$B302, Параметры!G$31, IF(G$2=$B302, -F301/(G301-F301)*Параметры!G$31, 0))</f>
        <v>0</v>
      </c>
      <c r="H303" s="279">
        <f ca="1">IF(H$2&lt;$B302, Параметры!H$31, IF(H$2=$B302, -G301/(H301-G301)*Параметры!H$31, 0))</f>
        <v>0</v>
      </c>
      <c r="I303" s="279">
        <f ca="1">IF(I$2&lt;$B302, Параметры!I$31, IF(I$2=$B302, -H301/(I301-H301)*Параметры!I$31, 0))</f>
        <v>0</v>
      </c>
      <c r="J303" s="279">
        <f ca="1">IF(J$2&lt;$B302, Параметры!J$31, IF(J$2=$B302, -I301/(J301-I301)*Параметры!J$31, 0))</f>
        <v>0</v>
      </c>
      <c r="K303" s="279">
        <f ca="1">IF(K$2&lt;$B302, Параметры!K$31, IF(K$2=$B302, -J301/(K301-J301)*Параметры!K$31, 0))</f>
        <v>0</v>
      </c>
      <c r="L303" s="279">
        <f ca="1">IF(L$2&lt;$B302, Параметры!L$31, IF(L$2=$B302, -K301/(L301-K301)*Параметры!L$31, 0))</f>
        <v>0</v>
      </c>
      <c r="M303" s="279">
        <f ca="1">IF(M$2&lt;$B302, Параметры!M$31, IF(M$2=$B302, -L301/(M301-L301)*Параметры!M$31, 0))</f>
        <v>0</v>
      </c>
      <c r="N303" s="279">
        <f ca="1">IF(N$2&lt;$B302, Параметры!N$31, IF(N$2=$B302, -M301/(N301-M301)*Параметры!N$31, 0))</f>
        <v>0</v>
      </c>
      <c r="O303" s="279">
        <f ca="1">IF(O$2&lt;$B302, Параметры!O$31, IF(O$2=$B302, -N301/(O301-N301)*Параметры!O$31, 0))</f>
        <v>0</v>
      </c>
      <c r="P303" s="279">
        <f ca="1">IF(P$2&lt;$B302, Параметры!P$31, IF(P$2=$B302, -O301/(P301-O301)*Параметры!P$31, 0))</f>
        <v>0</v>
      </c>
      <c r="Q303" s="279">
        <f ca="1">IF(Q$2&lt;$B302, Параметры!Q$31, IF(Q$2=$B302, -P301/(Q301-P301)*Параметры!Q$31, 0))</f>
        <v>0</v>
      </c>
      <c r="R303" s="279">
        <f ca="1">IF(R$2&lt;$B302, Параметры!R$31, IF(R$2=$B302, -Q301/(R301-Q301)*Параметры!R$31, 0))</f>
        <v>0</v>
      </c>
      <c r="S303" s="279">
        <f ca="1">IF(S$2&lt;$B302, Параметры!S$31, IF(S$2=$B302, -R301/(S301-R301)*Параметры!S$31, 0))</f>
        <v>0</v>
      </c>
      <c r="T303" s="279">
        <f ca="1">IF(T$2&lt;$B302, Параметры!T$31, IF(T$2=$B302, -S301/(T301-S301)*Параметры!T$31, 0))</f>
        <v>0</v>
      </c>
      <c r="U303" s="279">
        <f ca="1">IF(U$2&lt;$B302, Параметры!U$31, IF(U$2=$B302, -T301/(U301-T301)*Параметры!U$31, 0))</f>
        <v>0</v>
      </c>
      <c r="V303" s="279">
        <f ca="1">IF(V$2&lt;$B302, Параметры!V$31, IF(V$2=$B302, -U301/(V301-U301)*Параметры!V$31, 0))</f>
        <v>0</v>
      </c>
      <c r="W303" s="279">
        <f ca="1">IF(W$2&lt;$B302, Параметры!W$31, IF(W$2=$B302, -V301/(W301-V301)*Параметры!W$31, 0))</f>
        <v>0</v>
      </c>
      <c r="X303" s="279">
        <f ca="1">IF(X$2&lt;$B302, Параметры!X$31, IF(X$2=$B302, -W301/(X301-W301)*Параметры!X$31, 0))</f>
        <v>0</v>
      </c>
      <c r="Y303" s="279">
        <f ca="1">IF(Y$2&lt;$B302, Параметры!Y$31, IF(Y$2=$B302, -X301/(Y301-X301)*Параметры!Y$31, 0))</f>
        <v>0</v>
      </c>
      <c r="Z303" s="279">
        <f ca="1">IF(Z$2&lt;$B302, Параметры!Z$31, IF(Z$2=$B302, -Y301/(Z301-Y301)*Параметры!Z$31, 0))</f>
        <v>0</v>
      </c>
      <c r="AA303" s="279">
        <f ca="1">IF(AA$2&lt;$B302, Параметры!AA$31, IF(AA$2=$B302, -Z301/(AA301-Z301)*Параметры!AA$31, 0))</f>
        <v>0</v>
      </c>
      <c r="AB303" s="279">
        <f ca="1">IF(AB$2&lt;$B302, Параметры!AB$31, IF(AB$2=$B302, -AA301/(AB301-AA301)*Параметры!AB$31, 0))</f>
        <v>0</v>
      </c>
      <c r="AC303" s="279">
        <f ca="1">IF(AC$2&lt;$B302, Параметры!AC$31, IF(AC$2=$B302, -AB301/(AC301-AB301)*Параметры!AC$31, 0))</f>
        <v>0</v>
      </c>
      <c r="AD303" s="279">
        <f ca="1">IF(AD$2&lt;$B302, Параметры!AD$31, IF(AD$2=$B302, -AC301/(AD301-AC301)*Параметры!AD$31, 0))</f>
        <v>0</v>
      </c>
      <c r="AE303" s="279">
        <f ca="1">IF(AE$2&lt;$B302, Параметры!AE$31, IF(AE$2=$B302, -AD301/(AE301-AD301)*Параметры!AE$31, 0))</f>
        <v>0</v>
      </c>
      <c r="AF303" s="279">
        <f ca="1">IF(AF$2&lt;$B302, Параметры!AF$31, IF(AF$2=$B302, -AE301/(AF301-AE301)*Параметры!AF$31, 0))</f>
        <v>0</v>
      </c>
      <c r="AG303" s="279">
        <f ca="1">IF(AG$2&lt;$B302, Параметры!AG$31, IF(AG$2=$B302, -AF301/(AG301-AF301)*Параметры!AG$31, 0))</f>
        <v>0</v>
      </c>
      <c r="AH303" s="279">
        <f ca="1">IF(AH$2&lt;$B302, Параметры!AH$31, IF(AH$2=$B302, -AG301/(AH301-AG301)*Параметры!AH$31, 0))</f>
        <v>0</v>
      </c>
      <c r="AI303" s="279">
        <f ca="1">IF(AI$2&lt;$B302, Параметры!AI$31, IF(AI$2=$B302, -AH301/(AI301-AH301)*Параметры!AI$31, 0))</f>
        <v>0</v>
      </c>
      <c r="AJ303" s="279">
        <f ca="1">IF(AJ$2&lt;$B302, Параметры!AJ$31, IF(AJ$2=$B302, -AI301/(AJ301-AI301)*Параметры!AJ$31, 0))</f>
        <v>0</v>
      </c>
      <c r="AK303" s="279">
        <f ca="1">IF(AK$2&lt;$B302, Параметры!AK$31, IF(AK$2=$B302, -AJ301/(AK301-AJ301)*Параметры!AK$31, 0))</f>
        <v>0</v>
      </c>
      <c r="AL303" s="279">
        <f ca="1">IF(AL$2&lt;$B302, Параметры!AL$31, IF(AL$2=$B302, -AK301/(AL301-AK301)*Параметры!AL$31, 0))</f>
        <v>0</v>
      </c>
      <c r="AM303" s="279">
        <f ca="1">IF(AM$2&lt;$B302, Параметры!AM$31, IF(AM$2=$B302, -AL301/(AM301-AL301)*Параметры!AM$31, 0))</f>
        <v>0</v>
      </c>
      <c r="AN303" s="279">
        <f ca="1">IF(AN$2&lt;$B302, Параметры!AN$31, IF(AN$2=$B302, -AM301/(AN301-AM301)*Параметры!AN$31, 0))</f>
        <v>0</v>
      </c>
      <c r="AO303" s="279">
        <f ca="1">IF(AO$2&lt;$B302, Параметры!AO$31, IF(AO$2=$B302, -AN301/(AO301-AN301)*Параметры!AO$31, 0))</f>
        <v>0</v>
      </c>
      <c r="AP303" s="279">
        <f ca="1">IF(AP$2&lt;$B302, Параметры!AP$31, IF(AP$2=$B302, -AO301/(AP301-AO301)*Параметры!AP$31, 0))</f>
        <v>0</v>
      </c>
      <c r="AQ303" s="279">
        <f ca="1">IF(AQ$2&lt;$B302, Параметры!AQ$31, IF(AQ$2=$B302, -AP301/(AQ301-AP301)*Параметры!AQ$31, 0))</f>
        <v>0</v>
      </c>
      <c r="AR303" s="279">
        <f ca="1">IF(AR$2&lt;$B302, Параметры!AR$31, IF(AR$2=$B302, -AQ301/(AR301-AQ301)*Параметры!AR$31, 0))</f>
        <v>0</v>
      </c>
      <c r="AS303" s="279">
        <f ca="1">IF(AS$2&lt;$B302, Параметры!AS$31, IF(AS$2=$B302, -AR301/(AS301-AR301)*Параметры!AS$31, 0))</f>
        <v>0</v>
      </c>
      <c r="AT303" s="279">
        <f ca="1">IF(AT$2&lt;$B302, Параметры!AT$31, IF(AT$2=$B302, -AS301/(AT301-AS301)*Параметры!AT$31, 0))</f>
        <v>0</v>
      </c>
      <c r="AU303" s="279">
        <f ca="1">IF(AU$2&lt;$B302, Параметры!AU$31, IF(AU$2=$B302, -AT301/(AU301-AT301)*Параметры!AU$31, 0))</f>
        <v>0</v>
      </c>
      <c r="AV303" s="279">
        <f ca="1">IF(AV$2&lt;$B302, Параметры!AV$31, IF(AV$2=$B302, -AU301/(AV301-AU301)*Параметры!AV$31, 0))</f>
        <v>0</v>
      </c>
      <c r="AW303" s="279"/>
      <c r="AX303" s="281">
        <f ca="1">SUM(G303:AW303)</f>
        <v>0</v>
      </c>
    </row>
    <row r="304" spans="1:50" x14ac:dyDescent="0.2">
      <c r="A304" s="107"/>
      <c r="B304" s="280"/>
      <c r="D304" s="57"/>
      <c r="E304" s="57"/>
      <c r="F304" s="57"/>
      <c r="G304" s="279"/>
      <c r="H304" s="279"/>
      <c r="I304" s="279"/>
      <c r="J304" s="279"/>
      <c r="K304" s="279"/>
      <c r="L304" s="279"/>
      <c r="M304" s="279"/>
      <c r="N304" s="279"/>
      <c r="O304" s="279"/>
      <c r="P304" s="279"/>
      <c r="Q304" s="279"/>
      <c r="R304" s="279"/>
      <c r="S304" s="279"/>
      <c r="T304" s="279"/>
      <c r="U304" s="279"/>
      <c r="V304" s="279"/>
      <c r="W304" s="279"/>
      <c r="X304" s="279"/>
      <c r="Y304" s="279"/>
      <c r="Z304" s="279"/>
      <c r="AA304" s="279"/>
      <c r="AB304" s="279"/>
      <c r="AC304" s="279"/>
      <c r="AD304" s="279"/>
      <c r="AE304" s="279"/>
      <c r="AF304" s="279"/>
      <c r="AG304" s="279"/>
      <c r="AH304" s="279"/>
      <c r="AI304" s="279"/>
      <c r="AJ304" s="279"/>
      <c r="AK304" s="279"/>
      <c r="AL304" s="279"/>
      <c r="AM304" s="279"/>
      <c r="AN304" s="279"/>
      <c r="AO304" s="279"/>
      <c r="AP304" s="279"/>
      <c r="AQ304" s="279"/>
      <c r="AR304" s="279"/>
      <c r="AS304" s="279"/>
      <c r="AT304" s="279"/>
      <c r="AU304" s="279"/>
      <c r="AV304" s="279"/>
      <c r="AW304" s="279"/>
      <c r="AX304" s="281"/>
    </row>
    <row r="305" spans="1:50" collapsed="1" x14ac:dyDescent="0.2">
      <c r="A305" s="107" t="str">
        <f ca="1">Language!A$1341</f>
        <v>Норма доходности дисконтированных затрат (PI)</v>
      </c>
      <c r="B305" s="280">
        <f ca="1">IF(AX309=0,"-",AX307/-AX309)</f>
        <v>707.55964641073956</v>
      </c>
      <c r="C305" s="130" t="str">
        <f ca="1">Language!$A$1449</f>
        <v>раз</v>
      </c>
      <c r="D305" s="57"/>
      <c r="E305" s="57"/>
      <c r="F305" s="57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279"/>
      <c r="AX305" s="281"/>
    </row>
    <row r="306" spans="1:50" hidden="1" outlineLevel="1" x14ac:dyDescent="0.2">
      <c r="A306" s="99" t="str">
        <f ca="1">Language!A$1342</f>
        <v>притоки</v>
      </c>
      <c r="B306" s="280"/>
      <c r="C306" s="130" t="str">
        <f ca="1">Параметры!$C$64</f>
        <v>тыс. руб.</v>
      </c>
      <c r="D306" s="57"/>
      <c r="E306" s="57"/>
      <c r="F306" s="57" t="s">
        <v>753</v>
      </c>
      <c r="G306" s="138">
        <f ca="1">MAX(0,G276)</f>
        <v>159460.54771811707</v>
      </c>
      <c r="H306" s="138">
        <f t="shared" ref="H306:K306" ca="1" si="1036">MAX(0,H276)</f>
        <v>26333.015221464142</v>
      </c>
      <c r="I306" s="138">
        <f t="shared" ca="1" si="1036"/>
        <v>0</v>
      </c>
      <c r="J306" s="138">
        <f t="shared" ca="1" si="1036"/>
        <v>51966.285322022799</v>
      </c>
      <c r="K306" s="138">
        <f t="shared" ca="1" si="1036"/>
        <v>241398.69262800686</v>
      </c>
      <c r="L306" s="138">
        <f t="shared" ref="L306:M306" ca="1" si="1037">MAX(0,L276)</f>
        <v>218916.073608429</v>
      </c>
      <c r="M306" s="138">
        <f t="shared" ca="1" si="1037"/>
        <v>132986.85524138424</v>
      </c>
      <c r="N306" s="138">
        <f t="shared" ref="N306:O306" ca="1" si="1038">MAX(0,N276)</f>
        <v>175939.09372942464</v>
      </c>
      <c r="O306" s="138">
        <f t="shared" ca="1" si="1038"/>
        <v>295570.17973432835</v>
      </c>
      <c r="P306" s="138">
        <f t="shared" ref="P306:Q306" ca="1" si="1039">MAX(0,P276)</f>
        <v>269147.73803665274</v>
      </c>
      <c r="Q306" s="138">
        <f t="shared" ca="1" si="1039"/>
        <v>179199.78097389673</v>
      </c>
      <c r="R306" s="138">
        <f t="shared" ref="R306:S306" ca="1" si="1040">MAX(0,R276)</f>
        <v>219151.72048817965</v>
      </c>
      <c r="S306" s="138">
        <f t="shared" ca="1" si="1040"/>
        <v>335009.23560752411</v>
      </c>
      <c r="T306" s="138">
        <f t="shared" ref="T306:U306" ca="1" si="1041">MAX(0,T276)</f>
        <v>295720.46050562896</v>
      </c>
      <c r="U306" s="138">
        <f t="shared" ca="1" si="1041"/>
        <v>195733.25577490771</v>
      </c>
      <c r="V306" s="138">
        <f t="shared" ref="V306:W306" ca="1" si="1042">MAX(0,V276)</f>
        <v>235884.78074636351</v>
      </c>
      <c r="W306" s="138">
        <f t="shared" ca="1" si="1042"/>
        <v>352920.46233665285</v>
      </c>
      <c r="X306" s="138">
        <f t="shared" ref="X306:Y306" ca="1" si="1043">MAX(0,X276)</f>
        <v>306477.66567656182</v>
      </c>
      <c r="Y306" s="138">
        <f t="shared" ca="1" si="1043"/>
        <v>191470.91563308594</v>
      </c>
      <c r="Z306" s="138">
        <f t="shared" ref="Z306:AA306" ca="1" si="1044">MAX(0,Z276)</f>
        <v>227336.6080672004</v>
      </c>
      <c r="AA306" s="138">
        <f t="shared" ca="1" si="1044"/>
        <v>351139.88972480758</v>
      </c>
      <c r="AB306" s="138">
        <f t="shared" ref="AB306:AC306" ca="1" si="1045">MAX(0,AB276)</f>
        <v>301653.24395116838</v>
      </c>
      <c r="AC306" s="138">
        <f t="shared" ca="1" si="1045"/>
        <v>184753.15199397964</v>
      </c>
      <c r="AD306" s="138">
        <f t="shared" ref="AD306:AE306" ca="1" si="1046">MAX(0,AD276)</f>
        <v>225137.58726759348</v>
      </c>
      <c r="AE306" s="138">
        <f t="shared" ca="1" si="1046"/>
        <v>356008.2004453736</v>
      </c>
      <c r="AF306" s="138">
        <f t="shared" ref="AF306:AG306" ca="1" si="1047">MAX(0,AF276)</f>
        <v>303184.56940042012</v>
      </c>
      <c r="AG306" s="138">
        <f t="shared" ca="1" si="1047"/>
        <v>176315.76707386202</v>
      </c>
      <c r="AH306" s="138">
        <f t="shared" ref="AH306:AI306" ca="1" si="1048">MAX(0,AH276)</f>
        <v>216311.9206679413</v>
      </c>
      <c r="AI306" s="138">
        <f t="shared" ca="1" si="1048"/>
        <v>354705.37977566081</v>
      </c>
      <c r="AJ306" s="138">
        <f t="shared" ref="AJ306:AK306" ca="1" si="1049">MAX(0,AJ276)</f>
        <v>298378.0854837111</v>
      </c>
      <c r="AK306" s="138">
        <f t="shared" ca="1" si="1049"/>
        <v>161683.46702978329</v>
      </c>
      <c r="AL306" s="138">
        <f t="shared" ref="AL306:AM306" ca="1" si="1050">MAX(0,AL276)</f>
        <v>202591.75949739973</v>
      </c>
      <c r="AM306" s="138">
        <f t="shared" ca="1" si="1050"/>
        <v>356610.09357837564</v>
      </c>
      <c r="AN306" s="138">
        <f t="shared" ref="AN306:AO306" ca="1" si="1051">MAX(0,AN276)</f>
        <v>304389.31270437461</v>
      </c>
      <c r="AO306" s="138">
        <f t="shared" ca="1" si="1051"/>
        <v>163869.81099400215</v>
      </c>
      <c r="AP306" s="138">
        <f t="shared" ref="AP306:AQ306" ca="1" si="1052">MAX(0,AP276)</f>
        <v>212828.56480315898</v>
      </c>
      <c r="AQ306" s="138">
        <f t="shared" ca="1" si="1052"/>
        <v>377540.30579911149</v>
      </c>
      <c r="AR306" s="138">
        <f t="shared" ref="AR306:AS306" ca="1" si="1053">MAX(0,AR276)</f>
        <v>322179.43428775296</v>
      </c>
      <c r="AS306" s="138">
        <f t="shared" ca="1" si="1053"/>
        <v>155243.8034234533</v>
      </c>
      <c r="AT306" s="138">
        <f t="shared" ref="AT306:AU306" ca="1" si="1054">MAX(0,AT276)</f>
        <v>198701.68774011367</v>
      </c>
      <c r="AU306" s="138">
        <f t="shared" ca="1" si="1054"/>
        <v>372901.45675774344</v>
      </c>
      <c r="AV306" s="138">
        <f t="shared" ref="AV306" ca="1" si="1055">MAX(0,AV276)</f>
        <v>313818.46509628498</v>
      </c>
      <c r="AW306" s="279"/>
      <c r="AX306" s="171">
        <f ca="1">SUM(G306:AW306)</f>
        <v>10020569.324545905</v>
      </c>
    </row>
    <row r="307" spans="1:50" hidden="1" outlineLevel="1" x14ac:dyDescent="0.2">
      <c r="A307" s="99" t="str">
        <f ca="1">Language!A$1343</f>
        <v>дисконтированные притоки</v>
      </c>
      <c r="B307" s="280"/>
      <c r="C307" s="130" t="str">
        <f ca="1">Параметры!$C$64</f>
        <v>тыс. руб.</v>
      </c>
      <c r="D307" s="57"/>
      <c r="E307" s="57"/>
      <c r="F307" s="57" t="s">
        <v>753</v>
      </c>
      <c r="G307" s="148">
        <f ca="1">G306/G275</f>
        <v>159460.54771811707</v>
      </c>
      <c r="H307" s="148">
        <f t="shared" ref="H307:K307" ca="1" si="1056">H306/H275</f>
        <v>26267.591075734763</v>
      </c>
      <c r="I307" s="148">
        <f t="shared" ca="1" si="1056"/>
        <v>0</v>
      </c>
      <c r="J307" s="148">
        <f t="shared" ca="1" si="1056"/>
        <v>51579.9174989272</v>
      </c>
      <c r="K307" s="148">
        <f t="shared" ca="1" si="1056"/>
        <v>239008.60656238304</v>
      </c>
      <c r="L307" s="148">
        <f t="shared" ref="L307:M307" ca="1" si="1057">L306/L275</f>
        <v>216210.07776288604</v>
      </c>
      <c r="M307" s="148">
        <f t="shared" ca="1" si="1057"/>
        <v>131016.69977648467</v>
      </c>
      <c r="N307" s="148">
        <f t="shared" ref="N307:O307" ca="1" si="1058">N306/N275</f>
        <v>172901.97195447201</v>
      </c>
      <c r="O307" s="148">
        <f t="shared" ca="1" si="1058"/>
        <v>289746.27951605566</v>
      </c>
      <c r="P307" s="148">
        <f t="shared" ref="P307:Q307" ca="1" si="1059">P306/P275</f>
        <v>263188.94504296302</v>
      </c>
      <c r="Q307" s="148">
        <f t="shared" ca="1" si="1059"/>
        <v>174797.02631752935</v>
      </c>
      <c r="R307" s="148">
        <f t="shared" ref="R307:S307" ca="1" si="1060">R306/R275</f>
        <v>213236.28448880225</v>
      </c>
      <c r="S307" s="148">
        <f t="shared" ca="1" si="1060"/>
        <v>325156.66354543396</v>
      </c>
      <c r="T307" s="148">
        <f t="shared" ref="T307:U307" ca="1" si="1061">T306/T275</f>
        <v>286310.25846914254</v>
      </c>
      <c r="U307" s="148">
        <f t="shared" ca="1" si="1061"/>
        <v>189033.95110449987</v>
      </c>
      <c r="V307" s="148">
        <f t="shared" ref="V307:W307" ca="1" si="1062">V306/V275</f>
        <v>227245.22663556878</v>
      </c>
      <c r="W307" s="148">
        <f t="shared" ca="1" si="1062"/>
        <v>339149.62747131143</v>
      </c>
      <c r="X307" s="148">
        <f t="shared" ref="X307:Y307" ca="1" si="1063">X306/X275</f>
        <v>293787.28282999649</v>
      </c>
      <c r="Y307" s="148">
        <f t="shared" ca="1" si="1063"/>
        <v>183086.63052190209</v>
      </c>
      <c r="Z307" s="148">
        <f t="shared" ref="Z307:AA307" ca="1" si="1064">Z306/Z275</f>
        <v>216841.72347601922</v>
      </c>
      <c r="AA307" s="148">
        <f t="shared" ca="1" si="1064"/>
        <v>334097.55662317201</v>
      </c>
      <c r="AB307" s="148">
        <f t="shared" ref="AB307:AC307" ca="1" si="1065">AB306/AB275</f>
        <v>286299.63060715375</v>
      </c>
      <c r="AC307" s="148">
        <f t="shared" ca="1" si="1065"/>
        <v>174913.89090431356</v>
      </c>
      <c r="AD307" s="148">
        <f t="shared" ref="AD307:AE307" ca="1" si="1066">AD306/AD275</f>
        <v>212618.03901818878</v>
      </c>
      <c r="AE307" s="148">
        <f t="shared" ca="1" si="1066"/>
        <v>335375.82894098869</v>
      </c>
      <c r="AF307" s="148">
        <f t="shared" ref="AF307:AG307" ca="1" si="1067">AF306/AF275</f>
        <v>284903.97457023413</v>
      </c>
      <c r="AG307" s="148">
        <f t="shared" ca="1" si="1067"/>
        <v>165273.11832899772</v>
      </c>
      <c r="AH307" s="148">
        <f t="shared" ref="AH307:AI307" ca="1" si="1068">AH306/AH275</f>
        <v>202260.54841678799</v>
      </c>
      <c r="AI307" s="148">
        <f t="shared" ca="1" si="1068"/>
        <v>330840.11181850993</v>
      </c>
      <c r="AJ307" s="148">
        <f t="shared" ref="AJ307:AK307" ca="1" si="1069">AJ306/AJ275</f>
        <v>277611.18701867474</v>
      </c>
      <c r="AK307" s="148">
        <f t="shared" ca="1" si="1069"/>
        <v>150056.6718750147</v>
      </c>
      <c r="AL307" s="148">
        <f t="shared" ref="AL307:AM307" ca="1" si="1070">AL306/AL275</f>
        <v>187556.0723283618</v>
      </c>
      <c r="AM307" s="148">
        <f t="shared" ca="1" si="1070"/>
        <v>329323.43838747713</v>
      </c>
      <c r="AN307" s="148">
        <f t="shared" ref="AN307:AO307" ca="1" si="1071">AN306/AN275</f>
        <v>280400.03681398451</v>
      </c>
      <c r="AO307" s="148">
        <f t="shared" ca="1" si="1071"/>
        <v>150579.99405114044</v>
      </c>
      <c r="AP307" s="148">
        <f t="shared" ref="AP307:AQ307" ca="1" si="1072">AP306/AP275</f>
        <v>195082.31283332492</v>
      </c>
      <c r="AQ307" s="148">
        <f t="shared" ca="1" si="1072"/>
        <v>345200.13684784254</v>
      </c>
      <c r="AR307" s="148">
        <f t="shared" ref="AR307:AS307" ca="1" si="1073">AR306/AR275</f>
        <v>293849.60219467082</v>
      </c>
      <c r="AS307" s="148">
        <f t="shared" ca="1" si="1073"/>
        <v>141241.14296322432</v>
      </c>
      <c r="AT307" s="148">
        <f t="shared" ref="AT307:AU307" ca="1" si="1074">AT306/AT275</f>
        <v>180330.074277062</v>
      </c>
      <c r="AU307" s="148">
        <f t="shared" ca="1" si="1074"/>
        <v>337582.82418879459</v>
      </c>
      <c r="AV307" s="148">
        <f t="shared" ref="AV307" ca="1" si="1075">AV306/AV275</f>
        <v>283389.92915899871</v>
      </c>
      <c r="AW307" s="279"/>
      <c r="AX307" s="171">
        <f ca="1">SUM(G307:AW307)</f>
        <v>9476811.4339351505</v>
      </c>
    </row>
    <row r="308" spans="1:50" hidden="1" outlineLevel="1" x14ac:dyDescent="0.2">
      <c r="A308" s="99" t="str">
        <f ca="1">Language!A$1344</f>
        <v>оттоки</v>
      </c>
      <c r="B308" s="280"/>
      <c r="C308" s="130" t="str">
        <f ca="1">Параметры!$C$64</f>
        <v>тыс. руб.</v>
      </c>
      <c r="D308" s="57"/>
      <c r="E308" s="57"/>
      <c r="F308" s="57" t="s">
        <v>753</v>
      </c>
      <c r="G308" s="138">
        <f ca="1">MIN(0,G276)</f>
        <v>0</v>
      </c>
      <c r="H308" s="138">
        <f t="shared" ref="H308:K308" ca="1" si="1076">MIN(0,H276)</f>
        <v>0</v>
      </c>
      <c r="I308" s="138">
        <f t="shared" ca="1" si="1076"/>
        <v>-13460.459012748324</v>
      </c>
      <c r="J308" s="138">
        <f t="shared" ca="1" si="1076"/>
        <v>0</v>
      </c>
      <c r="K308" s="138">
        <f t="shared" ca="1" si="1076"/>
        <v>0</v>
      </c>
      <c r="L308" s="138">
        <f t="shared" ref="L308:M308" ca="1" si="1077">MIN(0,L276)</f>
        <v>0</v>
      </c>
      <c r="M308" s="138">
        <f t="shared" ca="1" si="1077"/>
        <v>0</v>
      </c>
      <c r="N308" s="138">
        <f t="shared" ref="N308:O308" ca="1" si="1078">MIN(0,N276)</f>
        <v>0</v>
      </c>
      <c r="O308" s="138">
        <f t="shared" ca="1" si="1078"/>
        <v>0</v>
      </c>
      <c r="P308" s="138">
        <f t="shared" ref="P308:Q308" ca="1" si="1079">MIN(0,P276)</f>
        <v>0</v>
      </c>
      <c r="Q308" s="138">
        <f t="shared" ca="1" si="1079"/>
        <v>0</v>
      </c>
      <c r="R308" s="138">
        <f t="shared" ref="R308:S308" ca="1" si="1080">MIN(0,R276)</f>
        <v>0</v>
      </c>
      <c r="S308" s="138">
        <f t="shared" ca="1" si="1080"/>
        <v>0</v>
      </c>
      <c r="T308" s="138">
        <f t="shared" ref="T308:U308" ca="1" si="1081">MIN(0,T276)</f>
        <v>0</v>
      </c>
      <c r="U308" s="138">
        <f t="shared" ca="1" si="1081"/>
        <v>0</v>
      </c>
      <c r="V308" s="138">
        <f t="shared" ref="V308:W308" ca="1" si="1082">MIN(0,V276)</f>
        <v>0</v>
      </c>
      <c r="W308" s="138">
        <f t="shared" ca="1" si="1082"/>
        <v>0</v>
      </c>
      <c r="X308" s="138">
        <f t="shared" ref="X308:Y308" ca="1" si="1083">MIN(0,X276)</f>
        <v>0</v>
      </c>
      <c r="Y308" s="138">
        <f t="shared" ca="1" si="1083"/>
        <v>0</v>
      </c>
      <c r="Z308" s="138">
        <f t="shared" ref="Z308:AA308" ca="1" si="1084">MIN(0,Z276)</f>
        <v>0</v>
      </c>
      <c r="AA308" s="138">
        <f t="shared" ca="1" si="1084"/>
        <v>0</v>
      </c>
      <c r="AB308" s="138">
        <f t="shared" ref="AB308:AC308" ca="1" si="1085">MIN(0,AB276)</f>
        <v>0</v>
      </c>
      <c r="AC308" s="138">
        <f t="shared" ca="1" si="1085"/>
        <v>0</v>
      </c>
      <c r="AD308" s="138">
        <f t="shared" ref="AD308:AE308" ca="1" si="1086">MIN(0,AD276)</f>
        <v>0</v>
      </c>
      <c r="AE308" s="138">
        <f t="shared" ca="1" si="1086"/>
        <v>0</v>
      </c>
      <c r="AF308" s="138">
        <f t="shared" ref="AF308:AG308" ca="1" si="1087">MIN(0,AF276)</f>
        <v>0</v>
      </c>
      <c r="AG308" s="138">
        <f t="shared" ca="1" si="1087"/>
        <v>0</v>
      </c>
      <c r="AH308" s="138">
        <f t="shared" ref="AH308:AI308" ca="1" si="1088">MIN(0,AH276)</f>
        <v>0</v>
      </c>
      <c r="AI308" s="138">
        <f t="shared" ca="1" si="1088"/>
        <v>0</v>
      </c>
      <c r="AJ308" s="138">
        <f t="shared" ref="AJ308:AK308" ca="1" si="1089">MIN(0,AJ276)</f>
        <v>0</v>
      </c>
      <c r="AK308" s="138">
        <f t="shared" ca="1" si="1089"/>
        <v>0</v>
      </c>
      <c r="AL308" s="138">
        <f t="shared" ref="AL308:AM308" ca="1" si="1090">MIN(0,AL276)</f>
        <v>0</v>
      </c>
      <c r="AM308" s="138">
        <f t="shared" ca="1" si="1090"/>
        <v>0</v>
      </c>
      <c r="AN308" s="138">
        <f t="shared" ref="AN308:AO308" ca="1" si="1091">MIN(0,AN276)</f>
        <v>0</v>
      </c>
      <c r="AO308" s="138">
        <f t="shared" ca="1" si="1091"/>
        <v>0</v>
      </c>
      <c r="AP308" s="138">
        <f t="shared" ref="AP308:AQ308" ca="1" si="1092">MIN(0,AP276)</f>
        <v>0</v>
      </c>
      <c r="AQ308" s="138">
        <f t="shared" ca="1" si="1092"/>
        <v>0</v>
      </c>
      <c r="AR308" s="138">
        <f t="shared" ref="AR308:AS308" ca="1" si="1093">MIN(0,AR276)</f>
        <v>0</v>
      </c>
      <c r="AS308" s="138">
        <f t="shared" ca="1" si="1093"/>
        <v>0</v>
      </c>
      <c r="AT308" s="138">
        <f t="shared" ref="AT308:AU308" ca="1" si="1094">MIN(0,AT276)</f>
        <v>0</v>
      </c>
      <c r="AU308" s="138">
        <f t="shared" ca="1" si="1094"/>
        <v>0</v>
      </c>
      <c r="AV308" s="138">
        <f t="shared" ref="AV308" ca="1" si="1095">MIN(0,AV276)</f>
        <v>0</v>
      </c>
      <c r="AW308" s="279"/>
      <c r="AX308" s="171">
        <f ca="1">SUM(G308:AW308)</f>
        <v>-13460.459012748324</v>
      </c>
    </row>
    <row r="309" spans="1:50" hidden="1" outlineLevel="1" x14ac:dyDescent="0.2">
      <c r="A309" s="99" t="str">
        <f ca="1">Language!A$1345</f>
        <v>дисконтированные оттоки</v>
      </c>
      <c r="B309" s="280"/>
      <c r="C309" s="130" t="str">
        <f ca="1">Параметры!$C$64</f>
        <v>тыс. руб.</v>
      </c>
      <c r="D309" s="57"/>
      <c r="E309" s="57"/>
      <c r="F309" s="57" t="s">
        <v>753</v>
      </c>
      <c r="G309" s="148">
        <f ca="1">G308/G275</f>
        <v>0</v>
      </c>
      <c r="H309" s="148">
        <f t="shared" ref="H309:K309" ca="1" si="1096">H308/H275</f>
        <v>0</v>
      </c>
      <c r="I309" s="148">
        <f t="shared" ca="1" si="1096"/>
        <v>-13393.657314981818</v>
      </c>
      <c r="J309" s="148">
        <f t="shared" ca="1" si="1096"/>
        <v>0</v>
      </c>
      <c r="K309" s="148">
        <f t="shared" ca="1" si="1096"/>
        <v>0</v>
      </c>
      <c r="L309" s="148">
        <f t="shared" ref="L309:M309" ca="1" si="1097">L308/L275</f>
        <v>0</v>
      </c>
      <c r="M309" s="148">
        <f t="shared" ca="1" si="1097"/>
        <v>0</v>
      </c>
      <c r="N309" s="148">
        <f t="shared" ref="N309:O309" ca="1" si="1098">N308/N275</f>
        <v>0</v>
      </c>
      <c r="O309" s="148">
        <f t="shared" ca="1" si="1098"/>
        <v>0</v>
      </c>
      <c r="P309" s="148">
        <f t="shared" ref="P309:Q309" ca="1" si="1099">P308/P275</f>
        <v>0</v>
      </c>
      <c r="Q309" s="148">
        <f t="shared" ca="1" si="1099"/>
        <v>0</v>
      </c>
      <c r="R309" s="148">
        <f t="shared" ref="R309:S309" ca="1" si="1100">R308/R275</f>
        <v>0</v>
      </c>
      <c r="S309" s="148">
        <f t="shared" ca="1" si="1100"/>
        <v>0</v>
      </c>
      <c r="T309" s="148">
        <f t="shared" ref="T309:U309" ca="1" si="1101">T308/T275</f>
        <v>0</v>
      </c>
      <c r="U309" s="148">
        <f t="shared" ca="1" si="1101"/>
        <v>0</v>
      </c>
      <c r="V309" s="148">
        <f t="shared" ref="V309:W309" ca="1" si="1102">V308/V275</f>
        <v>0</v>
      </c>
      <c r="W309" s="148">
        <f t="shared" ca="1" si="1102"/>
        <v>0</v>
      </c>
      <c r="X309" s="148">
        <f t="shared" ref="X309:Y309" ca="1" si="1103">X308/X275</f>
        <v>0</v>
      </c>
      <c r="Y309" s="148">
        <f t="shared" ca="1" si="1103"/>
        <v>0</v>
      </c>
      <c r="Z309" s="148">
        <f t="shared" ref="Z309:AA309" ca="1" si="1104">Z308/Z275</f>
        <v>0</v>
      </c>
      <c r="AA309" s="148">
        <f t="shared" ca="1" si="1104"/>
        <v>0</v>
      </c>
      <c r="AB309" s="148">
        <f t="shared" ref="AB309:AC309" ca="1" si="1105">AB308/AB275</f>
        <v>0</v>
      </c>
      <c r="AC309" s="148">
        <f t="shared" ca="1" si="1105"/>
        <v>0</v>
      </c>
      <c r="AD309" s="148">
        <f t="shared" ref="AD309:AE309" ca="1" si="1106">AD308/AD275</f>
        <v>0</v>
      </c>
      <c r="AE309" s="148">
        <f t="shared" ca="1" si="1106"/>
        <v>0</v>
      </c>
      <c r="AF309" s="148">
        <f t="shared" ref="AF309:AG309" ca="1" si="1107">AF308/AF275</f>
        <v>0</v>
      </c>
      <c r="AG309" s="148">
        <f t="shared" ca="1" si="1107"/>
        <v>0</v>
      </c>
      <c r="AH309" s="148">
        <f t="shared" ref="AH309:AI309" ca="1" si="1108">AH308/AH275</f>
        <v>0</v>
      </c>
      <c r="AI309" s="148">
        <f t="shared" ca="1" si="1108"/>
        <v>0</v>
      </c>
      <c r="AJ309" s="148">
        <f t="shared" ref="AJ309:AK309" ca="1" si="1109">AJ308/AJ275</f>
        <v>0</v>
      </c>
      <c r="AK309" s="148">
        <f t="shared" ca="1" si="1109"/>
        <v>0</v>
      </c>
      <c r="AL309" s="148">
        <f t="shared" ref="AL309:AM309" ca="1" si="1110">AL308/AL275</f>
        <v>0</v>
      </c>
      <c r="AM309" s="148">
        <f t="shared" ca="1" si="1110"/>
        <v>0</v>
      </c>
      <c r="AN309" s="148">
        <f t="shared" ref="AN309:AO309" ca="1" si="1111">AN308/AN275</f>
        <v>0</v>
      </c>
      <c r="AO309" s="148">
        <f t="shared" ca="1" si="1111"/>
        <v>0</v>
      </c>
      <c r="AP309" s="148">
        <f t="shared" ref="AP309:AQ309" ca="1" si="1112">AP308/AP275</f>
        <v>0</v>
      </c>
      <c r="AQ309" s="148">
        <f t="shared" ca="1" si="1112"/>
        <v>0</v>
      </c>
      <c r="AR309" s="148">
        <f t="shared" ref="AR309:AS309" ca="1" si="1113">AR308/AR275</f>
        <v>0</v>
      </c>
      <c r="AS309" s="148">
        <f t="shared" ca="1" si="1113"/>
        <v>0</v>
      </c>
      <c r="AT309" s="148">
        <f t="shared" ref="AT309:AU309" ca="1" si="1114">AT308/AT275</f>
        <v>0</v>
      </c>
      <c r="AU309" s="148">
        <f t="shared" ca="1" si="1114"/>
        <v>0</v>
      </c>
      <c r="AV309" s="148">
        <f t="shared" ref="AV309" ca="1" si="1115">AV308/AV275</f>
        <v>0</v>
      </c>
      <c r="AW309" s="279"/>
      <c r="AX309" s="171">
        <f ca="1">SUM(G309:AW309)</f>
        <v>-13393.657314981818</v>
      </c>
    </row>
    <row r="310" spans="1:50" x14ac:dyDescent="0.2">
      <c r="A310" s="67"/>
      <c r="B310" s="248"/>
      <c r="C310" s="133"/>
      <c r="D310" s="68"/>
      <c r="E310" s="68" t="s">
        <v>750</v>
      </c>
      <c r="F310" s="68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</row>
    <row r="311" spans="1:50" x14ac:dyDescent="0.2">
      <c r="D311" s="57"/>
      <c r="E311" s="57"/>
      <c r="F311" s="57"/>
    </row>
    <row r="312" spans="1:50" x14ac:dyDescent="0.2">
      <c r="D312" s="57"/>
      <c r="E312" s="57"/>
      <c r="F312" s="57"/>
    </row>
    <row r="313" spans="1:50" s="64" customFormat="1" ht="25.5" customHeight="1" thickBot="1" x14ac:dyDescent="0.25">
      <c r="A313" s="118" t="str">
        <f ca="1">Language!A1385</f>
        <v>БЮДЖЕТНАЯ ЭФФЕКТИВНОСТЬ</v>
      </c>
      <c r="B313" s="241"/>
      <c r="C313" s="242"/>
      <c r="D313" s="121"/>
      <c r="E313" s="121" t="s">
        <v>906</v>
      </c>
      <c r="F313" s="121"/>
      <c r="G313" s="69" t="str">
        <f ca="1">Параметры!G$34</f>
        <v>4 кв. 2022</v>
      </c>
      <c r="H313" s="140" t="str">
        <f ca="1">Параметры!H$34</f>
        <v>1 кв. 2023</v>
      </c>
      <c r="I313" s="140" t="str">
        <f ca="1">Параметры!I$34</f>
        <v>2 кв. 2023</v>
      </c>
      <c r="J313" s="140" t="str">
        <f ca="1">Параметры!J$34</f>
        <v>3 кв. 2023</v>
      </c>
      <c r="K313" s="140" t="str">
        <f ca="1">Параметры!K$34</f>
        <v>4 кв. 2023</v>
      </c>
      <c r="L313" s="140" t="str">
        <f ca="1">Параметры!L$34</f>
        <v>1 кв. 2024</v>
      </c>
      <c r="M313" s="140" t="str">
        <f ca="1">Параметры!M$34</f>
        <v>2 кв. 2024</v>
      </c>
      <c r="N313" s="140" t="str">
        <f ca="1">Параметры!N$34</f>
        <v>3 кв. 2024</v>
      </c>
      <c r="O313" s="140" t="str">
        <f ca="1">Параметры!O$34</f>
        <v>4 кв. 2024</v>
      </c>
      <c r="P313" s="140" t="str">
        <f ca="1">Параметры!P$34</f>
        <v>1 кв. 2025</v>
      </c>
      <c r="Q313" s="140" t="str">
        <f ca="1">Параметры!Q$34</f>
        <v>2 кв. 2025</v>
      </c>
      <c r="R313" s="140" t="str">
        <f ca="1">Параметры!R$34</f>
        <v>3 кв. 2025</v>
      </c>
      <c r="S313" s="140" t="str">
        <f ca="1">Параметры!S$34</f>
        <v>4 кв. 2025</v>
      </c>
      <c r="T313" s="140" t="str">
        <f ca="1">Параметры!T$34</f>
        <v>1 кв. 2026</v>
      </c>
      <c r="U313" s="140" t="str">
        <f ca="1">Параметры!U$34</f>
        <v>2 кв. 2026</v>
      </c>
      <c r="V313" s="140" t="str">
        <f ca="1">Параметры!V$34</f>
        <v>3 кв. 2026</v>
      </c>
      <c r="W313" s="140" t="str">
        <f ca="1">Параметры!W$34</f>
        <v>4 кв. 2026</v>
      </c>
      <c r="X313" s="140" t="str">
        <f ca="1">Параметры!X$34</f>
        <v>1 кв. 2027</v>
      </c>
      <c r="Y313" s="140" t="str">
        <f ca="1">Параметры!Y$34</f>
        <v>2 кв. 2027</v>
      </c>
      <c r="Z313" s="140" t="str">
        <f ca="1">Параметры!Z$34</f>
        <v>3 кв. 2027</v>
      </c>
      <c r="AA313" s="140" t="str">
        <f ca="1">Параметры!AA$34</f>
        <v>4 кв. 2027</v>
      </c>
      <c r="AB313" s="140" t="str">
        <f ca="1">Параметры!AB$34</f>
        <v>1 кв. 2028</v>
      </c>
      <c r="AC313" s="140" t="str">
        <f ca="1">Параметры!AC$34</f>
        <v>2 кв. 2028</v>
      </c>
      <c r="AD313" s="140" t="str">
        <f ca="1">Параметры!AD$34</f>
        <v>3 кв. 2028</v>
      </c>
      <c r="AE313" s="140" t="str">
        <f ca="1">Параметры!AE$34</f>
        <v>4 кв. 2028</v>
      </c>
      <c r="AF313" s="140" t="str">
        <f ca="1">Параметры!AF$34</f>
        <v>1 кв. 2029</v>
      </c>
      <c r="AG313" s="140" t="str">
        <f ca="1">Параметры!AG$34</f>
        <v>2 кв. 2029</v>
      </c>
      <c r="AH313" s="140" t="str">
        <f ca="1">Параметры!AH$34</f>
        <v>3 кв. 2029</v>
      </c>
      <c r="AI313" s="140" t="str">
        <f ca="1">Параметры!AI$34</f>
        <v>4 кв. 2029</v>
      </c>
      <c r="AJ313" s="140" t="str">
        <f ca="1">Параметры!AJ$34</f>
        <v>1 кв. 2030</v>
      </c>
      <c r="AK313" s="140" t="str">
        <f ca="1">Параметры!AK$34</f>
        <v>2 кв. 2030</v>
      </c>
      <c r="AL313" s="140" t="str">
        <f ca="1">Параметры!AL$34</f>
        <v>3 кв. 2030</v>
      </c>
      <c r="AM313" s="140" t="str">
        <f ca="1">Параметры!AM$34</f>
        <v>4 кв. 2030</v>
      </c>
      <c r="AN313" s="140" t="str">
        <f ca="1">Параметры!AN$34</f>
        <v>1 кв. 2031</v>
      </c>
      <c r="AO313" s="140" t="str">
        <f ca="1">Параметры!AO$34</f>
        <v>2 кв. 2031</v>
      </c>
      <c r="AP313" s="140" t="str">
        <f ca="1">Параметры!AP$34</f>
        <v>3 кв. 2031</v>
      </c>
      <c r="AQ313" s="140" t="str">
        <f ca="1">Параметры!AQ$34</f>
        <v>4 кв. 2031</v>
      </c>
      <c r="AR313" s="140" t="str">
        <f ca="1">Параметры!AR$34</f>
        <v>1 кв. 2032</v>
      </c>
      <c r="AS313" s="140" t="str">
        <f ca="1">Параметры!AS$34</f>
        <v>2 кв. 2032</v>
      </c>
      <c r="AT313" s="140" t="str">
        <f ca="1">Параметры!AT$34</f>
        <v>3 кв. 2032</v>
      </c>
      <c r="AU313" s="140" t="str">
        <f ca="1">Параметры!AU$34</f>
        <v>4 кв. 2032</v>
      </c>
      <c r="AV313" s="140" t="str">
        <f ca="1">Параметры!AV$34</f>
        <v>1 кв. 2033</v>
      </c>
      <c r="AW313" s="140"/>
      <c r="AX313" s="141" t="str">
        <f ca="1">Language!$A$1445</f>
        <v>ИТОГО</v>
      </c>
    </row>
    <row r="314" spans="1:50" ht="13.5" thickTop="1" x14ac:dyDescent="0.2">
      <c r="A314" s="65"/>
      <c r="D314" s="57"/>
      <c r="E314" s="57"/>
      <c r="F314" s="57"/>
    </row>
    <row r="315" spans="1:50" collapsed="1" x14ac:dyDescent="0.2">
      <c r="A315" s="65" t="str">
        <f ca="1">Language!A1369</f>
        <v>Ставка дисконтирования</v>
      </c>
      <c r="B315" s="269">
        <f>Параметры!B144</f>
        <v>0.1</v>
      </c>
      <c r="C315" s="130" t="s">
        <v>1</v>
      </c>
      <c r="D315" s="57"/>
      <c r="E315" s="57"/>
      <c r="F315" s="57"/>
    </row>
    <row r="316" spans="1:50" hidden="1" outlineLevel="1" x14ac:dyDescent="0.2">
      <c r="A316" s="99" t="str">
        <f ca="1">Language!A1370</f>
        <v>ставка на расчетный период</v>
      </c>
      <c r="C316" s="130" t="s">
        <v>1</v>
      </c>
      <c r="D316" s="57"/>
      <c r="E316" s="57"/>
      <c r="F316" s="57" t="s">
        <v>756</v>
      </c>
      <c r="G316" s="270">
        <f>Параметры!G145</f>
        <v>2.4113689084445111E-2</v>
      </c>
      <c r="H316" s="270">
        <f>Параметры!H145</f>
        <v>2.4113689084445111E-2</v>
      </c>
      <c r="I316" s="270">
        <f>Параметры!I145</f>
        <v>2.4113689084445111E-2</v>
      </c>
      <c r="J316" s="270">
        <f>Параметры!J145</f>
        <v>2.4113689084445111E-2</v>
      </c>
      <c r="K316" s="270">
        <f>Параметры!K145</f>
        <v>2.4113689084445111E-2</v>
      </c>
      <c r="L316" s="270">
        <f>Параметры!L145</f>
        <v>2.4113689084445111E-2</v>
      </c>
      <c r="M316" s="270">
        <f>Параметры!M145</f>
        <v>2.4113689084445111E-2</v>
      </c>
      <c r="N316" s="270">
        <f>Параметры!N145</f>
        <v>2.4113689084445111E-2</v>
      </c>
      <c r="O316" s="270">
        <f>Параметры!O145</f>
        <v>2.4113689084445111E-2</v>
      </c>
      <c r="P316" s="270">
        <f>Параметры!P145</f>
        <v>2.4113689084445111E-2</v>
      </c>
      <c r="Q316" s="270">
        <f>Параметры!Q145</f>
        <v>2.4113689084445111E-2</v>
      </c>
      <c r="R316" s="270">
        <f>Параметры!R145</f>
        <v>2.4113689084445111E-2</v>
      </c>
      <c r="S316" s="270">
        <f>Параметры!S145</f>
        <v>2.4113689084445111E-2</v>
      </c>
      <c r="T316" s="270">
        <f>Параметры!T145</f>
        <v>2.4113689084445111E-2</v>
      </c>
      <c r="U316" s="270">
        <f>Параметры!U145</f>
        <v>2.4113689084445111E-2</v>
      </c>
      <c r="V316" s="270">
        <f>Параметры!V145</f>
        <v>2.4113689084445111E-2</v>
      </c>
      <c r="W316" s="270">
        <f>Параметры!W145</f>
        <v>2.4113689084445111E-2</v>
      </c>
      <c r="X316" s="270">
        <f>Параметры!X145</f>
        <v>2.4113689084445111E-2</v>
      </c>
      <c r="Y316" s="270">
        <f>Параметры!Y145</f>
        <v>2.4113689084445111E-2</v>
      </c>
      <c r="Z316" s="270">
        <f>Параметры!Z145</f>
        <v>2.4113689084445111E-2</v>
      </c>
      <c r="AA316" s="270">
        <f>Параметры!AA145</f>
        <v>2.4113689084445111E-2</v>
      </c>
      <c r="AB316" s="270">
        <f>Параметры!AB145</f>
        <v>2.4113689084445111E-2</v>
      </c>
      <c r="AC316" s="270">
        <f>Параметры!AC145</f>
        <v>2.4113689084445111E-2</v>
      </c>
      <c r="AD316" s="270">
        <f>Параметры!AD145</f>
        <v>2.4113689084445111E-2</v>
      </c>
      <c r="AE316" s="270">
        <f>Параметры!AE145</f>
        <v>2.4113689084445111E-2</v>
      </c>
      <c r="AF316" s="270">
        <f>Параметры!AF145</f>
        <v>2.4113689084445111E-2</v>
      </c>
      <c r="AG316" s="270">
        <f>Параметры!AG145</f>
        <v>2.4113689084445111E-2</v>
      </c>
      <c r="AH316" s="270">
        <f>Параметры!AH145</f>
        <v>2.4113689084445111E-2</v>
      </c>
      <c r="AI316" s="270">
        <f>Параметры!AI145</f>
        <v>2.4113689084445111E-2</v>
      </c>
      <c r="AJ316" s="270">
        <f>Параметры!AJ145</f>
        <v>2.4113689084445111E-2</v>
      </c>
      <c r="AK316" s="270">
        <f>Параметры!AK145</f>
        <v>2.4113689084445111E-2</v>
      </c>
      <c r="AL316" s="270">
        <f>Параметры!AL145</f>
        <v>2.4113689084445111E-2</v>
      </c>
      <c r="AM316" s="270">
        <f>Параметры!AM145</f>
        <v>2.4113689084445111E-2</v>
      </c>
      <c r="AN316" s="270">
        <f>Параметры!AN145</f>
        <v>2.4113689084445111E-2</v>
      </c>
      <c r="AO316" s="270">
        <f>Параметры!AO145</f>
        <v>2.4113689084445111E-2</v>
      </c>
      <c r="AP316" s="270">
        <f>Параметры!AP145</f>
        <v>2.4113689084445111E-2</v>
      </c>
      <c r="AQ316" s="270">
        <f>Параметры!AQ145</f>
        <v>2.4113689084445111E-2</v>
      </c>
      <c r="AR316" s="270">
        <f>Параметры!AR145</f>
        <v>2.4113689084445111E-2</v>
      </c>
      <c r="AS316" s="270">
        <f>Параметры!AS145</f>
        <v>2.4113689084445111E-2</v>
      </c>
      <c r="AT316" s="270">
        <f>Параметры!AT145</f>
        <v>2.4113689084445111E-2</v>
      </c>
      <c r="AU316" s="270">
        <f>Параметры!AU145</f>
        <v>2.4113689084445111E-2</v>
      </c>
      <c r="AV316" s="270">
        <f>Параметры!AV145</f>
        <v>2.4113689084445111E-2</v>
      </c>
    </row>
    <row r="317" spans="1:50" hidden="1" outlineLevel="1" x14ac:dyDescent="0.2">
      <c r="A317" s="99" t="str">
        <f ca="1">Language!A1371</f>
        <v>коэффициент дисконта на начало периода</v>
      </c>
      <c r="C317" s="130" t="str">
        <f ca="1">Language!$A$1449</f>
        <v>раз</v>
      </c>
      <c r="D317" s="57"/>
      <c r="E317" s="57"/>
      <c r="F317" s="57" t="s">
        <v>756</v>
      </c>
      <c r="G317" s="91">
        <f>Параметры!G146</f>
        <v>1</v>
      </c>
      <c r="H317" s="91">
        <f>Параметры!H146</f>
        <v>1.0241136890844451</v>
      </c>
      <c r="I317" s="91">
        <f>Параметры!I146</f>
        <v>1.0488088481701514</v>
      </c>
      <c r="J317" s="91">
        <f>Параметры!J146</f>
        <v>1.0740994986439414</v>
      </c>
      <c r="K317" s="91">
        <f>Параметры!K146</f>
        <v>1.0999999999999999</v>
      </c>
      <c r="L317" s="91">
        <f>Параметры!L146</f>
        <v>1.1265250579928894</v>
      </c>
      <c r="M317" s="91">
        <f>Параметры!M146</f>
        <v>1.1536897329871665</v>
      </c>
      <c r="N317" s="91">
        <f>Параметры!N146</f>
        <v>1.1815094485083355</v>
      </c>
      <c r="O317" s="91">
        <f>Параметры!O146</f>
        <v>1.2099999999999997</v>
      </c>
      <c r="P317" s="91">
        <f>Параметры!P146</f>
        <v>1.2391775637921782</v>
      </c>
      <c r="Q317" s="91">
        <f>Параметры!Q146</f>
        <v>1.2690587062858829</v>
      </c>
      <c r="R317" s="91">
        <f>Параметры!R146</f>
        <v>1.2996603933591688</v>
      </c>
      <c r="S317" s="91">
        <f>Параметры!S146</f>
        <v>1.3309999999999995</v>
      </c>
      <c r="T317" s="91">
        <f>Параметры!T146</f>
        <v>1.363095320171396</v>
      </c>
      <c r="U317" s="91">
        <f>Параметры!U146</f>
        <v>1.3959645769144713</v>
      </c>
      <c r="V317" s="91">
        <f>Параметры!V146</f>
        <v>1.4296264326950858</v>
      </c>
      <c r="W317" s="91">
        <f>Параметры!W146</f>
        <v>1.4640999999999995</v>
      </c>
      <c r="X317" s="91">
        <f>Параметры!X146</f>
        <v>1.4994048521885357</v>
      </c>
      <c r="Y317" s="91">
        <f>Параметры!Y146</f>
        <v>1.5355610346059185</v>
      </c>
      <c r="Z317" s="91">
        <f>Параметры!Z146</f>
        <v>1.5725890759645944</v>
      </c>
      <c r="AA317" s="91">
        <f>Параметры!AA146</f>
        <v>1.6105099999999994</v>
      </c>
      <c r="AB317" s="91">
        <f>Параметры!AB146</f>
        <v>1.6493453374073892</v>
      </c>
      <c r="AC317" s="91">
        <f>Параметры!AC146</f>
        <v>1.6891171380665102</v>
      </c>
      <c r="AD317" s="91">
        <f>Параметры!AD146</f>
        <v>1.7298479835610538</v>
      </c>
      <c r="AE317" s="91">
        <f>Параметры!AE146</f>
        <v>1.7715609999999995</v>
      </c>
      <c r="AF317" s="91">
        <f>Параметры!AF146</f>
        <v>1.8142798711481281</v>
      </c>
      <c r="AG317" s="91">
        <f>Параметры!AG146</f>
        <v>1.8580288518731611</v>
      </c>
      <c r="AH317" s="91">
        <f>Параметры!AH146</f>
        <v>1.9028327819171591</v>
      </c>
      <c r="AI317" s="91">
        <f>Параметры!AI146</f>
        <v>1.9487170999999992</v>
      </c>
      <c r="AJ317" s="91">
        <f>Параметры!AJ146</f>
        <v>1.9957078582629406</v>
      </c>
      <c r="AK317" s="91">
        <f>Параметры!AK146</f>
        <v>2.043831737060477</v>
      </c>
      <c r="AL317" s="91">
        <f>Параметры!AL146</f>
        <v>2.093116060108875</v>
      </c>
      <c r="AM317" s="91">
        <f>Параметры!AM146</f>
        <v>2.1435888099999989</v>
      </c>
      <c r="AN317" s="91">
        <f>Параметры!AN146</f>
        <v>2.1952786440892345</v>
      </c>
      <c r="AO317" s="91">
        <f>Параметры!AO146</f>
        <v>2.2482149107665244</v>
      </c>
      <c r="AP317" s="91">
        <f>Параметры!AP146</f>
        <v>2.3024276661197618</v>
      </c>
      <c r="AQ317" s="91">
        <f>Параметры!AQ146</f>
        <v>2.3579476909999983</v>
      </c>
      <c r="AR317" s="91">
        <f>Параметры!AR146</f>
        <v>2.4148065084981574</v>
      </c>
      <c r="AS317" s="91">
        <f>Параметры!AS146</f>
        <v>2.4730364018431765</v>
      </c>
      <c r="AT317" s="91">
        <f>Параметры!AT146</f>
        <v>2.5326704327317375</v>
      </c>
      <c r="AU317" s="91">
        <f>Параметры!AU146</f>
        <v>2.5937424600999979</v>
      </c>
      <c r="AV317" s="91">
        <f>Параметры!AV146</f>
        <v>2.6562871593479729</v>
      </c>
    </row>
    <row r="318" spans="1:50" x14ac:dyDescent="0.2">
      <c r="A318" s="65"/>
      <c r="D318" s="57"/>
      <c r="E318" s="57"/>
      <c r="F318" s="57"/>
    </row>
    <row r="319" spans="1:50" x14ac:dyDescent="0.2">
      <c r="A319" s="92" t="str">
        <f ca="1">Language!A1386</f>
        <v>Поступление налогов в бюджет</v>
      </c>
      <c r="B319" s="282"/>
      <c r="C319" s="283"/>
      <c r="D319" s="57"/>
      <c r="E319" s="57"/>
      <c r="F319" s="57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</row>
    <row r="320" spans="1:50" x14ac:dyDescent="0.2">
      <c r="A320" s="44" t="str">
        <f ca="1">Language!A$1134</f>
        <v>Акцизы на проданные товары</v>
      </c>
      <c r="B320" s="282"/>
      <c r="C320" s="130" t="str">
        <f ca="1">Параметры!$C$64</f>
        <v>тыс. руб.</v>
      </c>
      <c r="D320" s="57"/>
      <c r="E320" s="57" t="s">
        <v>1602</v>
      </c>
      <c r="F320" s="57" t="s">
        <v>753</v>
      </c>
      <c r="G320" s="138">
        <f ca="1">Проект!G954/ Параметры!G$64</f>
        <v>0</v>
      </c>
      <c r="H320" s="138">
        <f ca="1">Проект!H954/ Параметры!H$64</f>
        <v>0</v>
      </c>
      <c r="I320" s="138">
        <f ca="1">Проект!I954/ Параметры!I$64</f>
        <v>0</v>
      </c>
      <c r="J320" s="138">
        <f ca="1">Проект!J954/ Параметры!J$64</f>
        <v>0</v>
      </c>
      <c r="K320" s="138">
        <f ca="1">Проект!K954/ Параметры!K$64</f>
        <v>0</v>
      </c>
      <c r="L320" s="138">
        <f ca="1">Проект!L954/ Параметры!L$64</f>
        <v>0</v>
      </c>
      <c r="M320" s="138">
        <f ca="1">Проект!M954/ Параметры!M$64</f>
        <v>0</v>
      </c>
      <c r="N320" s="138">
        <f ca="1">Проект!N954/ Параметры!N$64</f>
        <v>0</v>
      </c>
      <c r="O320" s="138">
        <f ca="1">Проект!O954/ Параметры!O$64</f>
        <v>0</v>
      </c>
      <c r="P320" s="138">
        <f ca="1">Проект!P954/ Параметры!P$64</f>
        <v>0</v>
      </c>
      <c r="Q320" s="138">
        <f ca="1">Проект!Q954/ Параметры!Q$64</f>
        <v>0</v>
      </c>
      <c r="R320" s="138">
        <f ca="1">Проект!R954/ Параметры!R$64</f>
        <v>0</v>
      </c>
      <c r="S320" s="138">
        <f ca="1">Проект!S954/ Параметры!S$64</f>
        <v>0</v>
      </c>
      <c r="T320" s="138">
        <f ca="1">Проект!T954/ Параметры!T$64</f>
        <v>0</v>
      </c>
      <c r="U320" s="138">
        <f ca="1">Проект!U954/ Параметры!U$64</f>
        <v>0</v>
      </c>
      <c r="V320" s="138">
        <f ca="1">Проект!V954/ Параметры!V$64</f>
        <v>0</v>
      </c>
      <c r="W320" s="138">
        <f ca="1">Проект!W954/ Параметры!W$64</f>
        <v>0</v>
      </c>
      <c r="X320" s="138">
        <f ca="1">Проект!X954/ Параметры!X$64</f>
        <v>0</v>
      </c>
      <c r="Y320" s="138">
        <f ca="1">Проект!Y954/ Параметры!Y$64</f>
        <v>0</v>
      </c>
      <c r="Z320" s="138">
        <f ca="1">Проект!Z954/ Параметры!Z$64</f>
        <v>0</v>
      </c>
      <c r="AA320" s="138">
        <f ca="1">Проект!AA954/ Параметры!AA$64</f>
        <v>0</v>
      </c>
      <c r="AB320" s="138">
        <f ca="1">Проект!AB954/ Параметры!AB$64</f>
        <v>0</v>
      </c>
      <c r="AC320" s="138">
        <f ca="1">Проект!AC954/ Параметры!AC$64</f>
        <v>0</v>
      </c>
      <c r="AD320" s="138">
        <f ca="1">Проект!AD954/ Параметры!AD$64</f>
        <v>0</v>
      </c>
      <c r="AE320" s="138">
        <f ca="1">Проект!AE954/ Параметры!AE$64</f>
        <v>0</v>
      </c>
      <c r="AF320" s="138">
        <f ca="1">Проект!AF954/ Параметры!AF$64</f>
        <v>0</v>
      </c>
      <c r="AG320" s="138">
        <f ca="1">Проект!AG954/ Параметры!AG$64</f>
        <v>0</v>
      </c>
      <c r="AH320" s="138">
        <f ca="1">Проект!AH954/ Параметры!AH$64</f>
        <v>0</v>
      </c>
      <c r="AI320" s="138">
        <f ca="1">Проект!AI954/ Параметры!AI$64</f>
        <v>0</v>
      </c>
      <c r="AJ320" s="138">
        <f ca="1">Проект!AJ954/ Параметры!AJ$64</f>
        <v>0</v>
      </c>
      <c r="AK320" s="138">
        <f ca="1">Проект!AK954/ Параметры!AK$64</f>
        <v>0</v>
      </c>
      <c r="AL320" s="138">
        <f ca="1">Проект!AL954/ Параметры!AL$64</f>
        <v>0</v>
      </c>
      <c r="AM320" s="138">
        <f ca="1">Проект!AM954/ Параметры!AM$64</f>
        <v>0</v>
      </c>
      <c r="AN320" s="138">
        <f ca="1">Проект!AN954/ Параметры!AN$64</f>
        <v>0</v>
      </c>
      <c r="AO320" s="138">
        <f ca="1">Проект!AO954/ Параметры!AO$64</f>
        <v>0</v>
      </c>
      <c r="AP320" s="138">
        <f ca="1">Проект!AP954/ Параметры!AP$64</f>
        <v>0</v>
      </c>
      <c r="AQ320" s="138">
        <f ca="1">Проект!AQ954/ Параметры!AQ$64</f>
        <v>0</v>
      </c>
      <c r="AR320" s="138">
        <f ca="1">Проект!AR954/ Параметры!AR$64</f>
        <v>0</v>
      </c>
      <c r="AS320" s="138">
        <f ca="1">Проект!AS954/ Параметры!AS$64</f>
        <v>0</v>
      </c>
      <c r="AT320" s="138">
        <f ca="1">Проект!AT954/ Параметры!AT$64</f>
        <v>0</v>
      </c>
      <c r="AU320" s="138">
        <f ca="1">Проект!AU954/ Параметры!AU$64</f>
        <v>0</v>
      </c>
      <c r="AV320" s="138">
        <f ca="1">Проект!AV954/ Параметры!AV$64</f>
        <v>0</v>
      </c>
      <c r="AW320" s="138"/>
      <c r="AX320" s="171">
        <f t="shared" ref="AX320:AX327" ca="1" si="1116">SUM(G320:AW320)</f>
        <v>0</v>
      </c>
    </row>
    <row r="321" spans="1:50" x14ac:dyDescent="0.2">
      <c r="A321" s="44" t="str">
        <f ca="1">Language!A$1135</f>
        <v>Импортная пошлина на сырье и материалы</v>
      </c>
      <c r="B321" s="282"/>
      <c r="C321" s="130" t="str">
        <f ca="1">Параметры!$C$64</f>
        <v>тыс. руб.</v>
      </c>
      <c r="D321" s="57"/>
      <c r="E321" s="57" t="s">
        <v>1603</v>
      </c>
      <c r="F321" s="57" t="s">
        <v>753</v>
      </c>
      <c r="G321" s="138">
        <f ca="1">Проект!G955/ Параметры!G$64</f>
        <v>0</v>
      </c>
      <c r="H321" s="138">
        <f ca="1">Проект!H955/ Параметры!H$64</f>
        <v>0</v>
      </c>
      <c r="I321" s="138">
        <f ca="1">Проект!I955/ Параметры!I$64</f>
        <v>0</v>
      </c>
      <c r="J321" s="138">
        <f ca="1">Проект!J955/ Параметры!J$64</f>
        <v>0</v>
      </c>
      <c r="K321" s="138">
        <f ca="1">Проект!K955/ Параметры!K$64</f>
        <v>0</v>
      </c>
      <c r="L321" s="138">
        <f ca="1">Проект!L955/ Параметры!L$64</f>
        <v>0</v>
      </c>
      <c r="M321" s="138">
        <f ca="1">Проект!M955/ Параметры!M$64</f>
        <v>0</v>
      </c>
      <c r="N321" s="138">
        <f ca="1">Проект!N955/ Параметры!N$64</f>
        <v>0</v>
      </c>
      <c r="O321" s="138">
        <f ca="1">Проект!O955/ Параметры!O$64</f>
        <v>0</v>
      </c>
      <c r="P321" s="138">
        <f ca="1">Проект!P955/ Параметры!P$64</f>
        <v>0</v>
      </c>
      <c r="Q321" s="138">
        <f ca="1">Проект!Q955/ Параметры!Q$64</f>
        <v>0</v>
      </c>
      <c r="R321" s="138">
        <f ca="1">Проект!R955/ Параметры!R$64</f>
        <v>0</v>
      </c>
      <c r="S321" s="138">
        <f ca="1">Проект!S955/ Параметры!S$64</f>
        <v>0</v>
      </c>
      <c r="T321" s="138">
        <f ca="1">Проект!T955/ Параметры!T$64</f>
        <v>0</v>
      </c>
      <c r="U321" s="138">
        <f ca="1">Проект!U955/ Параметры!U$64</f>
        <v>0</v>
      </c>
      <c r="V321" s="138">
        <f ca="1">Проект!V955/ Параметры!V$64</f>
        <v>0</v>
      </c>
      <c r="W321" s="138">
        <f ca="1">Проект!W955/ Параметры!W$64</f>
        <v>0</v>
      </c>
      <c r="X321" s="138">
        <f ca="1">Проект!X955/ Параметры!X$64</f>
        <v>0</v>
      </c>
      <c r="Y321" s="138">
        <f ca="1">Проект!Y955/ Параметры!Y$64</f>
        <v>0</v>
      </c>
      <c r="Z321" s="138">
        <f ca="1">Проект!Z955/ Параметры!Z$64</f>
        <v>0</v>
      </c>
      <c r="AA321" s="138">
        <f ca="1">Проект!AA955/ Параметры!AA$64</f>
        <v>0</v>
      </c>
      <c r="AB321" s="138">
        <f ca="1">Проект!AB955/ Параметры!AB$64</f>
        <v>0</v>
      </c>
      <c r="AC321" s="138">
        <f ca="1">Проект!AC955/ Параметры!AC$64</f>
        <v>0</v>
      </c>
      <c r="AD321" s="138">
        <f ca="1">Проект!AD955/ Параметры!AD$64</f>
        <v>0</v>
      </c>
      <c r="AE321" s="138">
        <f ca="1">Проект!AE955/ Параметры!AE$64</f>
        <v>0</v>
      </c>
      <c r="AF321" s="138">
        <f ca="1">Проект!AF955/ Параметры!AF$64</f>
        <v>0</v>
      </c>
      <c r="AG321" s="138">
        <f ca="1">Проект!AG955/ Параметры!AG$64</f>
        <v>0</v>
      </c>
      <c r="AH321" s="138">
        <f ca="1">Проект!AH955/ Параметры!AH$64</f>
        <v>0</v>
      </c>
      <c r="AI321" s="138">
        <f ca="1">Проект!AI955/ Параметры!AI$64</f>
        <v>0</v>
      </c>
      <c r="AJ321" s="138">
        <f ca="1">Проект!AJ955/ Параметры!AJ$64</f>
        <v>0</v>
      </c>
      <c r="AK321" s="138">
        <f ca="1">Проект!AK955/ Параметры!AK$64</f>
        <v>0</v>
      </c>
      <c r="AL321" s="138">
        <f ca="1">Проект!AL955/ Параметры!AL$64</f>
        <v>0</v>
      </c>
      <c r="AM321" s="138">
        <f ca="1">Проект!AM955/ Параметры!AM$64</f>
        <v>0</v>
      </c>
      <c r="AN321" s="138">
        <f ca="1">Проект!AN955/ Параметры!AN$64</f>
        <v>0</v>
      </c>
      <c r="AO321" s="138">
        <f ca="1">Проект!AO955/ Параметры!AO$64</f>
        <v>0</v>
      </c>
      <c r="AP321" s="138">
        <f ca="1">Проект!AP955/ Параметры!AP$64</f>
        <v>0</v>
      </c>
      <c r="AQ321" s="138">
        <f ca="1">Проект!AQ955/ Параметры!AQ$64</f>
        <v>0</v>
      </c>
      <c r="AR321" s="138">
        <f ca="1">Проект!AR955/ Параметры!AR$64</f>
        <v>0</v>
      </c>
      <c r="AS321" s="138">
        <f ca="1">Проект!AS955/ Параметры!AS$64</f>
        <v>0</v>
      </c>
      <c r="AT321" s="138">
        <f ca="1">Проект!AT955/ Параметры!AT$64</f>
        <v>0</v>
      </c>
      <c r="AU321" s="138">
        <f ca="1">Проект!AU955/ Параметры!AU$64</f>
        <v>0</v>
      </c>
      <c r="AV321" s="138">
        <f ca="1">Проект!AV955/ Параметры!AV$64</f>
        <v>0</v>
      </c>
      <c r="AW321" s="138"/>
      <c r="AX321" s="171">
        <f t="shared" ca="1" si="1116"/>
        <v>0</v>
      </c>
    </row>
    <row r="322" spans="1:50" x14ac:dyDescent="0.2">
      <c r="A322" s="44" t="str">
        <f ca="1">Language!A$1136</f>
        <v>Импортная пошлина на оборудование</v>
      </c>
      <c r="B322" s="282"/>
      <c r="C322" s="130" t="str">
        <f ca="1">Параметры!$C$64</f>
        <v>тыс. руб.</v>
      </c>
      <c r="D322" s="57"/>
      <c r="E322" s="57" t="s">
        <v>1604</v>
      </c>
      <c r="F322" s="57" t="s">
        <v>753</v>
      </c>
      <c r="G322" s="138">
        <f>Проект!G956/ Параметры!G$64</f>
        <v>0</v>
      </c>
      <c r="H322" s="138">
        <f>Проект!H956/ Параметры!H$64</f>
        <v>0</v>
      </c>
      <c r="I322" s="138">
        <f>Проект!I956/ Параметры!I$64</f>
        <v>0</v>
      </c>
      <c r="J322" s="138">
        <f>Проект!J956/ Параметры!J$64</f>
        <v>0</v>
      </c>
      <c r="K322" s="138">
        <f>Проект!K956/ Параметры!K$64</f>
        <v>0</v>
      </c>
      <c r="L322" s="138">
        <f>Проект!L956/ Параметры!L$64</f>
        <v>0</v>
      </c>
      <c r="M322" s="138">
        <f>Проект!M956/ Параметры!M$64</f>
        <v>0</v>
      </c>
      <c r="N322" s="138">
        <f>Проект!N956/ Параметры!N$64</f>
        <v>0</v>
      </c>
      <c r="O322" s="138">
        <f>Проект!O956/ Параметры!O$64</f>
        <v>0</v>
      </c>
      <c r="P322" s="138">
        <f>Проект!P956/ Параметры!P$64</f>
        <v>0</v>
      </c>
      <c r="Q322" s="138">
        <f>Проект!Q956/ Параметры!Q$64</f>
        <v>0</v>
      </c>
      <c r="R322" s="138">
        <f>Проект!R956/ Параметры!R$64</f>
        <v>0</v>
      </c>
      <c r="S322" s="138">
        <f>Проект!S956/ Параметры!S$64</f>
        <v>0</v>
      </c>
      <c r="T322" s="138">
        <f>Проект!T956/ Параметры!T$64</f>
        <v>0</v>
      </c>
      <c r="U322" s="138">
        <f>Проект!U956/ Параметры!U$64</f>
        <v>0</v>
      </c>
      <c r="V322" s="138">
        <f>Проект!V956/ Параметры!V$64</f>
        <v>0</v>
      </c>
      <c r="W322" s="138">
        <f>Проект!W956/ Параметры!W$64</f>
        <v>0</v>
      </c>
      <c r="X322" s="138">
        <f>Проект!X956/ Параметры!X$64</f>
        <v>0</v>
      </c>
      <c r="Y322" s="138">
        <f>Проект!Y956/ Параметры!Y$64</f>
        <v>0</v>
      </c>
      <c r="Z322" s="138">
        <f>Проект!Z956/ Параметры!Z$64</f>
        <v>0</v>
      </c>
      <c r="AA322" s="138">
        <f>Проект!AA956/ Параметры!AA$64</f>
        <v>0</v>
      </c>
      <c r="AB322" s="138">
        <f>Проект!AB956/ Параметры!AB$64</f>
        <v>0</v>
      </c>
      <c r="AC322" s="138">
        <f>Проект!AC956/ Параметры!AC$64</f>
        <v>0</v>
      </c>
      <c r="AD322" s="138">
        <f>Проект!AD956/ Параметры!AD$64</f>
        <v>0</v>
      </c>
      <c r="AE322" s="138">
        <f>Проект!AE956/ Параметры!AE$64</f>
        <v>0</v>
      </c>
      <c r="AF322" s="138">
        <f>Проект!AF956/ Параметры!AF$64</f>
        <v>0</v>
      </c>
      <c r="AG322" s="138">
        <f>Проект!AG956/ Параметры!AG$64</f>
        <v>0</v>
      </c>
      <c r="AH322" s="138">
        <f>Проект!AH956/ Параметры!AH$64</f>
        <v>0</v>
      </c>
      <c r="AI322" s="138">
        <f>Проект!AI956/ Параметры!AI$64</f>
        <v>0</v>
      </c>
      <c r="AJ322" s="138">
        <f>Проект!AJ956/ Параметры!AJ$64</f>
        <v>0</v>
      </c>
      <c r="AK322" s="138">
        <f>Проект!AK956/ Параметры!AK$64</f>
        <v>0</v>
      </c>
      <c r="AL322" s="138">
        <f>Проект!AL956/ Параметры!AL$64</f>
        <v>0</v>
      </c>
      <c r="AM322" s="138">
        <f>Проект!AM956/ Параметры!AM$64</f>
        <v>0</v>
      </c>
      <c r="AN322" s="138">
        <f>Проект!AN956/ Параметры!AN$64</f>
        <v>0</v>
      </c>
      <c r="AO322" s="138">
        <f>Проект!AO956/ Параметры!AO$64</f>
        <v>0</v>
      </c>
      <c r="AP322" s="138">
        <f>Проект!AP956/ Параметры!AP$64</f>
        <v>0</v>
      </c>
      <c r="AQ322" s="138">
        <f>Проект!AQ956/ Параметры!AQ$64</f>
        <v>0</v>
      </c>
      <c r="AR322" s="138">
        <f>Проект!AR956/ Параметры!AR$64</f>
        <v>0</v>
      </c>
      <c r="AS322" s="138">
        <f>Проект!AS956/ Параметры!AS$64</f>
        <v>0</v>
      </c>
      <c r="AT322" s="138">
        <f>Проект!AT956/ Параметры!AT$64</f>
        <v>0</v>
      </c>
      <c r="AU322" s="138">
        <f>Проект!AU956/ Параметры!AU$64</f>
        <v>0</v>
      </c>
      <c r="AV322" s="138">
        <f>Проект!AV956/ Параметры!AV$64</f>
        <v>0</v>
      </c>
      <c r="AW322" s="138"/>
      <c r="AX322" s="171">
        <f t="shared" si="1116"/>
        <v>0</v>
      </c>
    </row>
    <row r="323" spans="1:50" collapsed="1" x14ac:dyDescent="0.2">
      <c r="A323" s="65" t="str">
        <f ca="1">Language!A1387</f>
        <v>Налог на добавленную стоимость</v>
      </c>
      <c r="B323" s="227"/>
      <c r="C323" s="130" t="str">
        <f ca="1">Параметры!$C$64</f>
        <v>тыс. руб.</v>
      </c>
      <c r="D323" s="57"/>
      <c r="E323" s="57" t="s">
        <v>1605</v>
      </c>
      <c r="F323" s="57" t="s">
        <v>753</v>
      </c>
      <c r="G323" s="138">
        <f ca="1">Проект!G960/ Параметры!G$64</f>
        <v>-33298.519004152564</v>
      </c>
      <c r="H323" s="138">
        <f ca="1">Проект!H960/ Параметры!H$64</f>
        <v>-16119.952595655031</v>
      </c>
      <c r="I323" s="138">
        <f ca="1">Проект!I960/ Параметры!I$64</f>
        <v>-749.51849223514364</v>
      </c>
      <c r="J323" s="138">
        <f ca="1">Проект!J960/ Параметры!J$64</f>
        <v>2216.0387227633232</v>
      </c>
      <c r="K323" s="138">
        <f ca="1">Проект!K960/ Параметры!K$64</f>
        <v>14641.358022775617</v>
      </c>
      <c r="L323" s="138">
        <f ca="1">Проект!L960/ Параметры!L$64</f>
        <v>10352.728188873221</v>
      </c>
      <c r="M323" s="138">
        <f ca="1">Проект!M960/ Параметры!M$64</f>
        <v>2664.4061606766095</v>
      </c>
      <c r="N323" s="138">
        <f ca="1">Проект!N960/ Параметры!N$64</f>
        <v>5013.9358375746424</v>
      </c>
      <c r="O323" s="138">
        <f ca="1">Проект!O960/ Параметры!O$64</f>
        <v>18934.881035750368</v>
      </c>
      <c r="P323" s="138">
        <f ca="1">Проект!P960/ Параметры!P$64</f>
        <v>14024.933503129423</v>
      </c>
      <c r="Q323" s="138">
        <f ca="1">Проект!Q960/ Параметры!Q$64</f>
        <v>5768.1508391651605</v>
      </c>
      <c r="R323" s="138">
        <f ca="1">Проект!R960/ Параметры!R$64</f>
        <v>7933.865865422993</v>
      </c>
      <c r="S323" s="138">
        <f ca="1">Проект!S960/ Параметры!S$64</f>
        <v>21977.035826489999</v>
      </c>
      <c r="T323" s="138">
        <f ca="1">Проект!T960/ Параметры!T$64</f>
        <v>16037.96970273968</v>
      </c>
      <c r="U323" s="138">
        <f ca="1">Проект!U960/ Параметры!U$64</f>
        <v>7310.5787839675022</v>
      </c>
      <c r="V323" s="138">
        <f ca="1">Проект!V960/ Параметры!V$64</f>
        <v>9755.2928613002932</v>
      </c>
      <c r="W323" s="138">
        <f ca="1">Проект!W960/ Параметры!W$64</f>
        <v>24660.795139942362</v>
      </c>
      <c r="X323" s="138">
        <f ca="1">Проект!X960/ Параметры!X$64</f>
        <v>18385.416861508667</v>
      </c>
      <c r="Y323" s="138">
        <f ca="1">Проект!Y960/ Параметры!Y$64</f>
        <v>8122.46418540382</v>
      </c>
      <c r="Z323" s="138">
        <f ca="1">Проект!Z960/ Параметры!Z$64</f>
        <v>10203.21610101172</v>
      </c>
      <c r="AA323" s="138">
        <f ca="1">Проект!AA960/ Параметры!AA$64</f>
        <v>26001.032413080589</v>
      </c>
      <c r="AB323" s="138">
        <f ca="1">Проект!AB960/ Параметры!AB$64</f>
        <v>19347.085750659582</v>
      </c>
      <c r="AC323" s="138">
        <f ca="1">Проект!AC960/ Параметры!AC$64</f>
        <v>9010.5943320698098</v>
      </c>
      <c r="AD323" s="138">
        <f ca="1">Проект!AD960/ Параметры!AD$64</f>
        <v>11494.229442097656</v>
      </c>
      <c r="AE323" s="138">
        <f ca="1">Проект!AE960/ Параметры!AE$64</f>
        <v>28249.875638649919</v>
      </c>
      <c r="AF323" s="138">
        <f ca="1">Проект!AF960/ Параметры!AF$64</f>
        <v>21206.799247041741</v>
      </c>
      <c r="AG323" s="138">
        <f ca="1">Проект!AG960/ Параметры!AG$64</f>
        <v>9915.6993347085299</v>
      </c>
      <c r="AH323" s="138">
        <f ca="1">Проект!AH960/ Параметры!AH$64</f>
        <v>12381.363524013881</v>
      </c>
      <c r="AI323" s="138">
        <f ca="1">Проект!AI960/ Параметры!AI$64</f>
        <v>30145.246288128674</v>
      </c>
      <c r="AJ323" s="138">
        <f ca="1">Проект!AJ960/ Параметры!AJ$64</f>
        <v>22682.525630602722</v>
      </c>
      <c r="AK323" s="138">
        <f ca="1">Проект!AK960/ Параметры!AK$64</f>
        <v>10509.02779818901</v>
      </c>
      <c r="AL323" s="138">
        <f ca="1">Проект!AL960/ Параметры!AL$64</f>
        <v>13018.650468308204</v>
      </c>
      <c r="AM323" s="138">
        <f ca="1">Проект!AM960/ Параметры!AM$64</f>
        <v>31846.816715433179</v>
      </c>
      <c r="AN323" s="138">
        <f ca="1">Проект!AN960/ Параметры!AN$64</f>
        <v>23934.760598746179</v>
      </c>
      <c r="AO323" s="138">
        <f ca="1">Проект!AO960/ Параметры!AO$64</f>
        <v>11072.925073678</v>
      </c>
      <c r="AP323" s="138">
        <f ca="1">Проект!AP960/ Параметры!AP$64</f>
        <v>13753.980908197243</v>
      </c>
      <c r="AQ323" s="138">
        <f ca="1">Проект!AQ960/ Параметры!AQ$64</f>
        <v>33711.165235450055</v>
      </c>
      <c r="AR323" s="138">
        <f ca="1">Проект!AR960/ Параметры!AR$64</f>
        <v>25323.703997782697</v>
      </c>
      <c r="AS323" s="138">
        <f ca="1">Проект!AS960/ Параметры!AS$64</f>
        <v>9946.4294612280246</v>
      </c>
      <c r="AT323" s="138">
        <f ca="1">Проект!AT960/ Параметры!AT$64</f>
        <v>11890.551117516439</v>
      </c>
      <c r="AU323" s="138">
        <f ca="1">Проект!AU960/ Параметры!AU$64</f>
        <v>33005.713394306666</v>
      </c>
      <c r="AV323" s="138">
        <f ca="1">Проект!AV960/ Параметры!AV$64</f>
        <v>24074.972443413048</v>
      </c>
      <c r="AW323" s="138"/>
      <c r="AX323" s="171">
        <f t="shared" ca="1" si="1116"/>
        <v>580358.22635975457</v>
      </c>
    </row>
    <row r="324" spans="1:50" hidden="1" outlineLevel="1" x14ac:dyDescent="0.2">
      <c r="A324" s="179" t="str">
        <f ca="1">Language!A$1444</f>
        <v>начисленный налог</v>
      </c>
      <c r="B324" s="227"/>
      <c r="C324" s="82" t="str">
        <f ca="1">Параметры!$C$64</f>
        <v>тыс. руб.</v>
      </c>
      <c r="D324" s="57"/>
      <c r="E324" s="57"/>
      <c r="F324" s="57" t="s">
        <v>753</v>
      </c>
      <c r="G324" s="180">
        <f ca="1">Проект!G958 / Параметры!G$64</f>
        <v>-49947.778506228846</v>
      </c>
      <c r="H324" s="180">
        <f ca="1">Проект!H958 / Параметры!H$64</f>
        <v>793.96035963187751</v>
      </c>
      <c r="I324" s="180">
        <f ca="1">Проект!I958 / Параметры!I$64</f>
        <v>-1521.2579181686542</v>
      </c>
      <c r="J324" s="180">
        <f ca="1">Проект!J958 / Параметры!J$64</f>
        <v>4084.6870432293117</v>
      </c>
      <c r="K324" s="180">
        <f ca="1">Проект!K958 / Параметры!K$64</f>
        <v>19919.693512548773</v>
      </c>
      <c r="L324" s="180">
        <f ca="1">Проект!L958 / Параметры!L$64</f>
        <v>5569.2455270354458</v>
      </c>
      <c r="M324" s="180">
        <f ca="1">Проект!M958 / Параметры!M$64</f>
        <v>1211.9864774971911</v>
      </c>
      <c r="N324" s="180">
        <f ca="1">Проект!N958 / Параметры!N$64</f>
        <v>6914.910517613368</v>
      </c>
      <c r="O324" s="180">
        <f ca="1">Проект!O958 / Параметры!O$64</f>
        <v>24944.866294818868</v>
      </c>
      <c r="P324" s="180">
        <f ca="1">Проект!P958 / Параметры!P$64</f>
        <v>8564.9671072847013</v>
      </c>
      <c r="Q324" s="180">
        <f ca="1">Проект!Q958 / Параметры!Q$64</f>
        <v>4369.7427051053892</v>
      </c>
      <c r="R324" s="180">
        <f ca="1">Проект!R958 / Параметры!R$64</f>
        <v>9715.927445581794</v>
      </c>
      <c r="S324" s="180">
        <f ca="1">Проект!S958 / Параметры!S$64</f>
        <v>28107.590016944105</v>
      </c>
      <c r="T324" s="180">
        <f ca="1">Проект!T958 / Параметры!T$64</f>
        <v>10003.159545637467</v>
      </c>
      <c r="U324" s="180">
        <f ca="1">Проект!U958 / Параметры!U$64</f>
        <v>5964.2884031325193</v>
      </c>
      <c r="V324" s="180">
        <f ca="1">Проект!V958 / Параметры!V$64</f>
        <v>11650.795090384181</v>
      </c>
      <c r="W324" s="180">
        <f ca="1">Проект!W958 / Параметры!W$64</f>
        <v>31165.79516472145</v>
      </c>
      <c r="X324" s="180">
        <f ca="1">Проект!X958 / Параметры!X$64</f>
        <v>11995.227709902276</v>
      </c>
      <c r="Y324" s="180">
        <f ca="1">Проект!Y958 / Параметры!Y$64</f>
        <v>6186.0824231545912</v>
      </c>
      <c r="Z324" s="180">
        <f ca="1">Проект!Z958 / Параметры!Z$64</f>
        <v>12211.782939940284</v>
      </c>
      <c r="AA324" s="180">
        <f ca="1">Проект!AA958 / Параметры!AA$64</f>
        <v>32895.657149650739</v>
      </c>
      <c r="AB324" s="180">
        <f ca="1">Проект!AB958 / Параметры!AB$64</f>
        <v>12572.800051164004</v>
      </c>
      <c r="AC324" s="180">
        <f ca="1">Проект!AC958 / Параметры!AC$64</f>
        <v>7229.4914725227109</v>
      </c>
      <c r="AD324" s="180">
        <f ca="1">Проект!AD958 / Параметры!AD$64</f>
        <v>13626.598426885128</v>
      </c>
      <c r="AE324" s="180">
        <f ca="1">Проект!AE958 / Параметры!AE$64</f>
        <v>35561.514244532314</v>
      </c>
      <c r="AF324" s="180">
        <f ca="1">Проект!AF958 / Параметры!AF$64</f>
        <v>14029.441748296455</v>
      </c>
      <c r="AG324" s="180">
        <f ca="1">Проект!AG958 / Параметры!AG$64</f>
        <v>7858.8281279145676</v>
      </c>
      <c r="AH324" s="180">
        <f ca="1">Проект!AH958 / Параметры!AH$64</f>
        <v>14642.631222063537</v>
      </c>
      <c r="AI324" s="180">
        <f ca="1">Проект!AI958 / Параметры!AI$64</f>
        <v>37896.553821161244</v>
      </c>
      <c r="AJ324" s="180">
        <f ca="1">Проект!AJ958 / Параметры!AJ$64</f>
        <v>15075.511535323463</v>
      </c>
      <c r="AK324" s="180">
        <f ca="1">Проект!AK958 / Параметры!AK$64</f>
        <v>8225.785929621783</v>
      </c>
      <c r="AL324" s="180">
        <f ca="1">Проект!AL958 / Параметры!AL$64</f>
        <v>15415.082737651415</v>
      </c>
      <c r="AM324" s="180">
        <f ca="1">Проект!AM958 / Параметры!AM$64</f>
        <v>40062.683704324059</v>
      </c>
      <c r="AN324" s="180">
        <f ca="1">Проект!AN958 / Параметры!AN$64</f>
        <v>15870.799045957243</v>
      </c>
      <c r="AO324" s="180">
        <f ca="1">Проект!AO958 / Параметры!AO$64</f>
        <v>8673.9880875383787</v>
      </c>
      <c r="AP324" s="180">
        <f ca="1">Проект!AP958 / Параметры!AP$64</f>
        <v>16293.977318526677</v>
      </c>
      <c r="AQ324" s="180">
        <f ca="1">Проект!AQ958 / Параметры!AQ$64</f>
        <v>42419.759193911741</v>
      </c>
      <c r="AR324" s="180">
        <f ca="1">Проект!AR958 / Параметры!AR$64</f>
        <v>16775.676399718177</v>
      </c>
      <c r="AS324" s="180">
        <f ca="1">Проект!AS958 / Параметры!AS$64</f>
        <v>6531.8059919829484</v>
      </c>
      <c r="AT324" s="180">
        <f ca="1">Проект!AT958 / Параметры!AT$64</f>
        <v>14569.923680283184</v>
      </c>
      <c r="AU324" s="180">
        <f ca="1">Проект!AU958 / Параметры!AU$64</f>
        <v>42223.608251318408</v>
      </c>
      <c r="AV324" s="180">
        <f ca="1">Проект!AV958 / Параметры!AV$64</f>
        <v>15000.654539460371</v>
      </c>
      <c r="AW324" s="138"/>
      <c r="AX324" s="222">
        <f t="shared" ca="1" si="1116"/>
        <v>585358.44453957456</v>
      </c>
    </row>
    <row r="325" spans="1:50" x14ac:dyDescent="0.2">
      <c r="A325" s="65" t="str">
        <f ca="1">Language!A1388</f>
        <v>Налог на прибыль</v>
      </c>
      <c r="B325" s="227"/>
      <c r="C325" s="130" t="str">
        <f ca="1">Параметры!$C$64</f>
        <v>тыс. руб.</v>
      </c>
      <c r="D325" s="57"/>
      <c r="E325" s="57" t="s">
        <v>1601</v>
      </c>
      <c r="F325" s="57" t="s">
        <v>753</v>
      </c>
      <c r="G325" s="138">
        <f ca="1">Проект!G990/ Параметры!G$64</f>
        <v>0</v>
      </c>
      <c r="H325" s="138">
        <f ca="1">Проект!H990/ Параметры!H$64</f>
        <v>0</v>
      </c>
      <c r="I325" s="138">
        <f ca="1">Проект!I990/ Параметры!I$64</f>
        <v>0</v>
      </c>
      <c r="J325" s="138">
        <f ca="1">Проект!J990/ Параметры!J$64</f>
        <v>0</v>
      </c>
      <c r="K325" s="138">
        <f ca="1">Проект!K990/ Параметры!K$64</f>
        <v>0</v>
      </c>
      <c r="L325" s="138">
        <f ca="1">Проект!L990/ Параметры!L$64</f>
        <v>0</v>
      </c>
      <c r="M325" s="138">
        <f ca="1">Проект!M990/ Параметры!M$64</f>
        <v>0</v>
      </c>
      <c r="N325" s="138">
        <f ca="1">Проект!N990/ Параметры!N$64</f>
        <v>0</v>
      </c>
      <c r="O325" s="138">
        <f ca="1">Проект!O990/ Параметры!O$64</f>
        <v>0</v>
      </c>
      <c r="P325" s="138">
        <f ca="1">Проект!P990/ Параметры!P$64</f>
        <v>0</v>
      </c>
      <c r="Q325" s="138">
        <f ca="1">Проект!Q990/ Параметры!Q$64</f>
        <v>0</v>
      </c>
      <c r="R325" s="138">
        <f ca="1">Проект!R990/ Параметры!R$64</f>
        <v>0</v>
      </c>
      <c r="S325" s="138">
        <f ca="1">Проект!S990/ Параметры!S$64</f>
        <v>0</v>
      </c>
      <c r="T325" s="138">
        <f ca="1">Проект!T990/ Параметры!T$64</f>
        <v>0</v>
      </c>
      <c r="U325" s="138">
        <f ca="1">Проект!U990/ Параметры!U$64</f>
        <v>0</v>
      </c>
      <c r="V325" s="138">
        <f ca="1">Проект!V990/ Параметры!V$64</f>
        <v>0</v>
      </c>
      <c r="W325" s="138">
        <f ca="1">Проект!W990/ Параметры!W$64</f>
        <v>0</v>
      </c>
      <c r="X325" s="138">
        <f ca="1">Проект!X990/ Параметры!X$64</f>
        <v>0</v>
      </c>
      <c r="Y325" s="138">
        <f ca="1">Проект!Y990/ Параметры!Y$64</f>
        <v>0</v>
      </c>
      <c r="Z325" s="138">
        <f ca="1">Проект!Z990/ Параметры!Z$64</f>
        <v>0</v>
      </c>
      <c r="AA325" s="138">
        <f ca="1">Проект!AA990/ Параметры!AA$64</f>
        <v>0</v>
      </c>
      <c r="AB325" s="138">
        <f ca="1">Проект!AB990/ Параметры!AB$64</f>
        <v>0</v>
      </c>
      <c r="AC325" s="138">
        <f ca="1">Проект!AC990/ Параметры!AC$64</f>
        <v>0</v>
      </c>
      <c r="AD325" s="138">
        <f ca="1">Проект!AD990/ Параметры!AD$64</f>
        <v>0</v>
      </c>
      <c r="AE325" s="138">
        <f ca="1">Проект!AE990/ Параметры!AE$64</f>
        <v>0</v>
      </c>
      <c r="AF325" s="138">
        <f ca="1">Проект!AF990/ Параметры!AF$64</f>
        <v>0</v>
      </c>
      <c r="AG325" s="138">
        <f ca="1">Проект!AG990/ Параметры!AG$64</f>
        <v>0</v>
      </c>
      <c r="AH325" s="138">
        <f ca="1">Проект!AH990/ Параметры!AH$64</f>
        <v>0</v>
      </c>
      <c r="AI325" s="138">
        <f ca="1">Проект!AI990/ Параметры!AI$64</f>
        <v>0</v>
      </c>
      <c r="AJ325" s="138">
        <f ca="1">Проект!AJ990/ Параметры!AJ$64</f>
        <v>0</v>
      </c>
      <c r="AK325" s="138">
        <f ca="1">Проект!AK990/ Параметры!AK$64</f>
        <v>0</v>
      </c>
      <c r="AL325" s="138">
        <f ca="1">Проект!AL990/ Параметры!AL$64</f>
        <v>0</v>
      </c>
      <c r="AM325" s="138">
        <f ca="1">Проект!AM990/ Параметры!AM$64</f>
        <v>0</v>
      </c>
      <c r="AN325" s="138">
        <f ca="1">Проект!AN990/ Параметры!AN$64</f>
        <v>0</v>
      </c>
      <c r="AO325" s="138">
        <f ca="1">Проект!AO990/ Параметры!AO$64</f>
        <v>0</v>
      </c>
      <c r="AP325" s="138">
        <f ca="1">Проект!AP990/ Параметры!AP$64</f>
        <v>0</v>
      </c>
      <c r="AQ325" s="138">
        <f ca="1">Проект!AQ990/ Параметры!AQ$64</f>
        <v>0</v>
      </c>
      <c r="AR325" s="138">
        <f ca="1">Проект!AR990/ Параметры!AR$64</f>
        <v>0</v>
      </c>
      <c r="AS325" s="138">
        <f ca="1">Проект!AS990/ Параметры!AS$64</f>
        <v>0</v>
      </c>
      <c r="AT325" s="138">
        <f ca="1">Проект!AT990/ Параметры!AT$64</f>
        <v>0</v>
      </c>
      <c r="AU325" s="138">
        <f ca="1">Проект!AU990/ Параметры!AU$64</f>
        <v>0</v>
      </c>
      <c r="AV325" s="138">
        <f ca="1">Проект!AV990/ Параметры!AV$64</f>
        <v>0</v>
      </c>
      <c r="AW325" s="138"/>
      <c r="AX325" s="171">
        <f t="shared" ca="1" si="1116"/>
        <v>0</v>
      </c>
    </row>
    <row r="326" spans="1:50" collapsed="1" x14ac:dyDescent="0.2">
      <c r="A326" s="179" t="str">
        <f ca="1">Language!A$1444</f>
        <v>начисленный налог</v>
      </c>
      <c r="B326" s="227"/>
      <c r="C326" s="82" t="str">
        <f ca="1">Параметры!$C$64</f>
        <v>тыс. руб.</v>
      </c>
      <c r="D326" s="57"/>
      <c r="E326" s="57" t="s">
        <v>1599</v>
      </c>
      <c r="F326" s="57" t="s">
        <v>753</v>
      </c>
      <c r="G326" s="180">
        <f ca="1">Проект!G988 / Параметры!G$64</f>
        <v>0</v>
      </c>
      <c r="H326" s="180">
        <f ca="1">Проект!H988 / Параметры!H$64</f>
        <v>0</v>
      </c>
      <c r="I326" s="180">
        <f ca="1">Проект!I988 / Параметры!I$64</f>
        <v>0</v>
      </c>
      <c r="J326" s="180">
        <f ca="1">Проект!J988 / Параметры!J$64</f>
        <v>0</v>
      </c>
      <c r="K326" s="180">
        <f ca="1">Проект!K988 / Параметры!K$64</f>
        <v>0</v>
      </c>
      <c r="L326" s="180">
        <f ca="1">Проект!L988 / Параметры!L$64</f>
        <v>0</v>
      </c>
      <c r="M326" s="180">
        <f ca="1">Проект!M988 / Параметры!M$64</f>
        <v>0</v>
      </c>
      <c r="N326" s="180">
        <f ca="1">Проект!N988 / Параметры!N$64</f>
        <v>0</v>
      </c>
      <c r="O326" s="180">
        <f ca="1">Проект!O988 / Параметры!O$64</f>
        <v>0</v>
      </c>
      <c r="P326" s="180">
        <f ca="1">Проект!P988 / Параметры!P$64</f>
        <v>0</v>
      </c>
      <c r="Q326" s="180">
        <f ca="1">Проект!Q988 / Параметры!Q$64</f>
        <v>0</v>
      </c>
      <c r="R326" s="180">
        <f ca="1">Проект!R988 / Параметры!R$64</f>
        <v>0</v>
      </c>
      <c r="S326" s="180">
        <f ca="1">Проект!S988 / Параметры!S$64</f>
        <v>0</v>
      </c>
      <c r="T326" s="180">
        <f ca="1">Проект!T988 / Параметры!T$64</f>
        <v>0</v>
      </c>
      <c r="U326" s="180">
        <f ca="1">Проект!U988 / Параметры!U$64</f>
        <v>0</v>
      </c>
      <c r="V326" s="180">
        <f ca="1">Проект!V988 / Параметры!V$64</f>
        <v>0</v>
      </c>
      <c r="W326" s="180">
        <f ca="1">Проект!W988 / Параметры!W$64</f>
        <v>0</v>
      </c>
      <c r="X326" s="180">
        <f ca="1">Проект!X988 / Параметры!X$64</f>
        <v>0</v>
      </c>
      <c r="Y326" s="180">
        <f ca="1">Проект!Y988 / Параметры!Y$64</f>
        <v>0</v>
      </c>
      <c r="Z326" s="180">
        <f ca="1">Проект!Z988 / Параметры!Z$64</f>
        <v>0</v>
      </c>
      <c r="AA326" s="180">
        <f ca="1">Проект!AA988 / Параметры!AA$64</f>
        <v>0</v>
      </c>
      <c r="AB326" s="180">
        <f ca="1">Проект!AB988 / Параметры!AB$64</f>
        <v>0</v>
      </c>
      <c r="AC326" s="180">
        <f ca="1">Проект!AC988 / Параметры!AC$64</f>
        <v>0</v>
      </c>
      <c r="AD326" s="180">
        <f ca="1">Проект!AD988 / Параметры!AD$64</f>
        <v>0</v>
      </c>
      <c r="AE326" s="180">
        <f ca="1">Проект!AE988 / Параметры!AE$64</f>
        <v>0</v>
      </c>
      <c r="AF326" s="180">
        <f ca="1">Проект!AF988 / Параметры!AF$64</f>
        <v>0</v>
      </c>
      <c r="AG326" s="180">
        <f ca="1">Проект!AG988 / Параметры!AG$64</f>
        <v>0</v>
      </c>
      <c r="AH326" s="180">
        <f ca="1">Проект!AH988 / Параметры!AH$64</f>
        <v>0</v>
      </c>
      <c r="AI326" s="180">
        <f ca="1">Проект!AI988 / Параметры!AI$64</f>
        <v>0</v>
      </c>
      <c r="AJ326" s="180">
        <f ca="1">Проект!AJ988 / Параметры!AJ$64</f>
        <v>0</v>
      </c>
      <c r="AK326" s="180">
        <f ca="1">Проект!AK988 / Параметры!AK$64</f>
        <v>0</v>
      </c>
      <c r="AL326" s="180">
        <f ca="1">Проект!AL988 / Параметры!AL$64</f>
        <v>0</v>
      </c>
      <c r="AM326" s="180">
        <f ca="1">Проект!AM988 / Параметры!AM$64</f>
        <v>0</v>
      </c>
      <c r="AN326" s="180">
        <f ca="1">Проект!AN988 / Параметры!AN$64</f>
        <v>0</v>
      </c>
      <c r="AO326" s="180">
        <f ca="1">Проект!AO988 / Параметры!AO$64</f>
        <v>0</v>
      </c>
      <c r="AP326" s="180">
        <f ca="1">Проект!AP988 / Параметры!AP$64</f>
        <v>0</v>
      </c>
      <c r="AQ326" s="180">
        <f ca="1">Проект!AQ988 / Параметры!AQ$64</f>
        <v>0</v>
      </c>
      <c r="AR326" s="180">
        <f ca="1">Проект!AR988 / Параметры!AR$64</f>
        <v>0</v>
      </c>
      <c r="AS326" s="180">
        <f ca="1">Проект!AS988 / Параметры!AS$64</f>
        <v>0</v>
      </c>
      <c r="AT326" s="180">
        <f ca="1">Проект!AT988 / Параметры!AT$64</f>
        <v>0</v>
      </c>
      <c r="AU326" s="180">
        <f ca="1">Проект!AU988 / Параметры!AU$64</f>
        <v>0</v>
      </c>
      <c r="AV326" s="180">
        <f ca="1">Проект!AV988 / Параметры!AV$64</f>
        <v>0</v>
      </c>
      <c r="AW326" s="138"/>
      <c r="AX326" s="222">
        <f t="shared" ca="1" si="1116"/>
        <v>0</v>
      </c>
    </row>
    <row r="327" spans="1:50" hidden="1" outlineLevel="1" x14ac:dyDescent="0.2">
      <c r="A327" s="179" t="str">
        <f ca="1">Language!A$1165</f>
        <v>Прибыль до налогообложения</v>
      </c>
      <c r="B327" s="227"/>
      <c r="C327" s="82" t="str">
        <f ca="1">Параметры!$C$64</f>
        <v>тыс. руб.</v>
      </c>
      <c r="D327" s="57"/>
      <c r="E327" s="57" t="s">
        <v>1596</v>
      </c>
      <c r="F327" s="57" t="s">
        <v>753</v>
      </c>
      <c r="G327" s="180">
        <f ca="1">Проект!G991 / Параметры!G$64</f>
        <v>44331.827852965929</v>
      </c>
      <c r="H327" s="180">
        <f ca="1">Проект!H991 / Параметры!H$64</f>
        <v>-65844.354699052172</v>
      </c>
      <c r="I327" s="180">
        <f ca="1">Проект!I991 / Параметры!I$64</f>
        <v>-68094.765445202473</v>
      </c>
      <c r="J327" s="180">
        <f ca="1">Проект!J991 / Параметры!J$64</f>
        <v>-27775.456219787287</v>
      </c>
      <c r="K327" s="180">
        <f ca="1">Проект!K991 / Параметры!K$64</f>
        <v>141165.94905769132</v>
      </c>
      <c r="L327" s="180">
        <f ca="1">Проект!L991 / Параметры!L$64</f>
        <v>-5206.4373415209266</v>
      </c>
      <c r="M327" s="180">
        <f ca="1">Проект!M991 / Параметры!M$64</f>
        <v>-26679.054075166554</v>
      </c>
      <c r="N327" s="180">
        <f ca="1">Проект!N991 / Параметры!N$64</f>
        <v>12609.12601560584</v>
      </c>
      <c r="O327" s="180">
        <f ca="1">Проект!O991 / Параметры!O$64</f>
        <v>204300.59888039241</v>
      </c>
      <c r="P327" s="180">
        <f ca="1">Проект!P991 / Параметры!P$64</f>
        <v>37629.142706753541</v>
      </c>
      <c r="Q327" s="180">
        <f ca="1">Проект!Q991 / Параметры!Q$64</f>
        <v>19318.886940916083</v>
      </c>
      <c r="R327" s="180">
        <f ca="1">Проект!R991 / Параметры!R$64</f>
        <v>50157.46229993306</v>
      </c>
      <c r="S327" s="180">
        <f ca="1">Проект!S991 / Параметры!S$64</f>
        <v>242217.18710164522</v>
      </c>
      <c r="T327" s="180">
        <f ca="1">Проект!T991 / Параметры!T$64</f>
        <v>54078.615832384516</v>
      </c>
      <c r="U327" s="180">
        <f ca="1">Проект!U991 / Параметры!U$64</f>
        <v>38880.26044725765</v>
      </c>
      <c r="V327" s="180">
        <f ca="1">Проект!V991 / Параметры!V$64</f>
        <v>71966.121693495312</v>
      </c>
      <c r="W327" s="180">
        <f ca="1">Проект!W991 / Параметры!W$64</f>
        <v>276174.25425713346</v>
      </c>
      <c r="X327" s="180">
        <f ca="1">Проект!X991 / Параметры!X$64</f>
        <v>77305.554012828594</v>
      </c>
      <c r="Y327" s="180">
        <f ca="1">Проект!Y991 / Параметры!Y$64</f>
        <v>45935.670480929344</v>
      </c>
      <c r="Z327" s="180">
        <f ca="1">Проект!Z991 / Параметры!Z$64</f>
        <v>81003.273371679708</v>
      </c>
      <c r="AA327" s="180">
        <f ca="1">Проект!AA991 / Параметры!AA$64</f>
        <v>297460.36366345204</v>
      </c>
      <c r="AB327" s="180">
        <f ca="1">Проект!AB991 / Параметры!AB$64</f>
        <v>86655.888333450217</v>
      </c>
      <c r="AC327" s="180">
        <f ca="1">Проект!AC991 / Параметры!AC$64</f>
        <v>61574.517032483054</v>
      </c>
      <c r="AD327" s="180">
        <f ca="1">Проект!AD991 / Параметры!AD$64</f>
        <v>98877.108390776048</v>
      </c>
      <c r="AE327" s="180">
        <f ca="1">Проект!AE991 / Параметры!AE$64</f>
        <v>328454.59235590452</v>
      </c>
      <c r="AF327" s="180">
        <f ca="1">Проект!AF991 / Параметры!AF$64</f>
        <v>105136.8840507221</v>
      </c>
      <c r="AG327" s="180">
        <f ca="1">Проект!AG991 / Параметры!AG$64</f>
        <v>73512.862868337717</v>
      </c>
      <c r="AH327" s="180">
        <f ca="1">Проект!AH991 / Параметры!AH$64</f>
        <v>113107.53020916408</v>
      </c>
      <c r="AI327" s="180">
        <f ca="1">Проект!AI991 / Параметры!AI$64</f>
        <v>356514.37642216019</v>
      </c>
      <c r="AJ327" s="180">
        <f ca="1">Проект!AJ991 / Параметры!AJ$64</f>
        <v>119853.12318848165</v>
      </c>
      <c r="AK327" s="180">
        <f ca="1">Проект!AK991 / Параметры!AK$64</f>
        <v>83265.785889333158</v>
      </c>
      <c r="AL327" s="180">
        <f ca="1">Проект!AL991 / Параметры!AL$64</f>
        <v>125241.7967112547</v>
      </c>
      <c r="AM327" s="180">
        <f ca="1">Проект!AM991 / Параметры!AM$64</f>
        <v>382713.42870513449</v>
      </c>
      <c r="AN327" s="180">
        <f ca="1">Проект!AN991 / Параметры!AN$64</f>
        <v>131300.85316165673</v>
      </c>
      <c r="AO327" s="180">
        <f ca="1">Проект!AO991 / Параметры!AO$64</f>
        <v>92869.355770272232</v>
      </c>
      <c r="AP327" s="180">
        <f ca="1">Проект!AP991 / Параметры!AP$64</f>
        <v>136977.70430149656</v>
      </c>
      <c r="AQ327" s="180">
        <f ca="1">Проект!AQ991 / Параметры!AQ$64</f>
        <v>479080.91474479472</v>
      </c>
      <c r="AR327" s="180">
        <f ca="1">Проект!AR991 / Параметры!AR$64</f>
        <v>212576.73410545464</v>
      </c>
      <c r="AS327" s="180">
        <f ca="1">Проект!AS991 / Параметры!AS$64</f>
        <v>145686.83895247825</v>
      </c>
      <c r="AT327" s="180">
        <f ca="1">Проект!AT991 / Параметры!AT$64</f>
        <v>192050.97943010391</v>
      </c>
      <c r="AU327" s="180">
        <f ca="1">Проект!AU991 / Параметры!AU$64</f>
        <v>487064.22685669246</v>
      </c>
      <c r="AV327" s="180">
        <f ca="1">Проект!AV991 / Параметры!AV$64</f>
        <v>204167.53587886912</v>
      </c>
      <c r="AW327" s="138"/>
      <c r="AX327" s="222">
        <f t="shared" ca="1" si="1116"/>
        <v>5517617.2641933551</v>
      </c>
    </row>
    <row r="328" spans="1:50" hidden="1" outlineLevel="1" x14ac:dyDescent="0.2">
      <c r="A328" s="179" t="str">
        <f ca="1">Language!A$1153</f>
        <v>задолженность по налогу</v>
      </c>
      <c r="B328" s="227"/>
      <c r="C328" s="82" t="str">
        <f ca="1">Параметры!$C$64</f>
        <v>тыс. руб.</v>
      </c>
      <c r="D328" s="57"/>
      <c r="E328" s="57" t="s">
        <v>1614</v>
      </c>
      <c r="F328" s="57" t="s">
        <v>754</v>
      </c>
      <c r="G328" s="180">
        <f ca="1">Проект!G989/ Параметры!G$64</f>
        <v>0</v>
      </c>
      <c r="H328" s="180">
        <f ca="1">Проект!H989/ Параметры!H$64</f>
        <v>0</v>
      </c>
      <c r="I328" s="180">
        <f ca="1">Проект!I989/ Параметры!I$64</f>
        <v>0</v>
      </c>
      <c r="J328" s="180">
        <f ca="1">Проект!J989/ Параметры!J$64</f>
        <v>0</v>
      </c>
      <c r="K328" s="180">
        <f ca="1">Проект!K989/ Параметры!K$64</f>
        <v>0</v>
      </c>
      <c r="L328" s="180">
        <f ca="1">Проект!L989/ Параметры!L$64</f>
        <v>0</v>
      </c>
      <c r="M328" s="180">
        <f ca="1">Проект!M989/ Параметры!M$64</f>
        <v>0</v>
      </c>
      <c r="N328" s="180">
        <f ca="1">Проект!N989/ Параметры!N$64</f>
        <v>0</v>
      </c>
      <c r="O328" s="180">
        <f ca="1">Проект!O989/ Параметры!O$64</f>
        <v>0</v>
      </c>
      <c r="P328" s="180">
        <f ca="1">Проект!P989/ Параметры!P$64</f>
        <v>0</v>
      </c>
      <c r="Q328" s="180">
        <f ca="1">Проект!Q989/ Параметры!Q$64</f>
        <v>0</v>
      </c>
      <c r="R328" s="180">
        <f ca="1">Проект!R989/ Параметры!R$64</f>
        <v>0</v>
      </c>
      <c r="S328" s="180">
        <f ca="1">Проект!S989/ Параметры!S$64</f>
        <v>0</v>
      </c>
      <c r="T328" s="180">
        <f ca="1">Проект!T989/ Параметры!T$64</f>
        <v>0</v>
      </c>
      <c r="U328" s="180">
        <f ca="1">Проект!U989/ Параметры!U$64</f>
        <v>0</v>
      </c>
      <c r="V328" s="180">
        <f ca="1">Проект!V989/ Параметры!V$64</f>
        <v>0</v>
      </c>
      <c r="W328" s="180">
        <f ca="1">Проект!W989/ Параметры!W$64</f>
        <v>0</v>
      </c>
      <c r="X328" s="180">
        <f ca="1">Проект!X989/ Параметры!X$64</f>
        <v>0</v>
      </c>
      <c r="Y328" s="180">
        <f ca="1">Проект!Y989/ Параметры!Y$64</f>
        <v>0</v>
      </c>
      <c r="Z328" s="180">
        <f ca="1">Проект!Z989/ Параметры!Z$64</f>
        <v>0</v>
      </c>
      <c r="AA328" s="180">
        <f ca="1">Проект!AA989/ Параметры!AA$64</f>
        <v>0</v>
      </c>
      <c r="AB328" s="180">
        <f ca="1">Проект!AB989/ Параметры!AB$64</f>
        <v>0</v>
      </c>
      <c r="AC328" s="180">
        <f ca="1">Проект!AC989/ Параметры!AC$64</f>
        <v>0</v>
      </c>
      <c r="AD328" s="180">
        <f ca="1">Проект!AD989/ Параметры!AD$64</f>
        <v>0</v>
      </c>
      <c r="AE328" s="180">
        <f ca="1">Проект!AE989/ Параметры!AE$64</f>
        <v>0</v>
      </c>
      <c r="AF328" s="180">
        <f ca="1">Проект!AF989/ Параметры!AF$64</f>
        <v>0</v>
      </c>
      <c r="AG328" s="180">
        <f ca="1">Проект!AG989/ Параметры!AG$64</f>
        <v>0</v>
      </c>
      <c r="AH328" s="180">
        <f ca="1">Проект!AH989/ Параметры!AH$64</f>
        <v>0</v>
      </c>
      <c r="AI328" s="180">
        <f ca="1">Проект!AI989/ Параметры!AI$64</f>
        <v>0</v>
      </c>
      <c r="AJ328" s="180">
        <f ca="1">Проект!AJ989/ Параметры!AJ$64</f>
        <v>0</v>
      </c>
      <c r="AK328" s="180">
        <f ca="1">Проект!AK989/ Параметры!AK$64</f>
        <v>0</v>
      </c>
      <c r="AL328" s="180">
        <f ca="1">Проект!AL989/ Параметры!AL$64</f>
        <v>0</v>
      </c>
      <c r="AM328" s="180">
        <f ca="1">Проект!AM989/ Параметры!AM$64</f>
        <v>0</v>
      </c>
      <c r="AN328" s="180">
        <f ca="1">Проект!AN989/ Параметры!AN$64</f>
        <v>0</v>
      </c>
      <c r="AO328" s="180">
        <f ca="1">Проект!AO989/ Параметры!AO$64</f>
        <v>0</v>
      </c>
      <c r="AP328" s="180">
        <f ca="1">Проект!AP989/ Параметры!AP$64</f>
        <v>0</v>
      </c>
      <c r="AQ328" s="180">
        <f ca="1">Проект!AQ989/ Параметры!AQ$64</f>
        <v>0</v>
      </c>
      <c r="AR328" s="180">
        <f ca="1">Проект!AR989/ Параметры!AR$64</f>
        <v>0</v>
      </c>
      <c r="AS328" s="180">
        <f ca="1">Проект!AS989/ Параметры!AS$64</f>
        <v>0</v>
      </c>
      <c r="AT328" s="180">
        <f ca="1">Проект!AT989/ Параметры!AT$64</f>
        <v>0</v>
      </c>
      <c r="AU328" s="180">
        <f ca="1">Проект!AU989/ Параметры!AU$64</f>
        <v>0</v>
      </c>
      <c r="AV328" s="180">
        <f ca="1">Проект!AV989/ Параметры!AV$64</f>
        <v>0</v>
      </c>
      <c r="AW328" s="138"/>
      <c r="AX328" s="222"/>
    </row>
    <row r="329" spans="1:50" collapsed="1" x14ac:dyDescent="0.2">
      <c r="A329" s="65" t="str">
        <f ca="1">Language!A1389</f>
        <v>Налог на имущество</v>
      </c>
      <c r="B329" s="227"/>
      <c r="C329" s="130" t="str">
        <f ca="1">Параметры!$C$64</f>
        <v>тыс. руб.</v>
      </c>
      <c r="D329" s="57"/>
      <c r="E329" s="57" t="s">
        <v>1606</v>
      </c>
      <c r="F329" s="57" t="s">
        <v>753</v>
      </c>
      <c r="G329" s="138">
        <f ca="1">Проект!G978/ Параметры!G$64</f>
        <v>0</v>
      </c>
      <c r="H329" s="138">
        <f ca="1">Проект!H978/ Параметры!H$64</f>
        <v>0</v>
      </c>
      <c r="I329" s="138">
        <f ca="1">Проект!I978/ Параметры!I$64</f>
        <v>0</v>
      </c>
      <c r="J329" s="138">
        <f ca="1">Проект!J978/ Параметры!J$64</f>
        <v>0</v>
      </c>
      <c r="K329" s="138">
        <f ca="1">Проект!K978/ Параметры!K$64</f>
        <v>0</v>
      </c>
      <c r="L329" s="138">
        <f ca="1">Проект!L978/ Параметры!L$64</f>
        <v>0</v>
      </c>
      <c r="M329" s="138">
        <f ca="1">Проект!M978/ Параметры!M$64</f>
        <v>0</v>
      </c>
      <c r="N329" s="138">
        <f ca="1">Проект!N978/ Параметры!N$64</f>
        <v>0</v>
      </c>
      <c r="O329" s="138">
        <f ca="1">Проект!O978/ Параметры!O$64</f>
        <v>0</v>
      </c>
      <c r="P329" s="138">
        <f ca="1">Проект!P978/ Параметры!P$64</f>
        <v>0</v>
      </c>
      <c r="Q329" s="138">
        <f ca="1">Проект!Q978/ Параметры!Q$64</f>
        <v>0</v>
      </c>
      <c r="R329" s="138">
        <f ca="1">Проект!R978/ Параметры!R$64</f>
        <v>0</v>
      </c>
      <c r="S329" s="138">
        <f ca="1">Проект!S978/ Параметры!S$64</f>
        <v>0</v>
      </c>
      <c r="T329" s="138">
        <f ca="1">Проект!T978/ Параметры!T$64</f>
        <v>0</v>
      </c>
      <c r="U329" s="138">
        <f ca="1">Проект!U978/ Параметры!U$64</f>
        <v>0</v>
      </c>
      <c r="V329" s="138">
        <f ca="1">Проект!V978/ Параметры!V$64</f>
        <v>0</v>
      </c>
      <c r="W329" s="138">
        <f ca="1">Проект!W978/ Параметры!W$64</f>
        <v>0</v>
      </c>
      <c r="X329" s="138">
        <f ca="1">Проект!X978/ Параметры!X$64</f>
        <v>0</v>
      </c>
      <c r="Y329" s="138">
        <f ca="1">Проект!Y978/ Параметры!Y$64</f>
        <v>0</v>
      </c>
      <c r="Z329" s="138">
        <f ca="1">Проект!Z978/ Параметры!Z$64</f>
        <v>0</v>
      </c>
      <c r="AA329" s="138">
        <f ca="1">Проект!AA978/ Параметры!AA$64</f>
        <v>0</v>
      </c>
      <c r="AB329" s="138">
        <f ca="1">Проект!AB978/ Параметры!AB$64</f>
        <v>0</v>
      </c>
      <c r="AC329" s="138">
        <f ca="1">Проект!AC978/ Параметры!AC$64</f>
        <v>0</v>
      </c>
      <c r="AD329" s="138">
        <f ca="1">Проект!AD978/ Параметры!AD$64</f>
        <v>0</v>
      </c>
      <c r="AE329" s="138">
        <f ca="1">Проект!AE978/ Параметры!AE$64</f>
        <v>0</v>
      </c>
      <c r="AF329" s="138">
        <f ca="1">Проект!AF978/ Параметры!AF$64</f>
        <v>0</v>
      </c>
      <c r="AG329" s="138">
        <f ca="1">Проект!AG978/ Параметры!AG$64</f>
        <v>0</v>
      </c>
      <c r="AH329" s="138">
        <f ca="1">Проект!AH978/ Параметры!AH$64</f>
        <v>0</v>
      </c>
      <c r="AI329" s="138">
        <f ca="1">Проект!AI978/ Параметры!AI$64</f>
        <v>0</v>
      </c>
      <c r="AJ329" s="138">
        <f ca="1">Проект!AJ978/ Параметры!AJ$64</f>
        <v>0</v>
      </c>
      <c r="AK329" s="138">
        <f ca="1">Проект!AK978/ Параметры!AK$64</f>
        <v>0</v>
      </c>
      <c r="AL329" s="138">
        <f ca="1">Проект!AL978/ Параметры!AL$64</f>
        <v>0</v>
      </c>
      <c r="AM329" s="138">
        <f ca="1">Проект!AM978/ Параметры!AM$64</f>
        <v>0</v>
      </c>
      <c r="AN329" s="138">
        <f ca="1">Проект!AN978/ Параметры!AN$64</f>
        <v>0</v>
      </c>
      <c r="AO329" s="138">
        <f ca="1">Проект!AO978/ Параметры!AO$64</f>
        <v>0</v>
      </c>
      <c r="AP329" s="138">
        <f ca="1">Проект!AP978/ Параметры!AP$64</f>
        <v>0</v>
      </c>
      <c r="AQ329" s="138">
        <f ca="1">Проект!AQ978/ Параметры!AQ$64</f>
        <v>0</v>
      </c>
      <c r="AR329" s="138">
        <f ca="1">Проект!AR978/ Параметры!AR$64</f>
        <v>0</v>
      </c>
      <c r="AS329" s="138">
        <f ca="1">Проект!AS978/ Параметры!AS$64</f>
        <v>0</v>
      </c>
      <c r="AT329" s="138">
        <f ca="1">Проект!AT978/ Параметры!AT$64</f>
        <v>0</v>
      </c>
      <c r="AU329" s="138">
        <f ca="1">Проект!AU978/ Параметры!AU$64</f>
        <v>0</v>
      </c>
      <c r="AV329" s="138">
        <f ca="1">Проект!AV978/ Параметры!AV$64</f>
        <v>0</v>
      </c>
      <c r="AW329" s="138"/>
      <c r="AX329" s="171">
        <f t="shared" ref="AX329:AX337" ca="1" si="1117">SUM(G329:AW329)</f>
        <v>0</v>
      </c>
    </row>
    <row r="330" spans="1:50" hidden="1" outlineLevel="1" x14ac:dyDescent="0.2">
      <c r="A330" s="179" t="str">
        <f ca="1">Language!A$1444</f>
        <v>начисленный налог</v>
      </c>
      <c r="B330" s="227"/>
      <c r="C330" s="82" t="str">
        <f ca="1">Параметры!$C$64</f>
        <v>тыс. руб.</v>
      </c>
      <c r="D330" s="57"/>
      <c r="E330" s="57"/>
      <c r="F330" s="57" t="s">
        <v>753</v>
      </c>
      <c r="G330" s="180">
        <f ca="1">Проект!G976 / Параметры!G$64</f>
        <v>0</v>
      </c>
      <c r="H330" s="180">
        <f ca="1">Проект!H976 / Параметры!H$64</f>
        <v>0</v>
      </c>
      <c r="I330" s="180">
        <f ca="1">Проект!I976 / Параметры!I$64</f>
        <v>0</v>
      </c>
      <c r="J330" s="180">
        <f ca="1">Проект!J976 / Параметры!J$64</f>
        <v>0</v>
      </c>
      <c r="K330" s="180">
        <f ca="1">Проект!K976 / Параметры!K$64</f>
        <v>0</v>
      </c>
      <c r="L330" s="180">
        <f ca="1">Проект!L976 / Параметры!L$64</f>
        <v>0</v>
      </c>
      <c r="M330" s="180">
        <f ca="1">Проект!M976 / Параметры!M$64</f>
        <v>0</v>
      </c>
      <c r="N330" s="180">
        <f ca="1">Проект!N976 / Параметры!N$64</f>
        <v>0</v>
      </c>
      <c r="O330" s="180">
        <f ca="1">Проект!O976 / Параметры!O$64</f>
        <v>0</v>
      </c>
      <c r="P330" s="180">
        <f ca="1">Проект!P976 / Параметры!P$64</f>
        <v>0</v>
      </c>
      <c r="Q330" s="180">
        <f ca="1">Проект!Q976 / Параметры!Q$64</f>
        <v>0</v>
      </c>
      <c r="R330" s="180">
        <f ca="1">Проект!R976 / Параметры!R$64</f>
        <v>0</v>
      </c>
      <c r="S330" s="180">
        <f ca="1">Проект!S976 / Параметры!S$64</f>
        <v>0</v>
      </c>
      <c r="T330" s="180">
        <f ca="1">Проект!T976 / Параметры!T$64</f>
        <v>0</v>
      </c>
      <c r="U330" s="180">
        <f ca="1">Проект!U976 / Параметры!U$64</f>
        <v>0</v>
      </c>
      <c r="V330" s="180">
        <f ca="1">Проект!V976 / Параметры!V$64</f>
        <v>0</v>
      </c>
      <c r="W330" s="180">
        <f ca="1">Проект!W976 / Параметры!W$64</f>
        <v>0</v>
      </c>
      <c r="X330" s="180">
        <f ca="1">Проект!X976 / Параметры!X$64</f>
        <v>0</v>
      </c>
      <c r="Y330" s="180">
        <f ca="1">Проект!Y976 / Параметры!Y$64</f>
        <v>0</v>
      </c>
      <c r="Z330" s="180">
        <f ca="1">Проект!Z976 / Параметры!Z$64</f>
        <v>0</v>
      </c>
      <c r="AA330" s="180">
        <f ca="1">Проект!AA976 / Параметры!AA$64</f>
        <v>0</v>
      </c>
      <c r="AB330" s="180">
        <f ca="1">Проект!AB976 / Параметры!AB$64</f>
        <v>0</v>
      </c>
      <c r="AC330" s="180">
        <f ca="1">Проект!AC976 / Параметры!AC$64</f>
        <v>0</v>
      </c>
      <c r="AD330" s="180">
        <f ca="1">Проект!AD976 / Параметры!AD$64</f>
        <v>0</v>
      </c>
      <c r="AE330" s="180">
        <f ca="1">Проект!AE976 / Параметры!AE$64</f>
        <v>0</v>
      </c>
      <c r="AF330" s="180">
        <f ca="1">Проект!AF976 / Параметры!AF$64</f>
        <v>0</v>
      </c>
      <c r="AG330" s="180">
        <f ca="1">Проект!AG976 / Параметры!AG$64</f>
        <v>0</v>
      </c>
      <c r="AH330" s="180">
        <f ca="1">Проект!AH976 / Параметры!AH$64</f>
        <v>0</v>
      </c>
      <c r="AI330" s="180">
        <f ca="1">Проект!AI976 / Параметры!AI$64</f>
        <v>0</v>
      </c>
      <c r="AJ330" s="180">
        <f ca="1">Проект!AJ976 / Параметры!AJ$64</f>
        <v>0</v>
      </c>
      <c r="AK330" s="180">
        <f ca="1">Проект!AK976 / Параметры!AK$64</f>
        <v>0</v>
      </c>
      <c r="AL330" s="180">
        <f ca="1">Проект!AL976 / Параметры!AL$64</f>
        <v>0</v>
      </c>
      <c r="AM330" s="180">
        <f ca="1">Проект!AM976 / Параметры!AM$64</f>
        <v>0</v>
      </c>
      <c r="AN330" s="180">
        <f ca="1">Проект!AN976 / Параметры!AN$64</f>
        <v>0</v>
      </c>
      <c r="AO330" s="180">
        <f ca="1">Проект!AO976 / Параметры!AO$64</f>
        <v>0</v>
      </c>
      <c r="AP330" s="180">
        <f ca="1">Проект!AP976 / Параметры!AP$64</f>
        <v>0</v>
      </c>
      <c r="AQ330" s="180">
        <f ca="1">Проект!AQ976 / Параметры!AQ$64</f>
        <v>0</v>
      </c>
      <c r="AR330" s="180">
        <f ca="1">Проект!AR976 / Параметры!AR$64</f>
        <v>0</v>
      </c>
      <c r="AS330" s="180">
        <f ca="1">Проект!AS976 / Параметры!AS$64</f>
        <v>0</v>
      </c>
      <c r="AT330" s="180">
        <f ca="1">Проект!AT976 / Параметры!AT$64</f>
        <v>0</v>
      </c>
      <c r="AU330" s="180">
        <f ca="1">Проект!AU976 / Параметры!AU$64</f>
        <v>0</v>
      </c>
      <c r="AV330" s="180">
        <f ca="1">Проект!AV976 / Параметры!AV$64</f>
        <v>0</v>
      </c>
      <c r="AW330" s="138"/>
      <c r="AX330" s="222">
        <f t="shared" ca="1" si="1117"/>
        <v>0</v>
      </c>
    </row>
    <row r="331" spans="1:50" collapsed="1" x14ac:dyDescent="0.2">
      <c r="A331" s="65" t="str">
        <f ca="1">Language!A1390</f>
        <v>Социальные взносы</v>
      </c>
      <c r="B331" s="227"/>
      <c r="C331" s="130" t="str">
        <f ca="1">Параметры!$C$64</f>
        <v>тыс. руб.</v>
      </c>
      <c r="D331" s="57"/>
      <c r="E331" s="57" t="s">
        <v>1607</v>
      </c>
      <c r="F331" s="57" t="s">
        <v>753</v>
      </c>
      <c r="G331" s="138">
        <f ca="1">Проект!G986/ Параметры!G$64</f>
        <v>4284</v>
      </c>
      <c r="H331" s="138">
        <f ca="1">Проект!H986/ Параметры!H$64</f>
        <v>6488.8627569865366</v>
      </c>
      <c r="I331" s="138">
        <f ca="1">Проект!I986/ Параметры!I$64</f>
        <v>7466.2089213718682</v>
      </c>
      <c r="J331" s="138">
        <f ca="1">Проект!J986/ Параметры!J$64</f>
        <v>8016.8317177870331</v>
      </c>
      <c r="K331" s="138">
        <f ca="1">Проект!K986/ Параметры!K$64</f>
        <v>8134.4694731738673</v>
      </c>
      <c r="L331" s="138">
        <f ca="1">Проект!L986/ Параметры!L$64</f>
        <v>8253.8334268868748</v>
      </c>
      <c r="M331" s="138">
        <f ca="1">Проект!M986/ Параметры!M$64</f>
        <v>8952.4843407794469</v>
      </c>
      <c r="N331" s="138">
        <f ca="1">Проект!N986/ Параметры!N$64</f>
        <v>9372.6194347657201</v>
      </c>
      <c r="O331" s="138">
        <f ca="1">Проект!O986/ Параметры!O$64</f>
        <v>9510.1518105488612</v>
      </c>
      <c r="P331" s="138">
        <f ca="1">Проект!P986/ Параметры!P$64</f>
        <v>9649.7023152574511</v>
      </c>
      <c r="Q331" s="138">
        <f ca="1">Проект!Q986/ Параметры!Q$64</f>
        <v>9791.3005626048925</v>
      </c>
      <c r="R331" s="138">
        <f ca="1">Проект!R986/ Параметры!R$64</f>
        <v>9934.9766008516654</v>
      </c>
      <c r="S331" s="138">
        <f ca="1">Проект!S986/ Параметры!S$64</f>
        <v>10080.760919181794</v>
      </c>
      <c r="T331" s="138">
        <f ca="1">Проект!T986/ Параметры!T$64</f>
        <v>10228.684454172897</v>
      </c>
      <c r="U331" s="138">
        <f ca="1">Проект!U986/ Параметры!U$64</f>
        <v>10378.77859636119</v>
      </c>
      <c r="V331" s="138">
        <f ca="1">Проект!V986/ Параметры!V$64</f>
        <v>10531.075196902764</v>
      </c>
      <c r="W331" s="138">
        <f ca="1">Проект!W986/ Параметры!W$64</f>
        <v>10685.6065743327</v>
      </c>
      <c r="X331" s="138">
        <f ca="1">Проект!X986/ Параметры!X$64</f>
        <v>10842.405521423272</v>
      </c>
      <c r="Y331" s="138">
        <f ca="1">Проект!Y986/ Параметры!Y$64</f>
        <v>11001.505312142861</v>
      </c>
      <c r="Z331" s="138">
        <f ca="1">Проект!Z986/ Параметры!Z$64</f>
        <v>11162.939708716935</v>
      </c>
      <c r="AA331" s="138">
        <f ca="1">Проект!AA986/ Параметры!AA$64</f>
        <v>11326.742968792663</v>
      </c>
      <c r="AB331" s="138">
        <f ca="1">Проект!AB986/ Параметры!AB$64</f>
        <v>11492.949852708671</v>
      </c>
      <c r="AC331" s="138">
        <f ca="1">Проект!AC986/ Параметры!AC$64</f>
        <v>11661.595630871434</v>
      </c>
      <c r="AD331" s="138">
        <f ca="1">Проект!AD986/ Параметры!AD$64</f>
        <v>11832.71609123995</v>
      </c>
      <c r="AE331" s="138">
        <f ca="1">Проект!AE986/ Параметры!AE$64</f>
        <v>12006.347546920224</v>
      </c>
      <c r="AF331" s="138">
        <f ca="1">Проект!AF986/ Параметры!AF$64</f>
        <v>12182.526843871192</v>
      </c>
      <c r="AG331" s="138">
        <f ca="1">Проект!AG986/ Параметры!AG$64</f>
        <v>12361.29136872372</v>
      </c>
      <c r="AH331" s="138">
        <f ca="1">Проект!AH986/ Параметры!AH$64</f>
        <v>12542.679056714347</v>
      </c>
      <c r="AI331" s="138">
        <f ca="1">Проект!AI986/ Параметры!AI$64</f>
        <v>12726.728399735439</v>
      </c>
      <c r="AJ331" s="138">
        <f ca="1">Проект!AJ986/ Параметры!AJ$64</f>
        <v>12913.478454503464</v>
      </c>
      <c r="AK331" s="138">
        <f ca="1">Проект!AK986/ Параметры!AK$64</f>
        <v>13102.968850847144</v>
      </c>
      <c r="AL331" s="138">
        <f ca="1">Проект!AL986/ Параметры!AL$64</f>
        <v>13295.239800117208</v>
      </c>
      <c r="AM331" s="138">
        <f ca="1">Проект!AM986/ Параметры!AM$64</f>
        <v>13490.332103719567</v>
      </c>
      <c r="AN331" s="138">
        <f ca="1">Проект!AN986/ Параметры!AN$64</f>
        <v>13688.287161773673</v>
      </c>
      <c r="AO331" s="138">
        <f ca="1">Проект!AO986/ Параметры!AO$64</f>
        <v>13889.146981897975</v>
      </c>
      <c r="AP331" s="138">
        <f ca="1">Проект!AP986/ Параметры!AP$64</f>
        <v>14092.954188124242</v>
      </c>
      <c r="AQ331" s="138">
        <f ca="1">Проект!AQ986/ Параметры!AQ$64</f>
        <v>14299.752029942742</v>
      </c>
      <c r="AR331" s="138">
        <f ca="1">Проект!AR986/ Параметры!AR$64</f>
        <v>14509.584391480093</v>
      </c>
      <c r="AS331" s="138">
        <f ca="1">Проект!AS986/ Параметры!AS$64</f>
        <v>14722.495800811856</v>
      </c>
      <c r="AT331" s="138">
        <f ca="1">Проект!AT986/ Параметры!AT$64</f>
        <v>14938.531439411701</v>
      </c>
      <c r="AU331" s="138">
        <f ca="1">Проект!AU986/ Параметры!AU$64</f>
        <v>15157.737151739308</v>
      </c>
      <c r="AV331" s="138">
        <f ca="1">Проект!AV986/ Параметры!AV$64</f>
        <v>15380.159454968903</v>
      </c>
      <c r="AW331" s="138"/>
      <c r="AX331" s="171">
        <f t="shared" ca="1" si="1117"/>
        <v>476381.44321316411</v>
      </c>
    </row>
    <row r="332" spans="1:50" hidden="1" outlineLevel="1" x14ac:dyDescent="0.2">
      <c r="A332" s="179" t="str">
        <f ca="1">Language!A$1444</f>
        <v>начисленный налог</v>
      </c>
      <c r="B332" s="227"/>
      <c r="C332" s="82" t="str">
        <f ca="1">Параметры!$C$64</f>
        <v>тыс. руб.</v>
      </c>
      <c r="D332" s="57"/>
      <c r="E332" s="57"/>
      <c r="F332" s="57" t="s">
        <v>753</v>
      </c>
      <c r="G332" s="180">
        <f ca="1">Проект!G984 / Параметры!G$64</f>
        <v>6426.0000000000009</v>
      </c>
      <c r="H332" s="180">
        <f ca="1">Проект!H984 / Параметры!H$64</f>
        <v>6520.2941354798049</v>
      </c>
      <c r="I332" s="180">
        <f ca="1">Проект!I984 / Параметры!I$64</f>
        <v>7939.1663143178994</v>
      </c>
      <c r="J332" s="180">
        <f ca="1">Проект!J984 / Параметры!J$64</f>
        <v>8055.6644195216004</v>
      </c>
      <c r="K332" s="180">
        <f ca="1">Проект!K984 / Параметры!K$64</f>
        <v>8173.8720000000003</v>
      </c>
      <c r="L332" s="180">
        <f ca="1">Проект!L984 / Параметры!L$64</f>
        <v>8293.8141403303125</v>
      </c>
      <c r="M332" s="180">
        <f ca="1">Проект!M984 / Параметры!M$64</f>
        <v>9281.8194410040123</v>
      </c>
      <c r="N332" s="180">
        <f ca="1">Проект!N984 / Параметры!N$64</f>
        <v>9418.019431646575</v>
      </c>
      <c r="O332" s="180">
        <f ca="1">Проект!O984 / Параметры!O$64</f>
        <v>9556.2180000000026</v>
      </c>
      <c r="P332" s="180">
        <f ca="1">Проект!P984 / Параметры!P$64</f>
        <v>9696.4444728861745</v>
      </c>
      <c r="Q332" s="180">
        <f ca="1">Проект!Q984 / Параметры!Q$64</f>
        <v>9838.7286074642525</v>
      </c>
      <c r="R332" s="180">
        <f ca="1">Проект!R984 / Параметры!R$64</f>
        <v>9983.1005975453718</v>
      </c>
      <c r="S332" s="180">
        <f ca="1">Проект!S984 / Параметры!S$64</f>
        <v>10129.591080000002</v>
      </c>
      <c r="T332" s="180">
        <f ca="1">Проект!T984 / Параметры!T$64</f>
        <v>10278.231141259346</v>
      </c>
      <c r="U332" s="180">
        <f ca="1">Проект!U984 / Параметры!U$64</f>
        <v>10429.05232391211</v>
      </c>
      <c r="V332" s="180">
        <f ca="1">Проект!V984 / Параметры!V$64</f>
        <v>10582.086633398092</v>
      </c>
      <c r="W332" s="180">
        <f ca="1">Проект!W984 / Параметры!W$64</f>
        <v>10737.366544800003</v>
      </c>
      <c r="X332" s="180">
        <f ca="1">Проект!X984 / Параметры!X$64</f>
        <v>10894.925009734907</v>
      </c>
      <c r="Y332" s="180">
        <f ca="1">Проект!Y984 / Параметры!Y$64</f>
        <v>11054.795463346836</v>
      </c>
      <c r="Z332" s="180">
        <f ca="1">Проект!Z984 / Параметры!Z$64</f>
        <v>11217.011831401982</v>
      </c>
      <c r="AA332" s="180">
        <f ca="1">Проект!AA984 / Параметры!AA$64</f>
        <v>11381.608537488004</v>
      </c>
      <c r="AB332" s="180">
        <f ca="1">Проект!AB984 / Параметры!AB$64</f>
        <v>11548.620510319004</v>
      </c>
      <c r="AC332" s="180">
        <f ca="1">Проект!AC984 / Параметры!AC$64</f>
        <v>11718.083191147649</v>
      </c>
      <c r="AD332" s="180">
        <f ca="1">Проект!AD984 / Параметры!AD$64</f>
        <v>11890.0325412861</v>
      </c>
      <c r="AE332" s="180">
        <f ca="1">Проект!AE984 / Параметры!AE$64</f>
        <v>12064.505049737285</v>
      </c>
      <c r="AF332" s="180">
        <f ca="1">Проект!AF984 / Параметры!AF$64</f>
        <v>12241.537740938145</v>
      </c>
      <c r="AG332" s="180">
        <f ca="1">Проект!AG984 / Параметры!AG$64</f>
        <v>12421.168182616506</v>
      </c>
      <c r="AH332" s="180">
        <f ca="1">Проект!AH984 / Параметры!AH$64</f>
        <v>12603.434493763269</v>
      </c>
      <c r="AI332" s="180">
        <f ca="1">Проект!AI984 / Параметры!AI$64</f>
        <v>12788.375352721525</v>
      </c>
      <c r="AJ332" s="180">
        <f ca="1">Проект!AJ984 / Параметры!AJ$64</f>
        <v>12976.030005394434</v>
      </c>
      <c r="AK332" s="180">
        <f ca="1">Проект!AK984 / Параметры!AK$64</f>
        <v>13166.438273573498</v>
      </c>
      <c r="AL332" s="180">
        <f ca="1">Проект!AL984 / Параметры!AL$64</f>
        <v>13359.640563389064</v>
      </c>
      <c r="AM332" s="180">
        <f ca="1">Проект!AM984 / Параметры!AM$64</f>
        <v>13555.677873884817</v>
      </c>
      <c r="AN332" s="180">
        <f ca="1">Проект!AN984 / Параметры!AN$64</f>
        <v>13754.591805718101</v>
      </c>
      <c r="AO332" s="180">
        <f ca="1">Проект!AO984 / Параметры!AO$64</f>
        <v>13956.42456998791</v>
      </c>
      <c r="AP332" s="180">
        <f ca="1">Проект!AP984 / Параметры!AP$64</f>
        <v>14161.218997192409</v>
      </c>
      <c r="AQ332" s="180">
        <f ca="1">Проект!AQ984 / Параметры!AQ$64</f>
        <v>14369.018546317906</v>
      </c>
      <c r="AR332" s="180">
        <f ca="1">Проект!AR984 / Параметры!AR$64</f>
        <v>14579.867314061188</v>
      </c>
      <c r="AS332" s="180">
        <f ca="1">Проект!AS984 / Параметры!AS$64</f>
        <v>14793.810044187188</v>
      </c>
      <c r="AT332" s="180">
        <f ca="1">Проект!AT984 / Параметры!AT$64</f>
        <v>15010.892137023955</v>
      </c>
      <c r="AU332" s="180">
        <f ca="1">Проект!AU984 / Параметры!AU$64</f>
        <v>15231.159659096984</v>
      </c>
      <c r="AV332" s="180">
        <f ca="1">Проект!AV984 / Параметры!AV$64</f>
        <v>15454.65935290486</v>
      </c>
      <c r="AW332" s="138"/>
      <c r="AX332" s="222">
        <f t="shared" ca="1" si="1117"/>
        <v>481532.99633079901</v>
      </c>
    </row>
    <row r="333" spans="1:50" collapsed="1" x14ac:dyDescent="0.2">
      <c r="A333" s="65" t="str">
        <f ca="1">Language!A1391</f>
        <v>Налог с оборота</v>
      </c>
      <c r="B333" s="227"/>
      <c r="C333" s="130" t="str">
        <f ca="1">Параметры!$C$64</f>
        <v>тыс. руб.</v>
      </c>
      <c r="D333" s="57"/>
      <c r="E333" s="57" t="s">
        <v>1608</v>
      </c>
      <c r="F333" s="57" t="s">
        <v>753</v>
      </c>
      <c r="G333" s="235">
        <f ca="1">Проект!G999/ Параметры!G$64</f>
        <v>0</v>
      </c>
      <c r="H333" s="235">
        <f ca="1">Проект!H999/ Параметры!H$64</f>
        <v>0</v>
      </c>
      <c r="I333" s="235">
        <f ca="1">Проект!I999/ Параметры!I$64</f>
        <v>0</v>
      </c>
      <c r="J333" s="235">
        <f ca="1">Проект!J999/ Параметры!J$64</f>
        <v>0</v>
      </c>
      <c r="K333" s="235">
        <f ca="1">Проект!K999/ Параметры!K$64</f>
        <v>0</v>
      </c>
      <c r="L333" s="235">
        <f ca="1">Проект!L999/ Параметры!L$64</f>
        <v>0</v>
      </c>
      <c r="M333" s="235">
        <f ca="1">Проект!M999/ Параметры!M$64</f>
        <v>0</v>
      </c>
      <c r="N333" s="235">
        <f ca="1">Проект!N999/ Параметры!N$64</f>
        <v>0</v>
      </c>
      <c r="O333" s="235">
        <f ca="1">Проект!O999/ Параметры!O$64</f>
        <v>0</v>
      </c>
      <c r="P333" s="235">
        <f ca="1">Проект!P999/ Параметры!P$64</f>
        <v>0</v>
      </c>
      <c r="Q333" s="235">
        <f ca="1">Проект!Q999/ Параметры!Q$64</f>
        <v>0</v>
      </c>
      <c r="R333" s="235">
        <f ca="1">Проект!R999/ Параметры!R$64</f>
        <v>0</v>
      </c>
      <c r="S333" s="235">
        <f ca="1">Проект!S999/ Параметры!S$64</f>
        <v>0</v>
      </c>
      <c r="T333" s="235">
        <f ca="1">Проект!T999/ Параметры!T$64</f>
        <v>0</v>
      </c>
      <c r="U333" s="235">
        <f ca="1">Проект!U999/ Параметры!U$64</f>
        <v>0</v>
      </c>
      <c r="V333" s="235">
        <f ca="1">Проект!V999/ Параметры!V$64</f>
        <v>0</v>
      </c>
      <c r="W333" s="235">
        <f ca="1">Проект!W999/ Параметры!W$64</f>
        <v>0</v>
      </c>
      <c r="X333" s="235">
        <f ca="1">Проект!X999/ Параметры!X$64</f>
        <v>0</v>
      </c>
      <c r="Y333" s="235">
        <f ca="1">Проект!Y999/ Параметры!Y$64</f>
        <v>0</v>
      </c>
      <c r="Z333" s="235">
        <f ca="1">Проект!Z999/ Параметры!Z$64</f>
        <v>0</v>
      </c>
      <c r="AA333" s="235">
        <f ca="1">Проект!AA999/ Параметры!AA$64</f>
        <v>0</v>
      </c>
      <c r="AB333" s="235">
        <f ca="1">Проект!AB999/ Параметры!AB$64</f>
        <v>0</v>
      </c>
      <c r="AC333" s="235">
        <f ca="1">Проект!AC999/ Параметры!AC$64</f>
        <v>0</v>
      </c>
      <c r="AD333" s="235">
        <f ca="1">Проект!AD999/ Параметры!AD$64</f>
        <v>0</v>
      </c>
      <c r="AE333" s="235">
        <f ca="1">Проект!AE999/ Параметры!AE$64</f>
        <v>0</v>
      </c>
      <c r="AF333" s="235">
        <f ca="1">Проект!AF999/ Параметры!AF$64</f>
        <v>0</v>
      </c>
      <c r="AG333" s="235">
        <f ca="1">Проект!AG999/ Параметры!AG$64</f>
        <v>0</v>
      </c>
      <c r="AH333" s="235">
        <f ca="1">Проект!AH999/ Параметры!AH$64</f>
        <v>0</v>
      </c>
      <c r="AI333" s="235">
        <f ca="1">Проект!AI999/ Параметры!AI$64</f>
        <v>0</v>
      </c>
      <c r="AJ333" s="235">
        <f ca="1">Проект!AJ999/ Параметры!AJ$64</f>
        <v>0</v>
      </c>
      <c r="AK333" s="235">
        <f ca="1">Проект!AK999/ Параметры!AK$64</f>
        <v>0</v>
      </c>
      <c r="AL333" s="235">
        <f ca="1">Проект!AL999/ Параметры!AL$64</f>
        <v>0</v>
      </c>
      <c r="AM333" s="235">
        <f ca="1">Проект!AM999/ Параметры!AM$64</f>
        <v>0</v>
      </c>
      <c r="AN333" s="235">
        <f ca="1">Проект!AN999/ Параметры!AN$64</f>
        <v>0</v>
      </c>
      <c r="AO333" s="235">
        <f ca="1">Проект!AO999/ Параметры!AO$64</f>
        <v>0</v>
      </c>
      <c r="AP333" s="235">
        <f ca="1">Проект!AP999/ Параметры!AP$64</f>
        <v>0</v>
      </c>
      <c r="AQ333" s="235">
        <f ca="1">Проект!AQ999/ Параметры!AQ$64</f>
        <v>0</v>
      </c>
      <c r="AR333" s="235">
        <f ca="1">Проект!AR999/ Параметры!AR$64</f>
        <v>0</v>
      </c>
      <c r="AS333" s="235">
        <f ca="1">Проект!AS999/ Параметры!AS$64</f>
        <v>0</v>
      </c>
      <c r="AT333" s="235">
        <f ca="1">Проект!AT999/ Параметры!AT$64</f>
        <v>0</v>
      </c>
      <c r="AU333" s="235">
        <f ca="1">Проект!AU999/ Параметры!AU$64</f>
        <v>0</v>
      </c>
      <c r="AV333" s="235">
        <f ca="1">Проект!AV999/ Параметры!AV$64</f>
        <v>0</v>
      </c>
      <c r="AW333" s="138"/>
      <c r="AX333" s="171">
        <f t="shared" ca="1" si="1117"/>
        <v>0</v>
      </c>
    </row>
    <row r="334" spans="1:50" hidden="1" outlineLevel="1" x14ac:dyDescent="0.2">
      <c r="A334" s="179" t="str">
        <f ca="1">Language!A$1444</f>
        <v>начисленный налог</v>
      </c>
      <c r="B334" s="227"/>
      <c r="C334" s="82" t="str">
        <f ca="1">Параметры!$C$64</f>
        <v>тыс. руб.</v>
      </c>
      <c r="D334" s="57"/>
      <c r="E334" s="57" t="s">
        <v>1597</v>
      </c>
      <c r="F334" s="57" t="s">
        <v>753</v>
      </c>
      <c r="G334" s="180">
        <f ca="1">Проект!G997 / Параметры!G$64</f>
        <v>0</v>
      </c>
      <c r="H334" s="180">
        <f ca="1">Проект!H997 / Параметры!H$64</f>
        <v>0</v>
      </c>
      <c r="I334" s="180">
        <f ca="1">Проект!I997 / Параметры!I$64</f>
        <v>0</v>
      </c>
      <c r="J334" s="180">
        <f ca="1">Проект!J997 / Параметры!J$64</f>
        <v>0</v>
      </c>
      <c r="K334" s="180">
        <f ca="1">Проект!K997 / Параметры!K$64</f>
        <v>0</v>
      </c>
      <c r="L334" s="180">
        <f ca="1">Проект!L997 / Параметры!L$64</f>
        <v>0</v>
      </c>
      <c r="M334" s="180">
        <f ca="1">Проект!M997 / Параметры!M$64</f>
        <v>0</v>
      </c>
      <c r="N334" s="180">
        <f ca="1">Проект!N997 / Параметры!N$64</f>
        <v>0</v>
      </c>
      <c r="O334" s="180">
        <f ca="1">Проект!O997 / Параметры!O$64</f>
        <v>0</v>
      </c>
      <c r="P334" s="180">
        <f ca="1">Проект!P997 / Параметры!P$64</f>
        <v>0</v>
      </c>
      <c r="Q334" s="180">
        <f ca="1">Проект!Q997 / Параметры!Q$64</f>
        <v>0</v>
      </c>
      <c r="R334" s="180">
        <f ca="1">Проект!R997 / Параметры!R$64</f>
        <v>0</v>
      </c>
      <c r="S334" s="180">
        <f ca="1">Проект!S997 / Параметры!S$64</f>
        <v>0</v>
      </c>
      <c r="T334" s="180">
        <f ca="1">Проект!T997 / Параметры!T$64</f>
        <v>0</v>
      </c>
      <c r="U334" s="180">
        <f ca="1">Проект!U997 / Параметры!U$64</f>
        <v>0</v>
      </c>
      <c r="V334" s="180">
        <f ca="1">Проект!V997 / Параметры!V$64</f>
        <v>0</v>
      </c>
      <c r="W334" s="180">
        <f ca="1">Проект!W997 / Параметры!W$64</f>
        <v>0</v>
      </c>
      <c r="X334" s="180">
        <f ca="1">Проект!X997 / Параметры!X$64</f>
        <v>0</v>
      </c>
      <c r="Y334" s="180">
        <f ca="1">Проект!Y997 / Параметры!Y$64</f>
        <v>0</v>
      </c>
      <c r="Z334" s="180">
        <f ca="1">Проект!Z997 / Параметры!Z$64</f>
        <v>0</v>
      </c>
      <c r="AA334" s="180">
        <f ca="1">Проект!AA997 / Параметры!AA$64</f>
        <v>0</v>
      </c>
      <c r="AB334" s="180">
        <f ca="1">Проект!AB997 / Параметры!AB$64</f>
        <v>0</v>
      </c>
      <c r="AC334" s="180">
        <f ca="1">Проект!AC997 / Параметры!AC$64</f>
        <v>0</v>
      </c>
      <c r="AD334" s="180">
        <f ca="1">Проект!AD997 / Параметры!AD$64</f>
        <v>0</v>
      </c>
      <c r="AE334" s="180">
        <f ca="1">Проект!AE997 / Параметры!AE$64</f>
        <v>0</v>
      </c>
      <c r="AF334" s="180">
        <f ca="1">Проект!AF997 / Параметры!AF$64</f>
        <v>0</v>
      </c>
      <c r="AG334" s="180">
        <f ca="1">Проект!AG997 / Параметры!AG$64</f>
        <v>0</v>
      </c>
      <c r="AH334" s="180">
        <f ca="1">Проект!AH997 / Параметры!AH$64</f>
        <v>0</v>
      </c>
      <c r="AI334" s="180">
        <f ca="1">Проект!AI997 / Параметры!AI$64</f>
        <v>0</v>
      </c>
      <c r="AJ334" s="180">
        <f ca="1">Проект!AJ997 / Параметры!AJ$64</f>
        <v>0</v>
      </c>
      <c r="AK334" s="180">
        <f ca="1">Проект!AK997 / Параметры!AK$64</f>
        <v>0</v>
      </c>
      <c r="AL334" s="180">
        <f ca="1">Проект!AL997 / Параметры!AL$64</f>
        <v>0</v>
      </c>
      <c r="AM334" s="180">
        <f ca="1">Проект!AM997 / Параметры!AM$64</f>
        <v>0</v>
      </c>
      <c r="AN334" s="180">
        <f ca="1">Проект!AN997 / Параметры!AN$64</f>
        <v>0</v>
      </c>
      <c r="AO334" s="180">
        <f ca="1">Проект!AO997 / Параметры!AO$64</f>
        <v>0</v>
      </c>
      <c r="AP334" s="180">
        <f ca="1">Проект!AP997 / Параметры!AP$64</f>
        <v>0</v>
      </c>
      <c r="AQ334" s="180">
        <f ca="1">Проект!AQ997 / Параметры!AQ$64</f>
        <v>0</v>
      </c>
      <c r="AR334" s="180">
        <f ca="1">Проект!AR997 / Параметры!AR$64</f>
        <v>0</v>
      </c>
      <c r="AS334" s="180">
        <f ca="1">Проект!AS997 / Параметры!AS$64</f>
        <v>0</v>
      </c>
      <c r="AT334" s="180">
        <f ca="1">Проект!AT997 / Параметры!AT$64</f>
        <v>0</v>
      </c>
      <c r="AU334" s="180">
        <f ca="1">Проект!AU997 / Параметры!AU$64</f>
        <v>0</v>
      </c>
      <c r="AV334" s="180">
        <f ca="1">Проект!AV997 / Параметры!AV$64</f>
        <v>0</v>
      </c>
      <c r="AW334" s="138"/>
      <c r="AX334" s="222">
        <f t="shared" ca="1" si="1117"/>
        <v>0</v>
      </c>
    </row>
    <row r="335" spans="1:50" collapsed="1" x14ac:dyDescent="0.2">
      <c r="A335" s="79" t="str">
        <f ca="1">Language!A1392</f>
        <v>Налог с дохода, уменьшенного на расходы</v>
      </c>
      <c r="B335" s="284"/>
      <c r="C335" s="285" t="str">
        <f ca="1">Параметры!$C$64</f>
        <v>тыс. руб.</v>
      </c>
      <c r="D335" s="100"/>
      <c r="E335" s="57" t="s">
        <v>1609</v>
      </c>
      <c r="F335" s="100" t="s">
        <v>753</v>
      </c>
      <c r="G335" s="235">
        <f ca="1">Проект!G1004 / Параметры!G$64</f>
        <v>0</v>
      </c>
      <c r="H335" s="235">
        <f ca="1">Проект!H1004 / Параметры!H$64</f>
        <v>0</v>
      </c>
      <c r="I335" s="235">
        <f ca="1">Проект!I1004 / Параметры!I$64</f>
        <v>0</v>
      </c>
      <c r="J335" s="235">
        <f ca="1">Проект!J1004 / Параметры!J$64</f>
        <v>0</v>
      </c>
      <c r="K335" s="235">
        <f ca="1">Проект!K1004 / Параметры!K$64</f>
        <v>0</v>
      </c>
      <c r="L335" s="235">
        <f ca="1">Проект!L1004 / Параметры!L$64</f>
        <v>0</v>
      </c>
      <c r="M335" s="235">
        <f ca="1">Проект!M1004 / Параметры!M$64</f>
        <v>0</v>
      </c>
      <c r="N335" s="235">
        <f ca="1">Проект!N1004 / Параметры!N$64</f>
        <v>0</v>
      </c>
      <c r="O335" s="235">
        <f ca="1">Проект!O1004 / Параметры!O$64</f>
        <v>0</v>
      </c>
      <c r="P335" s="235">
        <f ca="1">Проект!P1004 / Параметры!P$64</f>
        <v>0</v>
      </c>
      <c r="Q335" s="235">
        <f ca="1">Проект!Q1004 / Параметры!Q$64</f>
        <v>0</v>
      </c>
      <c r="R335" s="235">
        <f ca="1">Проект!R1004 / Параметры!R$64</f>
        <v>0</v>
      </c>
      <c r="S335" s="235">
        <f ca="1">Проект!S1004 / Параметры!S$64</f>
        <v>0</v>
      </c>
      <c r="T335" s="235">
        <f ca="1">Проект!T1004 / Параметры!T$64</f>
        <v>0</v>
      </c>
      <c r="U335" s="235">
        <f ca="1">Проект!U1004 / Параметры!U$64</f>
        <v>0</v>
      </c>
      <c r="V335" s="235">
        <f ca="1">Проект!V1004 / Параметры!V$64</f>
        <v>0</v>
      </c>
      <c r="W335" s="235">
        <f ca="1">Проект!W1004 / Параметры!W$64</f>
        <v>0</v>
      </c>
      <c r="X335" s="235">
        <f ca="1">Проект!X1004 / Параметры!X$64</f>
        <v>0</v>
      </c>
      <c r="Y335" s="235">
        <f ca="1">Проект!Y1004 / Параметры!Y$64</f>
        <v>0</v>
      </c>
      <c r="Z335" s="235">
        <f ca="1">Проект!Z1004 / Параметры!Z$64</f>
        <v>0</v>
      </c>
      <c r="AA335" s="235">
        <f ca="1">Проект!AA1004 / Параметры!AA$64</f>
        <v>0</v>
      </c>
      <c r="AB335" s="235">
        <f ca="1">Проект!AB1004 / Параметры!AB$64</f>
        <v>0</v>
      </c>
      <c r="AC335" s="235">
        <f ca="1">Проект!AC1004 / Параметры!AC$64</f>
        <v>0</v>
      </c>
      <c r="AD335" s="235">
        <f ca="1">Проект!AD1004 / Параметры!AD$64</f>
        <v>0</v>
      </c>
      <c r="AE335" s="235">
        <f ca="1">Проект!AE1004 / Параметры!AE$64</f>
        <v>0</v>
      </c>
      <c r="AF335" s="235">
        <f ca="1">Проект!AF1004 / Параметры!AF$64</f>
        <v>0</v>
      </c>
      <c r="AG335" s="235">
        <f ca="1">Проект!AG1004 / Параметры!AG$64</f>
        <v>0</v>
      </c>
      <c r="AH335" s="235">
        <f ca="1">Проект!AH1004 / Параметры!AH$64</f>
        <v>0</v>
      </c>
      <c r="AI335" s="235">
        <f ca="1">Проект!AI1004 / Параметры!AI$64</f>
        <v>0</v>
      </c>
      <c r="AJ335" s="235">
        <f ca="1">Проект!AJ1004 / Параметры!AJ$64</f>
        <v>0</v>
      </c>
      <c r="AK335" s="235">
        <f ca="1">Проект!AK1004 / Параметры!AK$64</f>
        <v>0</v>
      </c>
      <c r="AL335" s="235">
        <f ca="1">Проект!AL1004 / Параметры!AL$64</f>
        <v>0</v>
      </c>
      <c r="AM335" s="235">
        <f ca="1">Проект!AM1004 / Параметры!AM$64</f>
        <v>0</v>
      </c>
      <c r="AN335" s="235">
        <f ca="1">Проект!AN1004 / Параметры!AN$64</f>
        <v>0</v>
      </c>
      <c r="AO335" s="235">
        <f ca="1">Проект!AO1004 / Параметры!AO$64</f>
        <v>0</v>
      </c>
      <c r="AP335" s="235">
        <f ca="1">Проект!AP1004 / Параметры!AP$64</f>
        <v>0</v>
      </c>
      <c r="AQ335" s="235">
        <f ca="1">Проект!AQ1004 / Параметры!AQ$64</f>
        <v>0</v>
      </c>
      <c r="AR335" s="235">
        <f ca="1">Проект!AR1004 / Параметры!AR$64</f>
        <v>0</v>
      </c>
      <c r="AS335" s="235">
        <f ca="1">Проект!AS1004 / Параметры!AS$64</f>
        <v>0</v>
      </c>
      <c r="AT335" s="235">
        <f ca="1">Проект!AT1004 / Параметры!AT$64</f>
        <v>0</v>
      </c>
      <c r="AU335" s="235">
        <f ca="1">Проект!AU1004 / Параметры!AU$64</f>
        <v>0</v>
      </c>
      <c r="AV335" s="235">
        <f ca="1">Проект!AV1004 / Параметры!AV$64</f>
        <v>0</v>
      </c>
      <c r="AW335" s="235"/>
      <c r="AX335" s="142">
        <f t="shared" ca="1" si="1117"/>
        <v>0</v>
      </c>
    </row>
    <row r="336" spans="1:50" hidden="1" outlineLevel="1" x14ac:dyDescent="0.2">
      <c r="A336" s="179" t="str">
        <f ca="1">Language!A$1444</f>
        <v>начисленный налог</v>
      </c>
      <c r="B336" s="227"/>
      <c r="C336" s="82" t="str">
        <f ca="1">Параметры!$C$64</f>
        <v>тыс. руб.</v>
      </c>
      <c r="D336" s="57"/>
      <c r="E336" s="57" t="s">
        <v>1598</v>
      </c>
      <c r="F336" s="57" t="s">
        <v>753</v>
      </c>
      <c r="G336" s="180">
        <f ca="1">Проект!G1002 / Параметры!G$64</f>
        <v>0</v>
      </c>
      <c r="H336" s="180">
        <f ca="1">Проект!H1002 / Параметры!H$64</f>
        <v>0</v>
      </c>
      <c r="I336" s="180">
        <f ca="1">Проект!I1002 / Параметры!I$64</f>
        <v>0</v>
      </c>
      <c r="J336" s="180">
        <f ca="1">Проект!J1002 / Параметры!J$64</f>
        <v>0</v>
      </c>
      <c r="K336" s="180">
        <f ca="1">Проект!K1002 / Параметры!K$64</f>
        <v>0</v>
      </c>
      <c r="L336" s="180">
        <f ca="1">Проект!L1002 / Параметры!L$64</f>
        <v>0</v>
      </c>
      <c r="M336" s="180">
        <f ca="1">Проект!M1002 / Параметры!M$64</f>
        <v>0</v>
      </c>
      <c r="N336" s="180">
        <f ca="1">Проект!N1002 / Параметры!N$64</f>
        <v>0</v>
      </c>
      <c r="O336" s="180">
        <f ca="1">Проект!O1002 / Параметры!O$64</f>
        <v>0</v>
      </c>
      <c r="P336" s="180">
        <f ca="1">Проект!P1002 / Параметры!P$64</f>
        <v>0</v>
      </c>
      <c r="Q336" s="180">
        <f ca="1">Проект!Q1002 / Параметры!Q$64</f>
        <v>0</v>
      </c>
      <c r="R336" s="180">
        <f ca="1">Проект!R1002 / Параметры!R$64</f>
        <v>0</v>
      </c>
      <c r="S336" s="180">
        <f ca="1">Проект!S1002 / Параметры!S$64</f>
        <v>0</v>
      </c>
      <c r="T336" s="180">
        <f ca="1">Проект!T1002 / Параметры!T$64</f>
        <v>0</v>
      </c>
      <c r="U336" s="180">
        <f ca="1">Проект!U1002 / Параметры!U$64</f>
        <v>0</v>
      </c>
      <c r="V336" s="180">
        <f ca="1">Проект!V1002 / Параметры!V$64</f>
        <v>0</v>
      </c>
      <c r="W336" s="180">
        <f ca="1">Проект!W1002 / Параметры!W$64</f>
        <v>0</v>
      </c>
      <c r="X336" s="180">
        <f ca="1">Проект!X1002 / Параметры!X$64</f>
        <v>0</v>
      </c>
      <c r="Y336" s="180">
        <f ca="1">Проект!Y1002 / Параметры!Y$64</f>
        <v>0</v>
      </c>
      <c r="Z336" s="180">
        <f ca="1">Проект!Z1002 / Параметры!Z$64</f>
        <v>0</v>
      </c>
      <c r="AA336" s="180">
        <f ca="1">Проект!AA1002 / Параметры!AA$64</f>
        <v>0</v>
      </c>
      <c r="AB336" s="180">
        <f ca="1">Проект!AB1002 / Параметры!AB$64</f>
        <v>0</v>
      </c>
      <c r="AC336" s="180">
        <f ca="1">Проект!AC1002 / Параметры!AC$64</f>
        <v>0</v>
      </c>
      <c r="AD336" s="180">
        <f ca="1">Проект!AD1002 / Параметры!AD$64</f>
        <v>0</v>
      </c>
      <c r="AE336" s="180">
        <f ca="1">Проект!AE1002 / Параметры!AE$64</f>
        <v>0</v>
      </c>
      <c r="AF336" s="180">
        <f ca="1">Проект!AF1002 / Параметры!AF$64</f>
        <v>0</v>
      </c>
      <c r="AG336" s="180">
        <f ca="1">Проект!AG1002 / Параметры!AG$64</f>
        <v>0</v>
      </c>
      <c r="AH336" s="180">
        <f ca="1">Проект!AH1002 / Параметры!AH$64</f>
        <v>0</v>
      </c>
      <c r="AI336" s="180">
        <f ca="1">Проект!AI1002 / Параметры!AI$64</f>
        <v>0</v>
      </c>
      <c r="AJ336" s="180">
        <f ca="1">Проект!AJ1002 / Параметры!AJ$64</f>
        <v>0</v>
      </c>
      <c r="AK336" s="180">
        <f ca="1">Проект!AK1002 / Параметры!AK$64</f>
        <v>0</v>
      </c>
      <c r="AL336" s="180">
        <f ca="1">Проект!AL1002 / Параметры!AL$64</f>
        <v>0</v>
      </c>
      <c r="AM336" s="180">
        <f ca="1">Проект!AM1002 / Параметры!AM$64</f>
        <v>0</v>
      </c>
      <c r="AN336" s="180">
        <f ca="1">Проект!AN1002 / Параметры!AN$64</f>
        <v>0</v>
      </c>
      <c r="AO336" s="180">
        <f ca="1">Проект!AO1002 / Параметры!AO$64</f>
        <v>0</v>
      </c>
      <c r="AP336" s="180">
        <f ca="1">Проект!AP1002 / Параметры!AP$64</f>
        <v>0</v>
      </c>
      <c r="AQ336" s="180">
        <f ca="1">Проект!AQ1002 / Параметры!AQ$64</f>
        <v>0</v>
      </c>
      <c r="AR336" s="180">
        <f ca="1">Проект!AR1002 / Параметры!AR$64</f>
        <v>0</v>
      </c>
      <c r="AS336" s="180">
        <f ca="1">Проект!AS1002 / Параметры!AS$64</f>
        <v>0</v>
      </c>
      <c r="AT336" s="180">
        <f ca="1">Проект!AT1002 / Параметры!AT$64</f>
        <v>0</v>
      </c>
      <c r="AU336" s="180">
        <f ca="1">Проект!AU1002 / Параметры!AU$64</f>
        <v>0</v>
      </c>
      <c r="AV336" s="180">
        <f ca="1">Проект!AV1002 / Параметры!AV$64</f>
        <v>0</v>
      </c>
      <c r="AW336" s="138"/>
      <c r="AX336" s="222">
        <f t="shared" ca="1" si="1117"/>
        <v>0</v>
      </c>
    </row>
    <row r="337" spans="1:50" x14ac:dyDescent="0.2">
      <c r="A337" s="79" t="str">
        <f ca="1">Language!A1393</f>
        <v>Суммарные налоговые и социальные выплаты</v>
      </c>
      <c r="B337" s="286"/>
      <c r="C337" s="285" t="str">
        <f ca="1">Параметры!$C$64</f>
        <v>тыс. руб.</v>
      </c>
      <c r="D337" s="100"/>
      <c r="E337" s="57" t="s">
        <v>1610</v>
      </c>
      <c r="F337" s="100" t="s">
        <v>753</v>
      </c>
      <c r="G337" s="235">
        <f ca="1">G320+G321+G322+G323+G325+G329+G331+G333+G335</f>
        <v>-29014.519004152564</v>
      </c>
      <c r="H337" s="235">
        <f t="shared" ref="H337:K337" ca="1" si="1118">H320+H321+H322+H323+H325+H329+H331+H333+H335</f>
        <v>-9631.0898386684948</v>
      </c>
      <c r="I337" s="235">
        <f t="shared" ca="1" si="1118"/>
        <v>6716.6904291367246</v>
      </c>
      <c r="J337" s="235">
        <f t="shared" ca="1" si="1118"/>
        <v>10232.870440550356</v>
      </c>
      <c r="K337" s="235">
        <f t="shared" ca="1" si="1118"/>
        <v>22775.827495949485</v>
      </c>
      <c r="L337" s="235">
        <f t="shared" ref="L337:M337" ca="1" si="1119">L320+L321+L322+L323+L325+L329+L331+L333+L335</f>
        <v>18606.561615760096</v>
      </c>
      <c r="M337" s="235">
        <f t="shared" ca="1" si="1119"/>
        <v>11616.890501456057</v>
      </c>
      <c r="N337" s="235">
        <f t="shared" ref="N337:O337" ca="1" si="1120">N320+N321+N322+N323+N325+N329+N331+N333+N335</f>
        <v>14386.555272340363</v>
      </c>
      <c r="O337" s="235">
        <f t="shared" ca="1" si="1120"/>
        <v>28445.032846299229</v>
      </c>
      <c r="P337" s="235">
        <f t="shared" ref="P337:Q337" ca="1" si="1121">P320+P321+P322+P323+P325+P329+P331+P333+P335</f>
        <v>23674.635818386872</v>
      </c>
      <c r="Q337" s="235">
        <f t="shared" ca="1" si="1121"/>
        <v>15559.451401770053</v>
      </c>
      <c r="R337" s="235">
        <f t="shared" ref="R337:S337" ca="1" si="1122">R320+R321+R322+R323+R325+R329+R331+R333+R335</f>
        <v>17868.842466274658</v>
      </c>
      <c r="S337" s="235">
        <f t="shared" ca="1" si="1122"/>
        <v>32057.796745671792</v>
      </c>
      <c r="T337" s="235">
        <f t="shared" ref="T337:U337" ca="1" si="1123">T320+T321+T322+T323+T325+T329+T331+T333+T335</f>
        <v>26266.654156912577</v>
      </c>
      <c r="U337" s="235">
        <f t="shared" ca="1" si="1123"/>
        <v>17689.357380328693</v>
      </c>
      <c r="V337" s="235">
        <f t="shared" ref="V337:W337" ca="1" si="1124">V320+V321+V322+V323+V325+V329+V331+V333+V335</f>
        <v>20286.368058203057</v>
      </c>
      <c r="W337" s="235">
        <f t="shared" ca="1" si="1124"/>
        <v>35346.40171427506</v>
      </c>
      <c r="X337" s="235">
        <f t="shared" ref="X337:Y337" ca="1" si="1125">X320+X321+X322+X323+X325+X329+X331+X333+X335</f>
        <v>29227.82238293194</v>
      </c>
      <c r="Y337" s="235">
        <f t="shared" ca="1" si="1125"/>
        <v>19123.969497546681</v>
      </c>
      <c r="Z337" s="235">
        <f t="shared" ref="Z337:AA337" ca="1" si="1126">Z320+Z321+Z322+Z323+Z325+Z329+Z331+Z333+Z335</f>
        <v>21366.155809728654</v>
      </c>
      <c r="AA337" s="235">
        <f t="shared" ca="1" si="1126"/>
        <v>37327.775381873253</v>
      </c>
      <c r="AB337" s="235">
        <f t="shared" ref="AB337:AC337" ca="1" si="1127">AB320+AB321+AB322+AB323+AB325+AB329+AB331+AB333+AB335</f>
        <v>30840.035603368255</v>
      </c>
      <c r="AC337" s="235">
        <f t="shared" ca="1" si="1127"/>
        <v>20672.189962941244</v>
      </c>
      <c r="AD337" s="235">
        <f t="shared" ref="AD337:AE337" ca="1" si="1128">AD320+AD321+AD322+AD323+AD325+AD329+AD331+AD333+AD335</f>
        <v>23326.945533337606</v>
      </c>
      <c r="AE337" s="235">
        <f t="shared" ca="1" si="1128"/>
        <v>40256.223185570139</v>
      </c>
      <c r="AF337" s="235">
        <f t="shared" ref="AF337:AG337" ca="1" si="1129">AF320+AF321+AF322+AF323+AF325+AF329+AF331+AF333+AF335</f>
        <v>33389.326090912931</v>
      </c>
      <c r="AG337" s="235">
        <f t="shared" ca="1" si="1129"/>
        <v>22276.99070343225</v>
      </c>
      <c r="AH337" s="235">
        <f t="shared" ref="AH337:AI337" ca="1" si="1130">AH320+AH321+AH322+AH323+AH325+AH329+AH331+AH333+AH335</f>
        <v>24924.04258072823</v>
      </c>
      <c r="AI337" s="235">
        <f t="shared" ca="1" si="1130"/>
        <v>42871.974687864116</v>
      </c>
      <c r="AJ337" s="235">
        <f t="shared" ref="AJ337:AK337" ca="1" si="1131">AJ320+AJ321+AJ322+AJ323+AJ325+AJ329+AJ331+AJ333+AJ335</f>
        <v>35596.004085106186</v>
      </c>
      <c r="AK337" s="235">
        <f t="shared" ca="1" si="1131"/>
        <v>23611.996649036155</v>
      </c>
      <c r="AL337" s="235">
        <f t="shared" ref="AL337:AM337" ca="1" si="1132">AL320+AL321+AL322+AL323+AL325+AL329+AL331+AL333+AL335</f>
        <v>26313.890268425414</v>
      </c>
      <c r="AM337" s="235">
        <f t="shared" ca="1" si="1132"/>
        <v>45337.148819152746</v>
      </c>
      <c r="AN337" s="235">
        <f t="shared" ref="AN337:AO337" ca="1" si="1133">AN320+AN321+AN322+AN323+AN325+AN329+AN331+AN333+AN335</f>
        <v>37623.047760519854</v>
      </c>
      <c r="AO337" s="235">
        <f t="shared" ca="1" si="1133"/>
        <v>24962.072055575976</v>
      </c>
      <c r="AP337" s="235">
        <f t="shared" ref="AP337:AQ337" ca="1" si="1134">AP320+AP321+AP322+AP323+AP325+AP329+AP331+AP333+AP335</f>
        <v>27846.935096321486</v>
      </c>
      <c r="AQ337" s="235">
        <f t="shared" ca="1" si="1134"/>
        <v>48010.917265392796</v>
      </c>
      <c r="AR337" s="235">
        <f t="shared" ref="AR337:AS337" ca="1" si="1135">AR320+AR321+AR322+AR323+AR325+AR329+AR331+AR333+AR335</f>
        <v>39833.288389262787</v>
      </c>
      <c r="AS337" s="235">
        <f t="shared" ca="1" si="1135"/>
        <v>24668.92526203988</v>
      </c>
      <c r="AT337" s="235">
        <f t="shared" ref="AT337:AU337" ca="1" si="1136">AT320+AT321+AT322+AT323+AT325+AT329+AT331+AT333+AT335</f>
        <v>26829.082556928141</v>
      </c>
      <c r="AU337" s="235">
        <f t="shared" ca="1" si="1136"/>
        <v>48163.450546045977</v>
      </c>
      <c r="AV337" s="235">
        <f t="shared" ref="AV337" ca="1" si="1137">AV320+AV321+AV322+AV323+AV325+AV329+AV331+AV333+AV335</f>
        <v>39455.131898381951</v>
      </c>
      <c r="AW337" s="235"/>
      <c r="AX337" s="142">
        <f t="shared" ca="1" si="1117"/>
        <v>1056739.6695729187</v>
      </c>
    </row>
    <row r="338" spans="1:50" x14ac:dyDescent="0.2">
      <c r="A338" s="79"/>
      <c r="B338" s="286"/>
      <c r="C338" s="285"/>
      <c r="D338" s="100"/>
      <c r="E338" s="100"/>
      <c r="F338" s="100"/>
      <c r="G338" s="235"/>
      <c r="H338" s="235"/>
      <c r="I338" s="235"/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  <c r="AB338" s="235"/>
      <c r="AC338" s="235"/>
      <c r="AD338" s="235"/>
      <c r="AE338" s="235"/>
      <c r="AF338" s="235"/>
      <c r="AG338" s="235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235"/>
    </row>
    <row r="339" spans="1:50" x14ac:dyDescent="0.2">
      <c r="A339" s="80" t="str">
        <f ca="1">Language!A1394</f>
        <v>Бюджетное финансирование</v>
      </c>
      <c r="B339" s="286"/>
      <c r="C339" s="285"/>
      <c r="D339" s="100"/>
      <c r="E339" s="100"/>
      <c r="F339" s="100"/>
      <c r="G339" s="235"/>
      <c r="H339" s="235"/>
      <c r="I339" s="235"/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  <c r="AR339" s="235"/>
      <c r="AS339" s="235"/>
      <c r="AT339" s="235"/>
      <c r="AU339" s="235"/>
      <c r="AV339" s="235"/>
      <c r="AW339" s="235"/>
      <c r="AX339" s="235"/>
    </row>
    <row r="340" spans="1:50" x14ac:dyDescent="0.2">
      <c r="A340" s="79" t="str">
        <f ca="1">Language!A1395</f>
        <v>Поступление бюджетного финансирования в проект</v>
      </c>
      <c r="B340" s="286"/>
      <c r="C340" s="130" t="str">
        <f ca="1">Параметры!$C$64</f>
        <v>тыс. руб.</v>
      </c>
      <c r="D340" s="100"/>
      <c r="E340" s="57" t="s">
        <v>1611</v>
      </c>
      <c r="F340" s="57" t="s">
        <v>753</v>
      </c>
      <c r="G340" s="310">
        <v>0</v>
      </c>
      <c r="H340" s="310">
        <v>0</v>
      </c>
      <c r="I340" s="310">
        <v>0</v>
      </c>
      <c r="J340" s="310">
        <v>0</v>
      </c>
      <c r="K340" s="310">
        <v>0</v>
      </c>
      <c r="L340" s="310">
        <v>0</v>
      </c>
      <c r="M340" s="310">
        <v>0</v>
      </c>
      <c r="N340" s="310">
        <v>0</v>
      </c>
      <c r="O340" s="310">
        <v>0</v>
      </c>
      <c r="P340" s="310">
        <v>0</v>
      </c>
      <c r="Q340" s="310">
        <v>0</v>
      </c>
      <c r="R340" s="310">
        <v>0</v>
      </c>
      <c r="S340" s="310">
        <v>0</v>
      </c>
      <c r="T340" s="310">
        <v>0</v>
      </c>
      <c r="U340" s="310">
        <v>0</v>
      </c>
      <c r="V340" s="310">
        <v>0</v>
      </c>
      <c r="W340" s="310">
        <v>0</v>
      </c>
      <c r="X340" s="310">
        <v>0</v>
      </c>
      <c r="Y340" s="310">
        <v>0</v>
      </c>
      <c r="Z340" s="310">
        <v>0</v>
      </c>
      <c r="AA340" s="310">
        <v>0</v>
      </c>
      <c r="AB340" s="310">
        <v>0</v>
      </c>
      <c r="AC340" s="310">
        <v>0</v>
      </c>
      <c r="AD340" s="310">
        <v>0</v>
      </c>
      <c r="AE340" s="310">
        <v>0</v>
      </c>
      <c r="AF340" s="310">
        <v>0</v>
      </c>
      <c r="AG340" s="310">
        <v>0</v>
      </c>
      <c r="AH340" s="310">
        <v>0</v>
      </c>
      <c r="AI340" s="310">
        <v>0</v>
      </c>
      <c r="AJ340" s="310">
        <v>0</v>
      </c>
      <c r="AK340" s="310">
        <v>0</v>
      </c>
      <c r="AL340" s="310">
        <v>0</v>
      </c>
      <c r="AM340" s="310">
        <v>0</v>
      </c>
      <c r="AN340" s="310">
        <v>0</v>
      </c>
      <c r="AO340" s="310">
        <v>0</v>
      </c>
      <c r="AP340" s="310">
        <v>0</v>
      </c>
      <c r="AQ340" s="310">
        <v>0</v>
      </c>
      <c r="AR340" s="310">
        <v>0</v>
      </c>
      <c r="AS340" s="310">
        <v>0</v>
      </c>
      <c r="AT340" s="310">
        <v>0</v>
      </c>
      <c r="AU340" s="310">
        <v>0</v>
      </c>
      <c r="AV340" s="310">
        <v>0</v>
      </c>
      <c r="AW340" s="235"/>
      <c r="AX340" s="171">
        <f>SUM(G340:AW340)</f>
        <v>0</v>
      </c>
    </row>
    <row r="341" spans="1:50" x14ac:dyDescent="0.2">
      <c r="A341" s="79" t="str">
        <f ca="1">Language!A1396</f>
        <v>Возврат бюджетного финансирования</v>
      </c>
      <c r="B341" s="286"/>
      <c r="C341" s="130" t="str">
        <f ca="1">Параметры!$C$64</f>
        <v>тыс. руб.</v>
      </c>
      <c r="D341" s="100"/>
      <c r="E341" s="57" t="s">
        <v>1612</v>
      </c>
      <c r="F341" s="57" t="s">
        <v>753</v>
      </c>
      <c r="G341" s="310">
        <v>0</v>
      </c>
      <c r="H341" s="310">
        <v>0</v>
      </c>
      <c r="I341" s="310">
        <v>0</v>
      </c>
      <c r="J341" s="310">
        <v>0</v>
      </c>
      <c r="K341" s="310">
        <v>0</v>
      </c>
      <c r="L341" s="310">
        <v>0</v>
      </c>
      <c r="M341" s="310">
        <v>0</v>
      </c>
      <c r="N341" s="310">
        <v>0</v>
      </c>
      <c r="O341" s="310">
        <v>0</v>
      </c>
      <c r="P341" s="310">
        <v>0</v>
      </c>
      <c r="Q341" s="310">
        <v>0</v>
      </c>
      <c r="R341" s="310">
        <v>0</v>
      </c>
      <c r="S341" s="310">
        <v>0</v>
      </c>
      <c r="T341" s="310">
        <v>0</v>
      </c>
      <c r="U341" s="310">
        <v>0</v>
      </c>
      <c r="V341" s="310">
        <v>0</v>
      </c>
      <c r="W341" s="310">
        <v>0</v>
      </c>
      <c r="X341" s="310">
        <v>0</v>
      </c>
      <c r="Y341" s="310">
        <v>0</v>
      </c>
      <c r="Z341" s="310">
        <v>0</v>
      </c>
      <c r="AA341" s="310">
        <v>0</v>
      </c>
      <c r="AB341" s="310">
        <v>0</v>
      </c>
      <c r="AC341" s="310">
        <v>0</v>
      </c>
      <c r="AD341" s="310">
        <v>0</v>
      </c>
      <c r="AE341" s="310">
        <v>0</v>
      </c>
      <c r="AF341" s="310">
        <v>0</v>
      </c>
      <c r="AG341" s="310">
        <v>0</v>
      </c>
      <c r="AH341" s="310">
        <v>0</v>
      </c>
      <c r="AI341" s="310">
        <v>0</v>
      </c>
      <c r="AJ341" s="310">
        <v>0</v>
      </c>
      <c r="AK341" s="310">
        <v>0</v>
      </c>
      <c r="AL341" s="310">
        <v>0</v>
      </c>
      <c r="AM341" s="310">
        <v>0</v>
      </c>
      <c r="AN341" s="310">
        <v>0</v>
      </c>
      <c r="AO341" s="310">
        <v>0</v>
      </c>
      <c r="AP341" s="310">
        <v>0</v>
      </c>
      <c r="AQ341" s="310">
        <v>0</v>
      </c>
      <c r="AR341" s="310">
        <v>0</v>
      </c>
      <c r="AS341" s="310">
        <v>0</v>
      </c>
      <c r="AT341" s="310">
        <v>0</v>
      </c>
      <c r="AU341" s="310">
        <v>0</v>
      </c>
      <c r="AV341" s="310">
        <v>0</v>
      </c>
      <c r="AW341" s="235"/>
      <c r="AX341" s="171">
        <f>SUM(G341:AW341)</f>
        <v>0</v>
      </c>
    </row>
    <row r="342" spans="1:50" x14ac:dyDescent="0.2">
      <c r="A342" s="79" t="str">
        <f ca="1">Language!A1397</f>
        <v>Платежи за использование бюджетного финансирования</v>
      </c>
      <c r="B342" s="286"/>
      <c r="C342" s="130" t="str">
        <f ca="1">Параметры!$C$64</f>
        <v>тыс. руб.</v>
      </c>
      <c r="D342" s="100"/>
      <c r="E342" s="57" t="s">
        <v>1613</v>
      </c>
      <c r="F342" s="57" t="s">
        <v>753</v>
      </c>
      <c r="G342" s="310">
        <v>0</v>
      </c>
      <c r="H342" s="310">
        <v>0</v>
      </c>
      <c r="I342" s="310">
        <v>0</v>
      </c>
      <c r="J342" s="310">
        <v>0</v>
      </c>
      <c r="K342" s="310">
        <v>0</v>
      </c>
      <c r="L342" s="310">
        <v>0</v>
      </c>
      <c r="M342" s="310">
        <v>0</v>
      </c>
      <c r="N342" s="310">
        <v>0</v>
      </c>
      <c r="O342" s="310">
        <v>0</v>
      </c>
      <c r="P342" s="310">
        <v>0</v>
      </c>
      <c r="Q342" s="310">
        <v>0</v>
      </c>
      <c r="R342" s="310">
        <v>0</v>
      </c>
      <c r="S342" s="310">
        <v>0</v>
      </c>
      <c r="T342" s="310">
        <v>0</v>
      </c>
      <c r="U342" s="310">
        <v>0</v>
      </c>
      <c r="V342" s="310">
        <v>0</v>
      </c>
      <c r="W342" s="310">
        <v>0</v>
      </c>
      <c r="X342" s="310">
        <v>0</v>
      </c>
      <c r="Y342" s="310">
        <v>0</v>
      </c>
      <c r="Z342" s="310">
        <v>0</v>
      </c>
      <c r="AA342" s="310">
        <v>0</v>
      </c>
      <c r="AB342" s="310">
        <v>0</v>
      </c>
      <c r="AC342" s="310">
        <v>0</v>
      </c>
      <c r="AD342" s="310">
        <v>0</v>
      </c>
      <c r="AE342" s="310">
        <v>0</v>
      </c>
      <c r="AF342" s="310">
        <v>0</v>
      </c>
      <c r="AG342" s="310">
        <v>0</v>
      </c>
      <c r="AH342" s="310">
        <v>0</v>
      </c>
      <c r="AI342" s="310">
        <v>0</v>
      </c>
      <c r="AJ342" s="310">
        <v>0</v>
      </c>
      <c r="AK342" s="310">
        <v>0</v>
      </c>
      <c r="AL342" s="310">
        <v>0</v>
      </c>
      <c r="AM342" s="310">
        <v>0</v>
      </c>
      <c r="AN342" s="310">
        <v>0</v>
      </c>
      <c r="AO342" s="310">
        <v>0</v>
      </c>
      <c r="AP342" s="310">
        <v>0</v>
      </c>
      <c r="AQ342" s="310">
        <v>0</v>
      </c>
      <c r="AR342" s="310">
        <v>0</v>
      </c>
      <c r="AS342" s="310">
        <v>0</v>
      </c>
      <c r="AT342" s="310">
        <v>0</v>
      </c>
      <c r="AU342" s="310">
        <v>0</v>
      </c>
      <c r="AV342" s="310">
        <v>0</v>
      </c>
      <c r="AW342" s="235"/>
      <c r="AX342" s="171">
        <f>SUM(G342:AW342)</f>
        <v>0</v>
      </c>
    </row>
    <row r="343" spans="1:50" s="94" customFormat="1" x14ac:dyDescent="0.2">
      <c r="A343" s="107"/>
      <c r="B343" s="286"/>
      <c r="C343" s="287"/>
      <c r="D343" s="174"/>
      <c r="E343" s="174"/>
      <c r="F343" s="114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  <c r="AC343" s="156"/>
      <c r="AD343" s="156"/>
      <c r="AE343" s="156"/>
      <c r="AF343" s="156"/>
      <c r="AG343" s="156"/>
      <c r="AH343" s="156"/>
      <c r="AI343" s="156"/>
      <c r="AJ343" s="156"/>
      <c r="AK343" s="156"/>
      <c r="AL343" s="156"/>
      <c r="AM343" s="156"/>
      <c r="AN343" s="156"/>
      <c r="AO343" s="156"/>
      <c r="AP343" s="156"/>
      <c r="AQ343" s="156"/>
      <c r="AR343" s="156"/>
      <c r="AS343" s="156"/>
      <c r="AT343" s="156"/>
      <c r="AU343" s="156"/>
      <c r="AV343" s="156"/>
      <c r="AW343" s="200"/>
      <c r="AX343" s="187"/>
    </row>
    <row r="344" spans="1:50" s="98" customFormat="1" x14ac:dyDescent="0.2">
      <c r="A344" s="92" t="str">
        <f ca="1">Language!A1323</f>
        <v>Денежный поток для расчета эффективности</v>
      </c>
      <c r="B344" s="271"/>
      <c r="C344" s="272" t="str">
        <f ca="1">Параметры!$C$64</f>
        <v>тыс. руб.</v>
      </c>
      <c r="D344" s="273"/>
      <c r="E344" s="273"/>
      <c r="F344" s="273" t="s">
        <v>753</v>
      </c>
      <c r="G344" s="212">
        <f ca="1">G337-G340+G341+G342</f>
        <v>-29014.519004152564</v>
      </c>
      <c r="H344" s="212">
        <f t="shared" ref="H344:K344" ca="1" si="1138">H337-H340+H341+H342</f>
        <v>-9631.0898386684948</v>
      </c>
      <c r="I344" s="212">
        <f t="shared" ca="1" si="1138"/>
        <v>6716.6904291367246</v>
      </c>
      <c r="J344" s="212">
        <f t="shared" ca="1" si="1138"/>
        <v>10232.870440550356</v>
      </c>
      <c r="K344" s="212">
        <f t="shared" ca="1" si="1138"/>
        <v>22775.827495949485</v>
      </c>
      <c r="L344" s="212">
        <f t="shared" ref="L344:M344" ca="1" si="1139">L337-L340+L341+L342</f>
        <v>18606.561615760096</v>
      </c>
      <c r="M344" s="212">
        <f t="shared" ca="1" si="1139"/>
        <v>11616.890501456057</v>
      </c>
      <c r="N344" s="212">
        <f t="shared" ref="N344:O344" ca="1" si="1140">N337-N340+N341+N342</f>
        <v>14386.555272340363</v>
      </c>
      <c r="O344" s="212">
        <f t="shared" ca="1" si="1140"/>
        <v>28445.032846299229</v>
      </c>
      <c r="P344" s="212">
        <f t="shared" ref="P344:Q344" ca="1" si="1141">P337-P340+P341+P342</f>
        <v>23674.635818386872</v>
      </c>
      <c r="Q344" s="212">
        <f t="shared" ca="1" si="1141"/>
        <v>15559.451401770053</v>
      </c>
      <c r="R344" s="212">
        <f t="shared" ref="R344:S344" ca="1" si="1142">R337-R340+R341+R342</f>
        <v>17868.842466274658</v>
      </c>
      <c r="S344" s="212">
        <f t="shared" ca="1" si="1142"/>
        <v>32057.796745671792</v>
      </c>
      <c r="T344" s="212">
        <f t="shared" ref="T344:U344" ca="1" si="1143">T337-T340+T341+T342</f>
        <v>26266.654156912577</v>
      </c>
      <c r="U344" s="212">
        <f t="shared" ca="1" si="1143"/>
        <v>17689.357380328693</v>
      </c>
      <c r="V344" s="212">
        <f t="shared" ref="V344:W344" ca="1" si="1144">V337-V340+V341+V342</f>
        <v>20286.368058203057</v>
      </c>
      <c r="W344" s="212">
        <f t="shared" ca="1" si="1144"/>
        <v>35346.40171427506</v>
      </c>
      <c r="X344" s="212">
        <f t="shared" ref="X344:Y344" ca="1" si="1145">X337-X340+X341+X342</f>
        <v>29227.82238293194</v>
      </c>
      <c r="Y344" s="212">
        <f t="shared" ca="1" si="1145"/>
        <v>19123.969497546681</v>
      </c>
      <c r="Z344" s="212">
        <f t="shared" ref="Z344:AA344" ca="1" si="1146">Z337-Z340+Z341+Z342</f>
        <v>21366.155809728654</v>
      </c>
      <c r="AA344" s="212">
        <f t="shared" ca="1" si="1146"/>
        <v>37327.775381873253</v>
      </c>
      <c r="AB344" s="212">
        <f t="shared" ref="AB344:AC344" ca="1" si="1147">AB337-AB340+AB341+AB342</f>
        <v>30840.035603368255</v>
      </c>
      <c r="AC344" s="212">
        <f t="shared" ca="1" si="1147"/>
        <v>20672.189962941244</v>
      </c>
      <c r="AD344" s="212">
        <f t="shared" ref="AD344:AE344" ca="1" si="1148">AD337-AD340+AD341+AD342</f>
        <v>23326.945533337606</v>
      </c>
      <c r="AE344" s="212">
        <f t="shared" ca="1" si="1148"/>
        <v>40256.223185570139</v>
      </c>
      <c r="AF344" s="212">
        <f t="shared" ref="AF344:AG344" ca="1" si="1149">AF337-AF340+AF341+AF342</f>
        <v>33389.326090912931</v>
      </c>
      <c r="AG344" s="212">
        <f t="shared" ca="1" si="1149"/>
        <v>22276.99070343225</v>
      </c>
      <c r="AH344" s="212">
        <f t="shared" ref="AH344:AI344" ca="1" si="1150">AH337-AH340+AH341+AH342</f>
        <v>24924.04258072823</v>
      </c>
      <c r="AI344" s="212">
        <f t="shared" ca="1" si="1150"/>
        <v>42871.974687864116</v>
      </c>
      <c r="AJ344" s="212">
        <f t="shared" ref="AJ344:AK344" ca="1" si="1151">AJ337-AJ340+AJ341+AJ342</f>
        <v>35596.004085106186</v>
      </c>
      <c r="AK344" s="212">
        <f t="shared" ca="1" si="1151"/>
        <v>23611.996649036155</v>
      </c>
      <c r="AL344" s="212">
        <f t="shared" ref="AL344:AM344" ca="1" si="1152">AL337-AL340+AL341+AL342</f>
        <v>26313.890268425414</v>
      </c>
      <c r="AM344" s="212">
        <f t="shared" ca="1" si="1152"/>
        <v>45337.148819152746</v>
      </c>
      <c r="AN344" s="212">
        <f t="shared" ref="AN344:AO344" ca="1" si="1153">AN337-AN340+AN341+AN342</f>
        <v>37623.047760519854</v>
      </c>
      <c r="AO344" s="212">
        <f t="shared" ca="1" si="1153"/>
        <v>24962.072055575976</v>
      </c>
      <c r="AP344" s="212">
        <f t="shared" ref="AP344:AQ344" ca="1" si="1154">AP337-AP340+AP341+AP342</f>
        <v>27846.935096321486</v>
      </c>
      <c r="AQ344" s="212">
        <f t="shared" ca="1" si="1154"/>
        <v>48010.917265392796</v>
      </c>
      <c r="AR344" s="212">
        <f t="shared" ref="AR344:AS344" ca="1" si="1155">AR337-AR340+AR341+AR342</f>
        <v>39833.288389262787</v>
      </c>
      <c r="AS344" s="212">
        <f t="shared" ca="1" si="1155"/>
        <v>24668.92526203988</v>
      </c>
      <c r="AT344" s="212">
        <f t="shared" ref="AT344:AU344" ca="1" si="1156">AT337-AT340+AT341+AT342</f>
        <v>26829.082556928141</v>
      </c>
      <c r="AU344" s="212">
        <f t="shared" ca="1" si="1156"/>
        <v>48163.450546045977</v>
      </c>
      <c r="AV344" s="212">
        <f t="shared" ref="AV344" ca="1" si="1157">AV337-AV340+AV341+AV342</f>
        <v>39455.131898381951</v>
      </c>
      <c r="AX344" s="143">
        <f ca="1">SUM(G344:AW344)</f>
        <v>1056739.6695729187</v>
      </c>
    </row>
    <row r="345" spans="1:50" x14ac:dyDescent="0.2">
      <c r="A345" s="65" t="str">
        <f ca="1">Language!A1324</f>
        <v>Дисконтированный денежный поток</v>
      </c>
      <c r="B345" s="215"/>
      <c r="C345" s="130" t="str">
        <f ca="1">Параметры!$C$64</f>
        <v>тыс. руб.</v>
      </c>
      <c r="D345" s="57"/>
      <c r="E345" s="57"/>
      <c r="F345" s="57" t="s">
        <v>753</v>
      </c>
      <c r="G345" s="148">
        <f ca="1">G344/G317</f>
        <v>-29014.519004152564</v>
      </c>
      <c r="H345" s="148">
        <f t="shared" ref="H345:K345" ca="1" si="1158">H344/H317</f>
        <v>-9404.3170610078105</v>
      </c>
      <c r="I345" s="148">
        <f t="shared" ca="1" si="1158"/>
        <v>6404.1130477257911</v>
      </c>
      <c r="J345" s="148">
        <f t="shared" ca="1" si="1158"/>
        <v>9526.9297243592719</v>
      </c>
      <c r="K345" s="148">
        <f t="shared" ca="1" si="1158"/>
        <v>20705.297723590444</v>
      </c>
      <c r="L345" s="148">
        <f t="shared" ref="L345:M345" ca="1" si="1159">L344/L317</f>
        <v>16516.77562229383</v>
      </c>
      <c r="M345" s="148">
        <f t="shared" ca="1" si="1159"/>
        <v>10069.336815000746</v>
      </c>
      <c r="N345" s="148">
        <f t="shared" ref="N345:O345" ca="1" si="1160">N344/N317</f>
        <v>12176.419994358484</v>
      </c>
      <c r="O345" s="148">
        <f t="shared" ca="1" si="1160"/>
        <v>23508.291608511765</v>
      </c>
      <c r="P345" s="148">
        <f t="shared" ref="P345:Q345" ca="1" si="1161">P344/P317</f>
        <v>19105.119806992672</v>
      </c>
      <c r="Q345" s="148">
        <f t="shared" ca="1" si="1161"/>
        <v>12260.623818820364</v>
      </c>
      <c r="R345" s="148">
        <f t="shared" ref="R345:S345" ca="1" si="1162">R344/R317</f>
        <v>13748.85512983121</v>
      </c>
      <c r="S345" s="148">
        <f t="shared" ca="1" si="1162"/>
        <v>24085.497179317659</v>
      </c>
      <c r="T345" s="148">
        <f t="shared" ref="T345:U345" ca="1" si="1163">T344/T317</f>
        <v>19269.858657874196</v>
      </c>
      <c r="U345" s="148">
        <f t="shared" ca="1" si="1163"/>
        <v>12671.78098417643</v>
      </c>
      <c r="V345" s="148">
        <f t="shared" ref="V345:W345" ca="1" si="1164">V344/V317</f>
        <v>14189.97830080677</v>
      </c>
      <c r="W345" s="148">
        <f t="shared" ca="1" si="1164"/>
        <v>24142.067969588876</v>
      </c>
      <c r="X345" s="148">
        <f t="shared" ref="X345:Y345" ca="1" si="1165">X344/X317</f>
        <v>19492.949045930407</v>
      </c>
      <c r="Y345" s="148">
        <f t="shared" ca="1" si="1165"/>
        <v>12454.06015557994</v>
      </c>
      <c r="Z345" s="148">
        <f t="shared" ref="Z345:AA345" ca="1" si="1166">Z344/Z317</f>
        <v>13586.610854856082</v>
      </c>
      <c r="AA345" s="148">
        <f t="shared" ca="1" si="1166"/>
        <v>23177.61167696771</v>
      </c>
      <c r="AB345" s="148">
        <f t="shared" ref="AB345:AC345" ca="1" si="1167">AB344/AB317</f>
        <v>18698.349523239202</v>
      </c>
      <c r="AC345" s="148">
        <f t="shared" ca="1" si="1167"/>
        <v>12238.458480507858</v>
      </c>
      <c r="AD345" s="148">
        <f t="shared" ref="AD345:AE345" ca="1" si="1168">AD344/AD317</f>
        <v>13484.968479898973</v>
      </c>
      <c r="AE345" s="148">
        <f t="shared" ca="1" si="1168"/>
        <v>22723.58851068078</v>
      </c>
      <c r="AF345" s="148">
        <f t="shared" ref="AF345:AG345" ca="1" si="1169">AF344/AF317</f>
        <v>18403.624833131842</v>
      </c>
      <c r="AG345" s="148">
        <f t="shared" ca="1" si="1169"/>
        <v>11989.582767228738</v>
      </c>
      <c r="AH345" s="148">
        <f t="shared" ref="AH345:AI345" ca="1" si="1170">AH344/AH317</f>
        <v>13098.388264898682</v>
      </c>
      <c r="AI345" s="148">
        <f t="shared" ca="1" si="1170"/>
        <v>22000.10185565885</v>
      </c>
      <c r="AJ345" s="148">
        <f t="shared" ref="AJ345:AK345" ca="1" si="1171">AJ344/AJ317</f>
        <v>17836.279963385456</v>
      </c>
      <c r="AK345" s="148">
        <f t="shared" ca="1" si="1171"/>
        <v>11552.80849244268</v>
      </c>
      <c r="AL345" s="148">
        <f t="shared" ref="AL345:AM345" ca="1" si="1172">AL344/AL317</f>
        <v>12571.634592998478</v>
      </c>
      <c r="AM345" s="148">
        <f t="shared" ca="1" si="1172"/>
        <v>21150.114521801766</v>
      </c>
      <c r="AN345" s="148">
        <f t="shared" ref="AN345:AO345" ca="1" si="1173">AN344/AN317</f>
        <v>17138.165062471468</v>
      </c>
      <c r="AO345" s="148">
        <f t="shared" ca="1" si="1173"/>
        <v>11103.063117335703</v>
      </c>
      <c r="AP345" s="148">
        <f t="shared" ref="AP345:AQ345" ca="1" si="1174">AP344/AP317</f>
        <v>12094.597153295766</v>
      </c>
      <c r="AQ345" s="148">
        <f t="shared" ca="1" si="1174"/>
        <v>20361.315668131516</v>
      </c>
      <c r="AR345" s="148">
        <f t="shared" ref="AR345:AS345" ca="1" si="1175">AR344/AR317</f>
        <v>16495.43690108585</v>
      </c>
      <c r="AS345" s="148">
        <f t="shared" ca="1" si="1175"/>
        <v>9975.1565499213466</v>
      </c>
      <c r="AT345" s="148">
        <f t="shared" ref="AT345:AU345" ca="1" si="1176">AT344/AT317</f>
        <v>10593.199261220221</v>
      </c>
      <c r="AU345" s="148">
        <f t="shared" ca="1" si="1176"/>
        <v>18569.095153799157</v>
      </c>
      <c r="AV345" s="148">
        <f t="shared" ref="AV345" ca="1" si="1177">AV344/AV317</f>
        <v>14853.488923263412</v>
      </c>
      <c r="AX345" s="171">
        <f ca="1">SUM(G345:AW345)</f>
        <v>595604.76012782007</v>
      </c>
    </row>
    <row r="346" spans="1:50" x14ac:dyDescent="0.2">
      <c r="A346" s="65" t="str">
        <f ca="1">Language!A1325</f>
        <v>Дисконтированный поток нарастающим итогом</v>
      </c>
      <c r="B346" s="215"/>
      <c r="C346" s="130" t="str">
        <f ca="1">Параметры!$C$64</f>
        <v>тыс. руб.</v>
      </c>
      <c r="D346" s="57"/>
      <c r="E346" s="57"/>
      <c r="F346" s="57" t="s">
        <v>754</v>
      </c>
      <c r="G346" s="148">
        <f ca="1">G345 + IF(G$2&gt;1, F346)</f>
        <v>-29014.519004152564</v>
      </c>
      <c r="H346" s="148">
        <f t="shared" ref="H346" ca="1" si="1178">H345 + IF(H$2&gt;1, G346)</f>
        <v>-38418.836065160373</v>
      </c>
      <c r="I346" s="148">
        <f t="shared" ref="I346" ca="1" si="1179">I345 + IF(I$2&gt;1, H346)</f>
        <v>-32014.723017434582</v>
      </c>
      <c r="J346" s="148">
        <f t="shared" ref="J346" ca="1" si="1180">J345 + IF(J$2&gt;1, I346)</f>
        <v>-22487.793293075309</v>
      </c>
      <c r="K346" s="148">
        <f t="shared" ref="K346:AV346" ca="1" si="1181">K345 + IF(K$2&gt;1, J346)</f>
        <v>-1782.495569484865</v>
      </c>
      <c r="L346" s="148">
        <f t="shared" ca="1" si="1181"/>
        <v>14734.280052808965</v>
      </c>
      <c r="M346" s="148">
        <f t="shared" ca="1" si="1181"/>
        <v>24803.616867809709</v>
      </c>
      <c r="N346" s="148">
        <f t="shared" ca="1" si="1181"/>
        <v>36980.036862168192</v>
      </c>
      <c r="O346" s="148">
        <f t="shared" ca="1" si="1181"/>
        <v>60488.32847067996</v>
      </c>
      <c r="P346" s="148">
        <f t="shared" ca="1" si="1181"/>
        <v>79593.448277672636</v>
      </c>
      <c r="Q346" s="148">
        <f t="shared" ca="1" si="1181"/>
        <v>91854.072096493008</v>
      </c>
      <c r="R346" s="148">
        <f t="shared" ca="1" si="1181"/>
        <v>105602.92722632422</v>
      </c>
      <c r="S346" s="148">
        <f t="shared" ca="1" si="1181"/>
        <v>129688.42440564188</v>
      </c>
      <c r="T346" s="148">
        <f t="shared" ca="1" si="1181"/>
        <v>148958.28306351608</v>
      </c>
      <c r="U346" s="148">
        <f t="shared" ca="1" si="1181"/>
        <v>161630.06404769252</v>
      </c>
      <c r="V346" s="148">
        <f t="shared" ca="1" si="1181"/>
        <v>175820.04234849929</v>
      </c>
      <c r="W346" s="148">
        <f t="shared" ca="1" si="1181"/>
        <v>199962.11031808818</v>
      </c>
      <c r="X346" s="148">
        <f t="shared" ca="1" si="1181"/>
        <v>219455.05936401858</v>
      </c>
      <c r="Y346" s="148">
        <f t="shared" ca="1" si="1181"/>
        <v>231909.11951959852</v>
      </c>
      <c r="Z346" s="148">
        <f t="shared" ca="1" si="1181"/>
        <v>245495.73037445461</v>
      </c>
      <c r="AA346" s="148">
        <f t="shared" ca="1" si="1181"/>
        <v>268673.34205142234</v>
      </c>
      <c r="AB346" s="148">
        <f t="shared" ca="1" si="1181"/>
        <v>287371.69157466153</v>
      </c>
      <c r="AC346" s="148">
        <f t="shared" ca="1" si="1181"/>
        <v>299610.15005516936</v>
      </c>
      <c r="AD346" s="148">
        <f t="shared" ca="1" si="1181"/>
        <v>313095.11853506835</v>
      </c>
      <c r="AE346" s="148">
        <f t="shared" ca="1" si="1181"/>
        <v>335818.70704574912</v>
      </c>
      <c r="AF346" s="148">
        <f t="shared" ca="1" si="1181"/>
        <v>354222.33187888097</v>
      </c>
      <c r="AG346" s="148">
        <f t="shared" ca="1" si="1181"/>
        <v>366211.91464610968</v>
      </c>
      <c r="AH346" s="148">
        <f t="shared" ca="1" si="1181"/>
        <v>379310.30291100836</v>
      </c>
      <c r="AI346" s="148">
        <f t="shared" ca="1" si="1181"/>
        <v>401310.40476666723</v>
      </c>
      <c r="AJ346" s="148">
        <f t="shared" ca="1" si="1181"/>
        <v>419146.68473005266</v>
      </c>
      <c r="AK346" s="148">
        <f t="shared" ca="1" si="1181"/>
        <v>430699.49322249531</v>
      </c>
      <c r="AL346" s="148">
        <f t="shared" ca="1" si="1181"/>
        <v>443271.12781549379</v>
      </c>
      <c r="AM346" s="148">
        <f t="shared" ca="1" si="1181"/>
        <v>464421.24233729555</v>
      </c>
      <c r="AN346" s="148">
        <f t="shared" ca="1" si="1181"/>
        <v>481559.40739976702</v>
      </c>
      <c r="AO346" s="148">
        <f t="shared" ca="1" si="1181"/>
        <v>492662.47051710275</v>
      </c>
      <c r="AP346" s="148">
        <f t="shared" ca="1" si="1181"/>
        <v>504757.06767039851</v>
      </c>
      <c r="AQ346" s="148">
        <f t="shared" ca="1" si="1181"/>
        <v>525118.38333853008</v>
      </c>
      <c r="AR346" s="148">
        <f t="shared" ca="1" si="1181"/>
        <v>541613.82023961598</v>
      </c>
      <c r="AS346" s="148">
        <f t="shared" ca="1" si="1181"/>
        <v>551588.97678953735</v>
      </c>
      <c r="AT346" s="148">
        <f t="shared" ca="1" si="1181"/>
        <v>562182.17605075752</v>
      </c>
      <c r="AU346" s="148">
        <f t="shared" ca="1" si="1181"/>
        <v>580751.27120455669</v>
      </c>
      <c r="AV346" s="148">
        <f t="shared" ca="1" si="1181"/>
        <v>595604.76012782007</v>
      </c>
    </row>
    <row r="347" spans="1:50" x14ac:dyDescent="0.2">
      <c r="A347" s="99"/>
      <c r="B347" s="215"/>
      <c r="D347" s="57"/>
      <c r="E347" s="57"/>
      <c r="F347" s="57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</row>
    <row r="348" spans="1:50" x14ac:dyDescent="0.2">
      <c r="A348" s="92" t="str">
        <f ca="1">Language!A1379</f>
        <v>Чистая приведенная стоимость, NPV</v>
      </c>
      <c r="B348" s="274">
        <f ca="1">AX345</f>
        <v>595604.76012782007</v>
      </c>
      <c r="C348" s="130" t="str">
        <f ca="1">Параметры!$C$64</f>
        <v>тыс. руб.</v>
      </c>
      <c r="D348" s="57"/>
      <c r="E348" s="57"/>
      <c r="F348" s="57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</row>
    <row r="349" spans="1:50" x14ac:dyDescent="0.2">
      <c r="A349" s="67"/>
      <c r="B349" s="248"/>
      <c r="C349" s="133"/>
      <c r="D349" s="68"/>
      <c r="E349" s="68" t="s">
        <v>752</v>
      </c>
      <c r="F349" s="68"/>
      <c r="G349" s="240"/>
      <c r="H349" s="240"/>
      <c r="I349" s="240"/>
      <c r="J349" s="240"/>
      <c r="K349" s="240"/>
      <c r="L349" s="240"/>
      <c r="M349" s="240"/>
      <c r="N349" s="240"/>
      <c r="O349" s="240"/>
      <c r="P349" s="240"/>
      <c r="Q349" s="240"/>
      <c r="R349" s="240"/>
      <c r="S349" s="240"/>
      <c r="T349" s="240"/>
      <c r="U349" s="240"/>
      <c r="V349" s="240"/>
      <c r="W349" s="240"/>
      <c r="X349" s="240"/>
      <c r="Y349" s="240"/>
      <c r="Z349" s="240"/>
      <c r="AA349" s="240"/>
      <c r="AB349" s="240"/>
      <c r="AC349" s="240"/>
      <c r="AD349" s="240"/>
      <c r="AE349" s="240"/>
      <c r="AF349" s="240"/>
      <c r="AG349" s="240"/>
      <c r="AH349" s="240"/>
      <c r="AI349" s="240"/>
      <c r="AJ349" s="240"/>
      <c r="AK349" s="240"/>
      <c r="AL349" s="240"/>
      <c r="AM349" s="240"/>
      <c r="AN349" s="240"/>
      <c r="AO349" s="240"/>
      <c r="AP349" s="240"/>
      <c r="AQ349" s="240"/>
      <c r="AR349" s="240"/>
      <c r="AS349" s="240"/>
      <c r="AT349" s="240"/>
      <c r="AU349" s="240"/>
      <c r="AV349" s="240"/>
      <c r="AW349" s="240"/>
      <c r="AX349" s="240"/>
    </row>
  </sheetData>
  <sheetProtection formatCells="0"/>
  <mergeCells count="1">
    <mergeCell ref="A1:C2"/>
  </mergeCells>
  <conditionalFormatting sqref="G117:K117">
    <cfRule type="expression" dxfId="37" priority="63">
      <formula>G$117&lt;&gt;0</formula>
    </cfRule>
  </conditionalFormatting>
  <conditionalFormatting sqref="L117">
    <cfRule type="expression" dxfId="36" priority="41">
      <formula>L$117&lt;&gt;0</formula>
    </cfRule>
  </conditionalFormatting>
  <conditionalFormatting sqref="M117">
    <cfRule type="expression" dxfId="35" priority="40">
      <formula>M$117&lt;&gt;0</formula>
    </cfRule>
  </conditionalFormatting>
  <conditionalFormatting sqref="N117">
    <cfRule type="expression" dxfId="34" priority="39">
      <formula>N$117&lt;&gt;0</formula>
    </cfRule>
  </conditionalFormatting>
  <conditionalFormatting sqref="O117">
    <cfRule type="expression" dxfId="33" priority="38">
      <formula>O$117&lt;&gt;0</formula>
    </cfRule>
  </conditionalFormatting>
  <conditionalFormatting sqref="P117">
    <cfRule type="expression" dxfId="32" priority="37">
      <formula>P$117&lt;&gt;0</formula>
    </cfRule>
  </conditionalFormatting>
  <conditionalFormatting sqref="Q117">
    <cfRule type="expression" dxfId="31" priority="36">
      <formula>Q$117&lt;&gt;0</formula>
    </cfRule>
  </conditionalFormatting>
  <conditionalFormatting sqref="R117">
    <cfRule type="expression" dxfId="30" priority="35">
      <formula>R$117&lt;&gt;0</formula>
    </cfRule>
  </conditionalFormatting>
  <conditionalFormatting sqref="S117">
    <cfRule type="expression" dxfId="29" priority="34">
      <formula>S$117&lt;&gt;0</formula>
    </cfRule>
  </conditionalFormatting>
  <conditionalFormatting sqref="T117">
    <cfRule type="expression" dxfId="28" priority="33">
      <formula>T$117&lt;&gt;0</formula>
    </cfRule>
  </conditionalFormatting>
  <conditionalFormatting sqref="U117">
    <cfRule type="expression" dxfId="27" priority="32">
      <formula>U$117&lt;&gt;0</formula>
    </cfRule>
  </conditionalFormatting>
  <conditionalFormatting sqref="V117">
    <cfRule type="expression" dxfId="26" priority="31">
      <formula>V$117&lt;&gt;0</formula>
    </cfRule>
  </conditionalFormatting>
  <conditionalFormatting sqref="W117">
    <cfRule type="expression" dxfId="25" priority="30">
      <formula>W$117&lt;&gt;0</formula>
    </cfRule>
  </conditionalFormatting>
  <conditionalFormatting sqref="X117">
    <cfRule type="expression" dxfId="24" priority="29">
      <formula>X$117&lt;&gt;0</formula>
    </cfRule>
  </conditionalFormatting>
  <conditionalFormatting sqref="Y117">
    <cfRule type="expression" dxfId="23" priority="28">
      <formula>Y$117&lt;&gt;0</formula>
    </cfRule>
  </conditionalFormatting>
  <conditionalFormatting sqref="Z117">
    <cfRule type="expression" dxfId="22" priority="27">
      <formula>Z$117&lt;&gt;0</formula>
    </cfRule>
  </conditionalFormatting>
  <conditionalFormatting sqref="AA117">
    <cfRule type="expression" dxfId="21" priority="26">
      <formula>AA$117&lt;&gt;0</formula>
    </cfRule>
  </conditionalFormatting>
  <conditionalFormatting sqref="AB117">
    <cfRule type="expression" dxfId="20" priority="25">
      <formula>AB$117&lt;&gt;0</formula>
    </cfRule>
  </conditionalFormatting>
  <conditionalFormatting sqref="AC117">
    <cfRule type="expression" dxfId="19" priority="24">
      <formula>AC$117&lt;&gt;0</formula>
    </cfRule>
  </conditionalFormatting>
  <conditionalFormatting sqref="AD117">
    <cfRule type="expression" dxfId="18" priority="23">
      <formula>AD$117&lt;&gt;0</formula>
    </cfRule>
  </conditionalFormatting>
  <conditionalFormatting sqref="AE117">
    <cfRule type="expression" dxfId="17" priority="22">
      <formula>AE$117&lt;&gt;0</formula>
    </cfRule>
  </conditionalFormatting>
  <conditionalFormatting sqref="AF117">
    <cfRule type="expression" dxfId="16" priority="21">
      <formula>AF$117&lt;&gt;0</formula>
    </cfRule>
  </conditionalFormatting>
  <conditionalFormatting sqref="AG117">
    <cfRule type="expression" dxfId="15" priority="20">
      <formula>AG$117&lt;&gt;0</formula>
    </cfRule>
  </conditionalFormatting>
  <conditionalFormatting sqref="AH117">
    <cfRule type="expression" dxfId="14" priority="19">
      <formula>AH$117&lt;&gt;0</formula>
    </cfRule>
  </conditionalFormatting>
  <conditionalFormatting sqref="AI117">
    <cfRule type="expression" dxfId="13" priority="18">
      <formula>AI$117&lt;&gt;0</formula>
    </cfRule>
  </conditionalFormatting>
  <conditionalFormatting sqref="AJ117">
    <cfRule type="expression" dxfId="12" priority="17">
      <formula>AJ$117&lt;&gt;0</formula>
    </cfRule>
  </conditionalFormatting>
  <conditionalFormatting sqref="AK117">
    <cfRule type="expression" dxfId="11" priority="16">
      <formula>AK$117&lt;&gt;0</formula>
    </cfRule>
  </conditionalFormatting>
  <conditionalFormatting sqref="AL117">
    <cfRule type="expression" dxfId="10" priority="15">
      <formula>AL$117&lt;&gt;0</formula>
    </cfRule>
  </conditionalFormatting>
  <conditionalFormatting sqref="AM117">
    <cfRule type="expression" dxfId="9" priority="14">
      <formula>AM$117&lt;&gt;0</formula>
    </cfRule>
  </conditionalFormatting>
  <conditionalFormatting sqref="AN117">
    <cfRule type="expression" dxfId="8" priority="13">
      <formula>AN$117&lt;&gt;0</formula>
    </cfRule>
  </conditionalFormatting>
  <conditionalFormatting sqref="AO117">
    <cfRule type="expression" dxfId="7" priority="12">
      <formula>AO$117&lt;&gt;0</formula>
    </cfRule>
  </conditionalFormatting>
  <conditionalFormatting sqref="AP117">
    <cfRule type="expression" dxfId="6" priority="11">
      <formula>AP$117&lt;&gt;0</formula>
    </cfRule>
  </conditionalFormatting>
  <conditionalFormatting sqref="AQ117">
    <cfRule type="expression" dxfId="5" priority="10">
      <formula>AQ$117&lt;&gt;0</formula>
    </cfRule>
  </conditionalFormatting>
  <conditionalFormatting sqref="AR117">
    <cfRule type="expression" dxfId="4" priority="9">
      <formula>AR$117&lt;&gt;0</formula>
    </cfRule>
  </conditionalFormatting>
  <conditionalFormatting sqref="AS117">
    <cfRule type="expression" dxfId="3" priority="8">
      <formula>AS$117&lt;&gt;0</formula>
    </cfRule>
  </conditionalFormatting>
  <conditionalFormatting sqref="AT117">
    <cfRule type="expression" dxfId="2" priority="7">
      <formula>AT$117&lt;&gt;0</formula>
    </cfRule>
  </conditionalFormatting>
  <conditionalFormatting sqref="AU117">
    <cfRule type="expression" dxfId="1" priority="6">
      <formula>AU$117&lt;&gt;0</formula>
    </cfRule>
  </conditionalFormatting>
  <conditionalFormatting sqref="AV117">
    <cfRule type="expression" dxfId="0" priority="5">
      <formula>AV$117&lt;&gt;0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outlinePr summaryBelow="0" summaryRight="0"/>
  </sheetPr>
  <dimension ref="A1:N275"/>
  <sheetViews>
    <sheetView topLeftCell="A37" zoomScaleNormal="100" zoomScaleSheetLayoutView="80" workbookViewId="0"/>
  </sheetViews>
  <sheetFormatPr defaultColWidth="8.7109375" defaultRowHeight="12.75" outlineLevelRow="1" x14ac:dyDescent="0.2"/>
  <cols>
    <col min="1" max="1" width="4.7109375" style="38" customWidth="1"/>
    <col min="2" max="4" width="4.7109375" style="38" hidden="1" customWidth="1"/>
    <col min="5" max="5" width="12.7109375" style="38" hidden="1" customWidth="1"/>
    <col min="6" max="6" width="30.7109375" style="38" hidden="1" customWidth="1"/>
    <col min="7" max="14" width="12.7109375" style="38" customWidth="1"/>
    <col min="15" max="16384" width="8.7109375" style="38"/>
  </cols>
  <sheetData>
    <row r="1" spans="1:14" x14ac:dyDescent="0.2">
      <c r="D1" s="57"/>
      <c r="E1" s="57"/>
      <c r="F1" s="57"/>
    </row>
    <row r="2" spans="1:14" ht="25.5" customHeight="1" thickBot="1" x14ac:dyDescent="0.25">
      <c r="A2" s="118" t="str">
        <f ca="1">Language!A1398</f>
        <v>График: Продажи</v>
      </c>
      <c r="B2" s="120"/>
      <c r="C2" s="120"/>
      <c r="D2" s="121"/>
      <c r="E2" s="62" t="s">
        <v>1130</v>
      </c>
      <c r="F2" s="121"/>
      <c r="G2" s="120"/>
      <c r="H2" s="120"/>
      <c r="I2" s="120"/>
      <c r="J2" s="120"/>
      <c r="K2" s="120"/>
      <c r="L2" s="120"/>
      <c r="M2" s="120"/>
      <c r="N2" s="120"/>
    </row>
    <row r="3" spans="1:14" ht="13.5" thickTop="1" x14ac:dyDescent="0.2">
      <c r="D3" s="57"/>
      <c r="E3" s="57"/>
      <c r="F3" s="57"/>
    </row>
    <row r="4" spans="1:14" x14ac:dyDescent="0.2">
      <c r="D4" s="57"/>
      <c r="E4" s="57"/>
      <c r="F4" s="57"/>
    </row>
    <row r="5" spans="1:14" x14ac:dyDescent="0.2">
      <c r="D5" s="57"/>
      <c r="E5" s="57"/>
      <c r="F5" s="57"/>
    </row>
    <row r="6" spans="1:14" x14ac:dyDescent="0.2">
      <c r="D6" s="57"/>
      <c r="E6" s="57"/>
      <c r="F6" s="57"/>
    </row>
    <row r="7" spans="1:14" x14ac:dyDescent="0.2">
      <c r="D7" s="57"/>
      <c r="E7" s="57"/>
      <c r="F7" s="57"/>
    </row>
    <row r="8" spans="1:14" x14ac:dyDescent="0.2">
      <c r="D8" s="57"/>
      <c r="E8" s="57"/>
      <c r="F8" s="57"/>
    </row>
    <row r="9" spans="1:14" x14ac:dyDescent="0.2">
      <c r="D9" s="57"/>
      <c r="E9" s="57"/>
      <c r="F9" s="57"/>
    </row>
    <row r="10" spans="1:14" x14ac:dyDescent="0.2">
      <c r="D10" s="57"/>
      <c r="E10" s="57"/>
      <c r="F10" s="57"/>
    </row>
    <row r="11" spans="1:14" x14ac:dyDescent="0.2">
      <c r="D11" s="57"/>
      <c r="E11" s="57"/>
      <c r="F11" s="57"/>
    </row>
    <row r="12" spans="1:14" x14ac:dyDescent="0.2">
      <c r="D12" s="57"/>
      <c r="E12" s="57"/>
      <c r="F12" s="57"/>
    </row>
    <row r="13" spans="1:14" x14ac:dyDescent="0.2">
      <c r="D13" s="57"/>
      <c r="E13" s="57"/>
      <c r="F13" s="57"/>
    </row>
    <row r="14" spans="1:14" x14ac:dyDescent="0.2">
      <c r="D14" s="57"/>
      <c r="E14" s="57"/>
      <c r="F14" s="57"/>
    </row>
    <row r="15" spans="1:14" x14ac:dyDescent="0.2">
      <c r="D15" s="57"/>
      <c r="E15" s="57"/>
      <c r="F15" s="57"/>
    </row>
    <row r="16" spans="1:14" x14ac:dyDescent="0.2">
      <c r="D16" s="57"/>
      <c r="E16" s="57"/>
      <c r="F16" s="57"/>
    </row>
    <row r="17" spans="1:14" x14ac:dyDescent="0.2">
      <c r="D17" s="57"/>
      <c r="E17" s="57"/>
      <c r="F17" s="57"/>
    </row>
    <row r="18" spans="1:14" x14ac:dyDescent="0.2">
      <c r="D18" s="57"/>
      <c r="E18" s="57"/>
      <c r="F18" s="57"/>
    </row>
    <row r="19" spans="1:14" x14ac:dyDescent="0.2">
      <c r="D19" s="57"/>
      <c r="E19" s="57"/>
      <c r="F19" s="57"/>
    </row>
    <row r="20" spans="1:14" x14ac:dyDescent="0.2">
      <c r="D20" s="57"/>
      <c r="E20" s="57"/>
      <c r="F20" s="57"/>
    </row>
    <row r="21" spans="1:14" x14ac:dyDescent="0.2">
      <c r="D21" s="57"/>
      <c r="E21" s="57"/>
      <c r="F21" s="57"/>
    </row>
    <row r="22" spans="1:14" x14ac:dyDescent="0.2">
      <c r="D22" s="57"/>
      <c r="E22" s="57"/>
      <c r="F22" s="57"/>
    </row>
    <row r="23" spans="1:14" x14ac:dyDescent="0.2">
      <c r="D23" s="57"/>
      <c r="E23" s="57"/>
      <c r="F23" s="57"/>
    </row>
    <row r="24" spans="1:14" x14ac:dyDescent="0.2">
      <c r="D24" s="57"/>
      <c r="E24" s="57"/>
      <c r="F24" s="57"/>
    </row>
    <row r="25" spans="1:14" x14ac:dyDescent="0.2">
      <c r="D25" s="57"/>
      <c r="E25" s="57"/>
      <c r="F25" s="57"/>
    </row>
    <row r="26" spans="1:14" x14ac:dyDescent="0.2">
      <c r="D26" s="57"/>
      <c r="E26" s="57"/>
      <c r="F26" s="57"/>
    </row>
    <row r="27" spans="1:14" x14ac:dyDescent="0.2">
      <c r="D27" s="57"/>
      <c r="E27" s="57"/>
      <c r="F27" s="57"/>
    </row>
    <row r="28" spans="1:14" ht="25.5" customHeight="1" thickBot="1" x14ac:dyDescent="0.25">
      <c r="A28" s="118" t="str">
        <f ca="1">Language!A1399</f>
        <v>График: EBITDA</v>
      </c>
      <c r="B28" s="120"/>
      <c r="C28" s="120"/>
      <c r="D28" s="121"/>
      <c r="E28" s="62" t="s">
        <v>877</v>
      </c>
      <c r="F28" s="121"/>
      <c r="G28" s="120"/>
      <c r="H28" s="120"/>
      <c r="I28" s="120"/>
      <c r="J28" s="120"/>
      <c r="K28" s="120"/>
      <c r="L28" s="120"/>
      <c r="M28" s="120"/>
      <c r="N28" s="120"/>
    </row>
    <row r="29" spans="1:14" ht="13.5" thickTop="1" x14ac:dyDescent="0.2">
      <c r="D29" s="57"/>
      <c r="E29" s="57"/>
      <c r="F29" s="57"/>
    </row>
    <row r="30" spans="1:14" x14ac:dyDescent="0.2">
      <c r="D30" s="57"/>
      <c r="E30" s="57"/>
      <c r="F30" s="57"/>
    </row>
    <row r="31" spans="1:14" x14ac:dyDescent="0.2">
      <c r="D31" s="57"/>
      <c r="E31" s="57"/>
      <c r="F31" s="57"/>
    </row>
    <row r="32" spans="1:14" x14ac:dyDescent="0.2">
      <c r="D32" s="57"/>
      <c r="E32" s="57"/>
      <c r="F32" s="57"/>
    </row>
    <row r="33" spans="4:6" x14ac:dyDescent="0.2">
      <c r="D33" s="57"/>
      <c r="E33" s="57"/>
      <c r="F33" s="57"/>
    </row>
    <row r="34" spans="4:6" x14ac:dyDescent="0.2">
      <c r="D34" s="57"/>
      <c r="E34" s="57"/>
      <c r="F34" s="57"/>
    </row>
    <row r="35" spans="4:6" x14ac:dyDescent="0.2">
      <c r="D35" s="57"/>
      <c r="E35" s="57"/>
      <c r="F35" s="57"/>
    </row>
    <row r="36" spans="4:6" x14ac:dyDescent="0.2">
      <c r="D36" s="57"/>
      <c r="E36" s="57"/>
      <c r="F36" s="57"/>
    </row>
    <row r="37" spans="4:6" x14ac:dyDescent="0.2">
      <c r="D37" s="57"/>
      <c r="E37" s="57"/>
      <c r="F37" s="57"/>
    </row>
    <row r="38" spans="4:6" x14ac:dyDescent="0.2">
      <c r="D38" s="57"/>
      <c r="E38" s="57"/>
      <c r="F38" s="57"/>
    </row>
    <row r="39" spans="4:6" x14ac:dyDescent="0.2">
      <c r="D39" s="57"/>
      <c r="E39" s="57"/>
      <c r="F39" s="57"/>
    </row>
    <row r="40" spans="4:6" x14ac:dyDescent="0.2">
      <c r="D40" s="57"/>
      <c r="E40" s="57"/>
      <c r="F40" s="57"/>
    </row>
    <row r="41" spans="4:6" x14ac:dyDescent="0.2">
      <c r="D41" s="57"/>
      <c r="E41" s="57"/>
      <c r="F41" s="57"/>
    </row>
    <row r="42" spans="4:6" x14ac:dyDescent="0.2">
      <c r="D42" s="57"/>
      <c r="E42" s="57"/>
      <c r="F42" s="57"/>
    </row>
    <row r="43" spans="4:6" x14ac:dyDescent="0.2">
      <c r="D43" s="57"/>
      <c r="E43" s="57"/>
      <c r="F43" s="57"/>
    </row>
    <row r="44" spans="4:6" x14ac:dyDescent="0.2">
      <c r="D44" s="57"/>
      <c r="E44" s="57"/>
      <c r="F44" s="57"/>
    </row>
    <row r="45" spans="4:6" x14ac:dyDescent="0.2">
      <c r="D45" s="57"/>
      <c r="E45" s="57"/>
      <c r="F45" s="57"/>
    </row>
    <row r="46" spans="4:6" x14ac:dyDescent="0.2">
      <c r="D46" s="57"/>
      <c r="E46" s="57"/>
      <c r="F46" s="57"/>
    </row>
    <row r="47" spans="4:6" x14ac:dyDescent="0.2">
      <c r="D47" s="57"/>
      <c r="E47" s="57"/>
      <c r="F47" s="57"/>
    </row>
    <row r="48" spans="4:6" x14ac:dyDescent="0.2">
      <c r="D48" s="57"/>
      <c r="E48" s="57"/>
      <c r="F48" s="57"/>
    </row>
    <row r="49" spans="1:14" x14ac:dyDescent="0.2">
      <c r="D49" s="57"/>
      <c r="E49" s="57"/>
      <c r="F49" s="57"/>
    </row>
    <row r="50" spans="1:14" x14ac:dyDescent="0.2">
      <c r="D50" s="57"/>
      <c r="E50" s="57"/>
      <c r="F50" s="57"/>
    </row>
    <row r="51" spans="1:14" x14ac:dyDescent="0.2">
      <c r="D51" s="57"/>
      <c r="E51" s="57"/>
      <c r="F51" s="57"/>
    </row>
    <row r="52" spans="1:14" x14ac:dyDescent="0.2">
      <c r="D52" s="57"/>
      <c r="E52" s="57"/>
      <c r="F52" s="57"/>
    </row>
    <row r="53" spans="1:14" x14ac:dyDescent="0.2">
      <c r="D53" s="57"/>
      <c r="E53" s="57"/>
      <c r="F53" s="57"/>
    </row>
    <row r="54" spans="1:14" ht="25.5" customHeight="1" thickBot="1" x14ac:dyDescent="0.25">
      <c r="A54" s="118" t="str">
        <f ca="1">Language!A1400</f>
        <v>График: Инвестиционные денежные потоки</v>
      </c>
      <c r="B54" s="120"/>
      <c r="C54" s="120"/>
      <c r="D54" s="121"/>
      <c r="E54" s="62" t="s">
        <v>1131</v>
      </c>
      <c r="F54" s="121"/>
      <c r="G54" s="120"/>
      <c r="H54" s="120"/>
      <c r="I54" s="120"/>
      <c r="J54" s="120"/>
      <c r="K54" s="120"/>
      <c r="L54" s="120"/>
      <c r="M54" s="120"/>
      <c r="N54" s="120"/>
    </row>
    <row r="55" spans="1:14" ht="13.5" thickTop="1" x14ac:dyDescent="0.2">
      <c r="D55" s="57"/>
      <c r="E55" s="57"/>
      <c r="F55" s="57"/>
    </row>
    <row r="56" spans="1:14" x14ac:dyDescent="0.2">
      <c r="D56" s="57"/>
      <c r="E56" s="57"/>
      <c r="F56" s="57"/>
    </row>
    <row r="57" spans="1:14" x14ac:dyDescent="0.2">
      <c r="D57" s="57"/>
      <c r="E57" s="57"/>
      <c r="F57" s="57"/>
    </row>
    <row r="58" spans="1:14" x14ac:dyDescent="0.2">
      <c r="D58" s="57"/>
      <c r="E58" s="57"/>
      <c r="F58" s="57"/>
    </row>
    <row r="59" spans="1:14" x14ac:dyDescent="0.2">
      <c r="D59" s="57"/>
      <c r="E59" s="57"/>
      <c r="F59" s="57"/>
    </row>
    <row r="60" spans="1:14" x14ac:dyDescent="0.2">
      <c r="D60" s="57"/>
      <c r="E60" s="57"/>
      <c r="F60" s="57"/>
    </row>
    <row r="61" spans="1:14" x14ac:dyDescent="0.2">
      <c r="D61" s="57"/>
      <c r="E61" s="57"/>
      <c r="F61" s="57"/>
    </row>
    <row r="62" spans="1:14" x14ac:dyDescent="0.2">
      <c r="D62" s="57"/>
      <c r="E62" s="57"/>
      <c r="F62" s="57"/>
    </row>
    <row r="63" spans="1:14" x14ac:dyDescent="0.2">
      <c r="D63" s="57"/>
      <c r="E63" s="57"/>
      <c r="F63" s="57"/>
    </row>
    <row r="64" spans="1:14" x14ac:dyDescent="0.2">
      <c r="D64" s="57"/>
      <c r="E64" s="57"/>
      <c r="F64" s="57"/>
    </row>
    <row r="65" spans="1:14" x14ac:dyDescent="0.2">
      <c r="D65" s="57"/>
      <c r="E65" s="57"/>
      <c r="F65" s="57"/>
    </row>
    <row r="66" spans="1:14" x14ac:dyDescent="0.2">
      <c r="D66" s="57"/>
      <c r="E66" s="57"/>
      <c r="F66" s="57"/>
    </row>
    <row r="67" spans="1:14" x14ac:dyDescent="0.2">
      <c r="D67" s="57"/>
      <c r="E67" s="57"/>
      <c r="F67" s="57"/>
    </row>
    <row r="68" spans="1:14" x14ac:dyDescent="0.2">
      <c r="D68" s="57"/>
      <c r="E68" s="57"/>
      <c r="F68" s="57"/>
    </row>
    <row r="69" spans="1:14" x14ac:dyDescent="0.2">
      <c r="D69" s="57"/>
      <c r="E69" s="57"/>
      <c r="F69" s="57"/>
    </row>
    <row r="70" spans="1:14" x14ac:dyDescent="0.2">
      <c r="D70" s="57"/>
      <c r="E70" s="57"/>
      <c r="F70" s="57"/>
    </row>
    <row r="71" spans="1:14" x14ac:dyDescent="0.2">
      <c r="D71" s="57"/>
      <c r="E71" s="57"/>
      <c r="F71" s="57"/>
    </row>
    <row r="72" spans="1:14" x14ac:dyDescent="0.2">
      <c r="D72" s="57"/>
      <c r="E72" s="57"/>
      <c r="F72" s="57"/>
    </row>
    <row r="73" spans="1:14" x14ac:dyDescent="0.2">
      <c r="D73" s="57"/>
      <c r="E73" s="57"/>
      <c r="F73" s="57"/>
    </row>
    <row r="74" spans="1:14" x14ac:dyDescent="0.2">
      <c r="D74" s="57"/>
      <c r="E74" s="57"/>
      <c r="F74" s="57"/>
    </row>
    <row r="75" spans="1:14" x14ac:dyDescent="0.2">
      <c r="D75" s="57"/>
      <c r="E75" s="57"/>
      <c r="F75" s="57"/>
    </row>
    <row r="76" spans="1:14" x14ac:dyDescent="0.2">
      <c r="D76" s="57"/>
      <c r="E76" s="57"/>
      <c r="F76" s="57"/>
    </row>
    <row r="77" spans="1:14" x14ac:dyDescent="0.2">
      <c r="D77" s="57"/>
      <c r="E77" s="57"/>
      <c r="F77" s="57"/>
    </row>
    <row r="78" spans="1:14" x14ac:dyDescent="0.2">
      <c r="D78" s="57"/>
      <c r="E78" s="57"/>
      <c r="F78" s="57"/>
    </row>
    <row r="79" spans="1:14" x14ac:dyDescent="0.2">
      <c r="D79" s="57"/>
      <c r="E79" s="57"/>
      <c r="F79" s="57"/>
    </row>
    <row r="80" spans="1:14" ht="25.5" customHeight="1" thickBot="1" x14ac:dyDescent="0.25">
      <c r="A80" s="118" t="str">
        <f ca="1">Language!A1401</f>
        <v>График: Денежные средства на конец периода</v>
      </c>
      <c r="B80" s="120"/>
      <c r="C80" s="120"/>
      <c r="D80" s="121"/>
      <c r="E80" s="62" t="s">
        <v>1132</v>
      </c>
      <c r="F80" s="121"/>
      <c r="G80" s="120"/>
      <c r="H80" s="120"/>
      <c r="I80" s="120"/>
      <c r="J80" s="120"/>
      <c r="K80" s="120"/>
      <c r="L80" s="120"/>
      <c r="M80" s="120"/>
      <c r="N80" s="120"/>
    </row>
    <row r="81" spans="4:6" ht="13.5" thickTop="1" x14ac:dyDescent="0.2">
      <c r="D81" s="57"/>
      <c r="E81" s="57"/>
      <c r="F81" s="57"/>
    </row>
    <row r="82" spans="4:6" x14ac:dyDescent="0.2">
      <c r="D82" s="57"/>
      <c r="E82" s="57"/>
      <c r="F82" s="57"/>
    </row>
    <row r="83" spans="4:6" x14ac:dyDescent="0.2">
      <c r="D83" s="57"/>
      <c r="E83" s="57"/>
      <c r="F83" s="57"/>
    </row>
    <row r="84" spans="4:6" x14ac:dyDescent="0.2">
      <c r="D84" s="57"/>
      <c r="E84" s="57"/>
      <c r="F84" s="57"/>
    </row>
    <row r="85" spans="4:6" x14ac:dyDescent="0.2">
      <c r="D85" s="57"/>
      <c r="E85" s="57"/>
      <c r="F85" s="57"/>
    </row>
    <row r="86" spans="4:6" x14ac:dyDescent="0.2">
      <c r="D86" s="57"/>
      <c r="E86" s="57"/>
      <c r="F86" s="57"/>
    </row>
    <row r="87" spans="4:6" x14ac:dyDescent="0.2">
      <c r="D87" s="57"/>
      <c r="E87" s="57"/>
      <c r="F87" s="57"/>
    </row>
    <row r="88" spans="4:6" x14ac:dyDescent="0.2">
      <c r="D88" s="57"/>
      <c r="E88" s="57"/>
      <c r="F88" s="57"/>
    </row>
    <row r="89" spans="4:6" x14ac:dyDescent="0.2">
      <c r="D89" s="57"/>
      <c r="E89" s="57"/>
      <c r="F89" s="57"/>
    </row>
    <row r="90" spans="4:6" x14ac:dyDescent="0.2">
      <c r="D90" s="57"/>
      <c r="E90" s="57"/>
      <c r="F90" s="57"/>
    </row>
    <row r="91" spans="4:6" x14ac:dyDescent="0.2">
      <c r="D91" s="57"/>
      <c r="E91" s="57"/>
      <c r="F91" s="57"/>
    </row>
    <row r="92" spans="4:6" x14ac:dyDescent="0.2">
      <c r="D92" s="57"/>
      <c r="E92" s="57"/>
      <c r="F92" s="57"/>
    </row>
    <row r="93" spans="4:6" x14ac:dyDescent="0.2">
      <c r="D93" s="57"/>
      <c r="E93" s="57"/>
      <c r="F93" s="57"/>
    </row>
    <row r="94" spans="4:6" x14ac:dyDescent="0.2">
      <c r="D94" s="57"/>
      <c r="E94" s="57"/>
      <c r="F94" s="57"/>
    </row>
    <row r="95" spans="4:6" x14ac:dyDescent="0.2">
      <c r="D95" s="57"/>
      <c r="E95" s="57"/>
      <c r="F95" s="57"/>
    </row>
    <row r="96" spans="4:6" x14ac:dyDescent="0.2">
      <c r="D96" s="57"/>
      <c r="E96" s="57"/>
      <c r="F96" s="57"/>
    </row>
    <row r="97" spans="1:14" x14ac:dyDescent="0.2">
      <c r="D97" s="57"/>
      <c r="E97" s="57"/>
      <c r="F97" s="57"/>
    </row>
    <row r="98" spans="1:14" x14ac:dyDescent="0.2">
      <c r="D98" s="57"/>
      <c r="E98" s="57"/>
      <c r="F98" s="57"/>
    </row>
    <row r="99" spans="1:14" x14ac:dyDescent="0.2">
      <c r="D99" s="57"/>
      <c r="E99" s="57"/>
      <c r="F99" s="57"/>
    </row>
    <row r="100" spans="1:14" x14ac:dyDescent="0.2">
      <c r="D100" s="57"/>
      <c r="E100" s="57"/>
      <c r="F100" s="57"/>
    </row>
    <row r="101" spans="1:14" x14ac:dyDescent="0.2">
      <c r="D101" s="57"/>
      <c r="E101" s="57"/>
      <c r="F101" s="57"/>
    </row>
    <row r="102" spans="1:14" x14ac:dyDescent="0.2">
      <c r="D102" s="57"/>
      <c r="E102" s="57"/>
      <c r="F102" s="57"/>
    </row>
    <row r="103" spans="1:14" x14ac:dyDescent="0.2">
      <c r="D103" s="57"/>
      <c r="E103" s="57"/>
      <c r="F103" s="57"/>
    </row>
    <row r="104" spans="1:14" x14ac:dyDescent="0.2">
      <c r="D104" s="57"/>
      <c r="E104" s="57"/>
      <c r="F104" s="57"/>
    </row>
    <row r="105" spans="1:14" x14ac:dyDescent="0.2">
      <c r="D105" s="57"/>
      <c r="E105" s="57"/>
      <c r="F105" s="57"/>
    </row>
    <row r="106" spans="1:14" ht="25.5" customHeight="1" thickBot="1" x14ac:dyDescent="0.25">
      <c r="A106" s="118" t="str">
        <f ca="1">Language!A1402</f>
        <v>График: Задолженность по кредитам</v>
      </c>
      <c r="B106" s="120"/>
      <c r="C106" s="120"/>
      <c r="D106" s="121"/>
      <c r="E106" s="62" t="s">
        <v>1134</v>
      </c>
      <c r="F106" s="121"/>
      <c r="G106" s="120"/>
      <c r="H106" s="120"/>
      <c r="I106" s="120"/>
      <c r="J106" s="120"/>
      <c r="K106" s="120"/>
      <c r="L106" s="120"/>
      <c r="M106" s="120"/>
      <c r="N106" s="120"/>
    </row>
    <row r="107" spans="1:14" ht="13.5" thickTop="1" x14ac:dyDescent="0.2">
      <c r="D107" s="57"/>
      <c r="E107" s="57"/>
      <c r="F107" s="57"/>
    </row>
    <row r="108" spans="1:14" x14ac:dyDescent="0.2">
      <c r="D108" s="57"/>
      <c r="E108" s="57"/>
      <c r="F108" s="57"/>
    </row>
    <row r="109" spans="1:14" x14ac:dyDescent="0.2">
      <c r="D109" s="57"/>
      <c r="E109" s="57"/>
      <c r="F109" s="57"/>
    </row>
    <row r="110" spans="1:14" x14ac:dyDescent="0.2">
      <c r="D110" s="57"/>
      <c r="E110" s="57"/>
      <c r="F110" s="57"/>
    </row>
    <row r="111" spans="1:14" x14ac:dyDescent="0.2">
      <c r="D111" s="57"/>
      <c r="E111" s="57"/>
      <c r="F111" s="57"/>
    </row>
    <row r="112" spans="1:14" x14ac:dyDescent="0.2">
      <c r="D112" s="57"/>
      <c r="E112" s="57"/>
      <c r="F112" s="57"/>
    </row>
    <row r="113" spans="4:6" x14ac:dyDescent="0.2">
      <c r="D113" s="57"/>
      <c r="E113" s="57"/>
      <c r="F113" s="57"/>
    </row>
    <row r="114" spans="4:6" x14ac:dyDescent="0.2">
      <c r="D114" s="57"/>
      <c r="E114" s="57"/>
      <c r="F114" s="57"/>
    </row>
    <row r="115" spans="4:6" x14ac:dyDescent="0.2">
      <c r="D115" s="57"/>
      <c r="E115" s="57"/>
      <c r="F115" s="57"/>
    </row>
    <row r="116" spans="4:6" x14ac:dyDescent="0.2">
      <c r="D116" s="57"/>
      <c r="E116" s="57"/>
      <c r="F116" s="57"/>
    </row>
    <row r="117" spans="4:6" x14ac:dyDescent="0.2">
      <c r="D117" s="57"/>
      <c r="E117" s="57"/>
      <c r="F117" s="57"/>
    </row>
    <row r="118" spans="4:6" x14ac:dyDescent="0.2">
      <c r="D118" s="57"/>
      <c r="E118" s="57"/>
      <c r="F118" s="57"/>
    </row>
    <row r="119" spans="4:6" x14ac:dyDescent="0.2">
      <c r="D119" s="57"/>
      <c r="E119" s="57"/>
      <c r="F119" s="57"/>
    </row>
    <row r="120" spans="4:6" x14ac:dyDescent="0.2">
      <c r="D120" s="57"/>
      <c r="E120" s="57"/>
      <c r="F120" s="57"/>
    </row>
    <row r="121" spans="4:6" x14ac:dyDescent="0.2">
      <c r="D121" s="57"/>
      <c r="E121" s="57"/>
      <c r="F121" s="57"/>
    </row>
    <row r="122" spans="4:6" x14ac:dyDescent="0.2">
      <c r="D122" s="57"/>
      <c r="E122" s="57"/>
      <c r="F122" s="57"/>
    </row>
    <row r="123" spans="4:6" x14ac:dyDescent="0.2">
      <c r="D123" s="57"/>
      <c r="E123" s="57"/>
      <c r="F123" s="57"/>
    </row>
    <row r="124" spans="4:6" x14ac:dyDescent="0.2">
      <c r="D124" s="57"/>
      <c r="E124" s="57"/>
      <c r="F124" s="57"/>
    </row>
    <row r="125" spans="4:6" x14ac:dyDescent="0.2">
      <c r="D125" s="57"/>
      <c r="E125" s="57"/>
      <c r="F125" s="57"/>
    </row>
    <row r="126" spans="4:6" x14ac:dyDescent="0.2">
      <c r="D126" s="57"/>
      <c r="E126" s="57"/>
      <c r="F126" s="57"/>
    </row>
    <row r="127" spans="4:6" x14ac:dyDescent="0.2">
      <c r="D127" s="57"/>
      <c r="E127" s="57"/>
      <c r="F127" s="57"/>
    </row>
    <row r="128" spans="4:6" x14ac:dyDescent="0.2">
      <c r="D128" s="57"/>
      <c r="E128" s="57"/>
      <c r="F128" s="57"/>
    </row>
    <row r="129" spans="1:14" x14ac:dyDescent="0.2">
      <c r="D129" s="57"/>
      <c r="E129" s="57"/>
      <c r="F129" s="57"/>
    </row>
    <row r="130" spans="1:14" x14ac:dyDescent="0.2">
      <c r="D130" s="57"/>
      <c r="E130" s="57"/>
      <c r="F130" s="57"/>
    </row>
    <row r="131" spans="1:14" x14ac:dyDescent="0.2">
      <c r="D131" s="57"/>
      <c r="E131" s="57"/>
      <c r="F131" s="57"/>
    </row>
    <row r="132" spans="1:14" ht="25.5" customHeight="1" thickBot="1" x14ac:dyDescent="0.25">
      <c r="A132" s="118" t="str">
        <f ca="1">Language!A1403</f>
        <v>График окупаемости (FCFF)</v>
      </c>
      <c r="B132" s="120"/>
      <c r="C132" s="120"/>
      <c r="D132" s="121"/>
      <c r="E132" s="62" t="s">
        <v>1135</v>
      </c>
      <c r="F132" s="121"/>
      <c r="G132" s="120"/>
      <c r="H132" s="120"/>
      <c r="I132" s="120"/>
      <c r="J132" s="120"/>
      <c r="K132" s="120"/>
      <c r="L132" s="120"/>
      <c r="M132" s="120"/>
      <c r="N132" s="120"/>
    </row>
    <row r="133" spans="1:14" ht="13.5" thickTop="1" x14ac:dyDescent="0.2">
      <c r="D133" s="57"/>
      <c r="E133" s="57"/>
      <c r="F133" s="57"/>
    </row>
    <row r="134" spans="1:14" x14ac:dyDescent="0.2">
      <c r="D134" s="57"/>
      <c r="E134" s="57"/>
      <c r="F134" s="57"/>
    </row>
    <row r="135" spans="1:14" x14ac:dyDescent="0.2">
      <c r="D135" s="57"/>
      <c r="E135" s="57"/>
      <c r="F135" s="57"/>
    </row>
    <row r="136" spans="1:14" x14ac:dyDescent="0.2">
      <c r="D136" s="57"/>
      <c r="E136" s="57"/>
      <c r="F136" s="57"/>
    </row>
    <row r="137" spans="1:14" x14ac:dyDescent="0.2">
      <c r="D137" s="57"/>
      <c r="E137" s="57"/>
      <c r="F137" s="57"/>
    </row>
    <row r="138" spans="1:14" x14ac:dyDescent="0.2">
      <c r="D138" s="57"/>
      <c r="E138" s="57"/>
      <c r="F138" s="57"/>
    </row>
    <row r="139" spans="1:14" x14ac:dyDescent="0.2">
      <c r="D139" s="57"/>
      <c r="E139" s="57"/>
      <c r="F139" s="57"/>
    </row>
    <row r="140" spans="1:14" x14ac:dyDescent="0.2">
      <c r="D140" s="57"/>
      <c r="E140" s="57"/>
      <c r="F140" s="57"/>
    </row>
    <row r="141" spans="1:14" x14ac:dyDescent="0.2">
      <c r="D141" s="57"/>
      <c r="E141" s="57"/>
      <c r="F141" s="57"/>
    </row>
    <row r="142" spans="1:14" x14ac:dyDescent="0.2">
      <c r="D142" s="57"/>
      <c r="E142" s="57"/>
      <c r="F142" s="57"/>
    </row>
    <row r="143" spans="1:14" x14ac:dyDescent="0.2">
      <c r="D143" s="57"/>
      <c r="E143" s="57"/>
      <c r="F143" s="57"/>
    </row>
    <row r="144" spans="1:14" x14ac:dyDescent="0.2">
      <c r="D144" s="57"/>
      <c r="E144" s="57"/>
      <c r="F144" s="57"/>
    </row>
    <row r="145" spans="1:14" x14ac:dyDescent="0.2">
      <c r="D145" s="57"/>
      <c r="E145" s="57"/>
      <c r="F145" s="57"/>
    </row>
    <row r="146" spans="1:14" x14ac:dyDescent="0.2">
      <c r="D146" s="57"/>
      <c r="E146" s="57"/>
      <c r="F146" s="57"/>
    </row>
    <row r="147" spans="1:14" x14ac:dyDescent="0.2">
      <c r="D147" s="57"/>
      <c r="E147" s="57"/>
      <c r="F147" s="57"/>
    </row>
    <row r="148" spans="1:14" x14ac:dyDescent="0.2">
      <c r="D148" s="57"/>
      <c r="E148" s="57"/>
      <c r="F148" s="57"/>
    </row>
    <row r="149" spans="1:14" x14ac:dyDescent="0.2">
      <c r="D149" s="57"/>
      <c r="E149" s="57"/>
      <c r="F149" s="57"/>
    </row>
    <row r="150" spans="1:14" x14ac:dyDescent="0.2">
      <c r="D150" s="57"/>
      <c r="E150" s="57"/>
      <c r="F150" s="57"/>
    </row>
    <row r="151" spans="1:14" x14ac:dyDescent="0.2">
      <c r="D151" s="57"/>
      <c r="E151" s="57"/>
      <c r="F151" s="57"/>
    </row>
    <row r="152" spans="1:14" x14ac:dyDescent="0.2">
      <c r="D152" s="57"/>
      <c r="E152" s="57"/>
      <c r="F152" s="57"/>
    </row>
    <row r="153" spans="1:14" x14ac:dyDescent="0.2">
      <c r="D153" s="57"/>
      <c r="E153" s="57"/>
      <c r="F153" s="57"/>
    </row>
    <row r="154" spans="1:14" x14ac:dyDescent="0.2">
      <c r="D154" s="57"/>
      <c r="E154" s="57"/>
      <c r="F154" s="57"/>
    </row>
    <row r="155" spans="1:14" x14ac:dyDescent="0.2">
      <c r="D155" s="57"/>
      <c r="E155" s="57"/>
      <c r="F155" s="57"/>
    </row>
    <row r="156" spans="1:14" x14ac:dyDescent="0.2">
      <c r="D156" s="57"/>
      <c r="E156" s="57"/>
      <c r="F156" s="57"/>
    </row>
    <row r="157" spans="1:14" x14ac:dyDescent="0.2">
      <c r="D157" s="57"/>
      <c r="E157" s="57"/>
      <c r="F157" s="57"/>
    </row>
    <row r="158" spans="1:14" ht="25.5" customHeight="1" thickBot="1" x14ac:dyDescent="0.25">
      <c r="A158" s="118" t="str">
        <f ca="1">Language!A1404</f>
        <v>График окупаемости (FCFE)</v>
      </c>
      <c r="B158" s="120"/>
      <c r="C158" s="120"/>
      <c r="D158" s="121"/>
      <c r="E158" s="62" t="s">
        <v>1136</v>
      </c>
      <c r="F158" s="121"/>
      <c r="G158" s="120"/>
      <c r="H158" s="120"/>
      <c r="I158" s="120"/>
      <c r="J158" s="120"/>
      <c r="K158" s="120"/>
      <c r="L158" s="120"/>
      <c r="M158" s="120"/>
      <c r="N158" s="120"/>
    </row>
    <row r="159" spans="1:14" ht="13.5" thickTop="1" x14ac:dyDescent="0.2">
      <c r="D159" s="57"/>
      <c r="E159" s="57"/>
      <c r="F159" s="57"/>
    </row>
    <row r="160" spans="1:14" x14ac:dyDescent="0.2">
      <c r="D160" s="57"/>
      <c r="E160" s="57"/>
      <c r="F160" s="57"/>
    </row>
    <row r="161" spans="4:6" x14ac:dyDescent="0.2">
      <c r="D161" s="57"/>
      <c r="E161" s="57"/>
      <c r="F161" s="57"/>
    </row>
    <row r="162" spans="4:6" x14ac:dyDescent="0.2">
      <c r="D162" s="57"/>
      <c r="E162" s="57"/>
      <c r="F162" s="57"/>
    </row>
    <row r="163" spans="4:6" x14ac:dyDescent="0.2">
      <c r="D163" s="57"/>
      <c r="E163" s="57"/>
      <c r="F163" s="57"/>
    </row>
    <row r="164" spans="4:6" x14ac:dyDescent="0.2">
      <c r="D164" s="57"/>
      <c r="E164" s="57"/>
      <c r="F164" s="57"/>
    </row>
    <row r="165" spans="4:6" x14ac:dyDescent="0.2">
      <c r="D165" s="57"/>
      <c r="E165" s="57"/>
      <c r="F165" s="57"/>
    </row>
    <row r="166" spans="4:6" x14ac:dyDescent="0.2">
      <c r="D166" s="57"/>
      <c r="E166" s="57"/>
      <c r="F166" s="57"/>
    </row>
    <row r="167" spans="4:6" x14ac:dyDescent="0.2">
      <c r="D167" s="57"/>
      <c r="E167" s="57"/>
      <c r="F167" s="57"/>
    </row>
    <row r="168" spans="4:6" x14ac:dyDescent="0.2">
      <c r="D168" s="57"/>
      <c r="E168" s="57"/>
      <c r="F168" s="57"/>
    </row>
    <row r="169" spans="4:6" x14ac:dyDescent="0.2">
      <c r="D169" s="57"/>
      <c r="E169" s="57"/>
      <c r="F169" s="57"/>
    </row>
    <row r="170" spans="4:6" x14ac:dyDescent="0.2">
      <c r="D170" s="57"/>
      <c r="E170" s="57"/>
      <c r="F170" s="57"/>
    </row>
    <row r="171" spans="4:6" x14ac:dyDescent="0.2">
      <c r="D171" s="57"/>
      <c r="E171" s="57"/>
      <c r="F171" s="57"/>
    </row>
    <row r="172" spans="4:6" x14ac:dyDescent="0.2">
      <c r="D172" s="57"/>
      <c r="E172" s="57"/>
      <c r="F172" s="57"/>
    </row>
    <row r="173" spans="4:6" x14ac:dyDescent="0.2">
      <c r="D173" s="57"/>
      <c r="E173" s="57"/>
      <c r="F173" s="57"/>
    </row>
    <row r="174" spans="4:6" x14ac:dyDescent="0.2">
      <c r="D174" s="57"/>
      <c r="E174" s="57"/>
      <c r="F174" s="57"/>
    </row>
    <row r="175" spans="4:6" x14ac:dyDescent="0.2">
      <c r="D175" s="57"/>
      <c r="E175" s="57"/>
      <c r="F175" s="57"/>
    </row>
    <row r="176" spans="4:6" x14ac:dyDescent="0.2">
      <c r="D176" s="57"/>
      <c r="E176" s="57"/>
      <c r="F176" s="57"/>
    </row>
    <row r="177" spans="1:14" x14ac:dyDescent="0.2">
      <c r="D177" s="57"/>
      <c r="E177" s="57"/>
      <c r="F177" s="57"/>
    </row>
    <row r="178" spans="1:14" x14ac:dyDescent="0.2">
      <c r="D178" s="57"/>
      <c r="E178" s="57"/>
      <c r="F178" s="57"/>
    </row>
    <row r="179" spans="1:14" x14ac:dyDescent="0.2">
      <c r="D179" s="57"/>
      <c r="E179" s="57"/>
      <c r="F179" s="57"/>
    </row>
    <row r="180" spans="1:14" x14ac:dyDescent="0.2">
      <c r="D180" s="57"/>
      <c r="E180" s="57"/>
      <c r="F180" s="57"/>
    </row>
    <row r="181" spans="1:14" x14ac:dyDescent="0.2">
      <c r="D181" s="57"/>
      <c r="E181" s="57"/>
      <c r="F181" s="57"/>
    </row>
    <row r="182" spans="1:14" x14ac:dyDescent="0.2">
      <c r="D182" s="57"/>
      <c r="E182" s="57"/>
      <c r="F182" s="57"/>
    </row>
    <row r="183" spans="1:14" x14ac:dyDescent="0.2">
      <c r="D183" s="57"/>
      <c r="E183" s="57"/>
      <c r="F183" s="57"/>
    </row>
    <row r="184" spans="1:14" ht="25.5" customHeight="1" thickBot="1" x14ac:dyDescent="0.25">
      <c r="A184" s="118" t="str">
        <f ca="1">Language!A1405</f>
        <v>График окупаемости (CFADS)</v>
      </c>
      <c r="B184" s="120"/>
      <c r="C184" s="120"/>
      <c r="D184" s="121"/>
      <c r="E184" s="62" t="s">
        <v>1140</v>
      </c>
      <c r="F184" s="121"/>
      <c r="G184" s="120"/>
      <c r="H184" s="120"/>
      <c r="I184" s="120"/>
      <c r="J184" s="120"/>
      <c r="K184" s="120"/>
      <c r="L184" s="120"/>
      <c r="M184" s="120"/>
      <c r="N184" s="120"/>
    </row>
    <row r="185" spans="1:14" ht="13.5" thickTop="1" x14ac:dyDescent="0.2">
      <c r="D185" s="57"/>
      <c r="E185" s="57"/>
      <c r="F185" s="57"/>
    </row>
    <row r="186" spans="1:14" x14ac:dyDescent="0.2">
      <c r="D186" s="57"/>
      <c r="E186" s="57"/>
      <c r="F186" s="57"/>
    </row>
    <row r="187" spans="1:14" x14ac:dyDescent="0.2">
      <c r="D187" s="57"/>
      <c r="E187" s="57"/>
      <c r="F187" s="57"/>
    </row>
    <row r="188" spans="1:14" x14ac:dyDescent="0.2">
      <c r="D188" s="57"/>
      <c r="E188" s="57"/>
      <c r="F188" s="57"/>
    </row>
    <row r="189" spans="1:14" x14ac:dyDescent="0.2">
      <c r="D189" s="57"/>
      <c r="E189" s="57"/>
      <c r="F189" s="57"/>
    </row>
    <row r="190" spans="1:14" x14ac:dyDescent="0.2">
      <c r="D190" s="57"/>
      <c r="E190" s="57"/>
      <c r="F190" s="57"/>
    </row>
    <row r="191" spans="1:14" x14ac:dyDescent="0.2">
      <c r="D191" s="57"/>
      <c r="E191" s="57"/>
      <c r="F191" s="57"/>
    </row>
    <row r="192" spans="1:14" x14ac:dyDescent="0.2">
      <c r="D192" s="57"/>
      <c r="E192" s="57"/>
      <c r="F192" s="57"/>
    </row>
    <row r="193" spans="4:6" x14ac:dyDescent="0.2">
      <c r="D193" s="57"/>
      <c r="E193" s="57"/>
      <c r="F193" s="57"/>
    </row>
    <row r="194" spans="4:6" x14ac:dyDescent="0.2">
      <c r="D194" s="57"/>
      <c r="E194" s="57"/>
      <c r="F194" s="57"/>
    </row>
    <row r="195" spans="4:6" x14ac:dyDescent="0.2">
      <c r="D195" s="57"/>
      <c r="E195" s="57"/>
      <c r="F195" s="57"/>
    </row>
    <row r="196" spans="4:6" x14ac:dyDescent="0.2">
      <c r="D196" s="57"/>
      <c r="E196" s="57"/>
      <c r="F196" s="57"/>
    </row>
    <row r="197" spans="4:6" x14ac:dyDescent="0.2">
      <c r="D197" s="57"/>
      <c r="E197" s="57"/>
      <c r="F197" s="57"/>
    </row>
    <row r="198" spans="4:6" x14ac:dyDescent="0.2">
      <c r="D198" s="57"/>
      <c r="E198" s="57"/>
      <c r="F198" s="57"/>
    </row>
    <row r="199" spans="4:6" x14ac:dyDescent="0.2">
      <c r="D199" s="57"/>
      <c r="E199" s="57"/>
      <c r="F199" s="57"/>
    </row>
    <row r="200" spans="4:6" x14ac:dyDescent="0.2">
      <c r="D200" s="57"/>
      <c r="E200" s="57"/>
      <c r="F200" s="57"/>
    </row>
    <row r="201" spans="4:6" x14ac:dyDescent="0.2">
      <c r="D201" s="57"/>
      <c r="E201" s="57"/>
      <c r="F201" s="57"/>
    </row>
    <row r="202" spans="4:6" x14ac:dyDescent="0.2">
      <c r="D202" s="57"/>
      <c r="E202" s="57"/>
      <c r="F202" s="57"/>
    </row>
    <row r="203" spans="4:6" x14ac:dyDescent="0.2">
      <c r="D203" s="57"/>
      <c r="E203" s="57"/>
      <c r="F203" s="57"/>
    </row>
    <row r="204" spans="4:6" x14ac:dyDescent="0.2">
      <c r="D204" s="57"/>
      <c r="E204" s="57"/>
      <c r="F204" s="57"/>
    </row>
    <row r="205" spans="4:6" x14ac:dyDescent="0.2">
      <c r="D205" s="57"/>
      <c r="E205" s="57"/>
      <c r="F205" s="57"/>
    </row>
    <row r="206" spans="4:6" x14ac:dyDescent="0.2">
      <c r="D206" s="57"/>
      <c r="E206" s="57"/>
      <c r="F206" s="57"/>
    </row>
    <row r="207" spans="4:6" x14ac:dyDescent="0.2">
      <c r="D207" s="57"/>
      <c r="E207" s="57"/>
      <c r="F207" s="57"/>
    </row>
    <row r="208" spans="4:6" x14ac:dyDescent="0.2">
      <c r="D208" s="57"/>
      <c r="E208" s="57"/>
      <c r="F208" s="57"/>
    </row>
    <row r="209" spans="1:14" x14ac:dyDescent="0.2">
      <c r="D209" s="57"/>
      <c r="E209" s="57"/>
      <c r="F209" s="57"/>
    </row>
    <row r="210" spans="1:14" ht="25.5" customHeight="1" thickBot="1" x14ac:dyDescent="0.25">
      <c r="A210" s="118" t="str">
        <f ca="1">Language!A1406</f>
        <v>ГРАФИК ЧУВСТВИТЕЛЬНОСТИ</v>
      </c>
      <c r="B210" s="120"/>
      <c r="C210" s="120"/>
      <c r="D210" s="121"/>
      <c r="E210" s="62" t="s">
        <v>879</v>
      </c>
      <c r="F210" s="121"/>
      <c r="G210" s="120"/>
      <c r="H210" s="120"/>
      <c r="I210" s="120"/>
      <c r="J210" s="120"/>
      <c r="K210" s="120"/>
      <c r="L210" s="120"/>
      <c r="M210" s="120"/>
      <c r="N210" s="120"/>
    </row>
    <row r="211" spans="1:14" ht="13.5" thickTop="1" x14ac:dyDescent="0.2">
      <c r="A211" s="94"/>
      <c r="B211" s="94"/>
      <c r="C211" s="94"/>
      <c r="D211" s="114"/>
      <c r="E211" s="114"/>
      <c r="F211" s="114"/>
      <c r="G211" s="94"/>
      <c r="H211" s="94"/>
      <c r="I211" s="94"/>
      <c r="J211" s="94"/>
      <c r="K211" s="94"/>
      <c r="L211" s="94"/>
      <c r="M211" s="94"/>
      <c r="N211" s="94"/>
    </row>
    <row r="212" spans="1:14" x14ac:dyDescent="0.2">
      <c r="A212" s="94"/>
      <c r="B212" s="94"/>
      <c r="C212" s="94"/>
      <c r="D212" s="114">
        <v>1</v>
      </c>
      <c r="E212" s="114"/>
      <c r="F212" s="114"/>
      <c r="G212" s="95" t="str">
        <f ca="1">Language!A1407</f>
        <v>Столбцы:</v>
      </c>
      <c r="H212" s="288" t="str">
        <f ca="1">OFFSET(Sens_Params,Sens_Param,0)</f>
        <v>Цены продаж</v>
      </c>
      <c r="I212" s="94"/>
      <c r="J212" s="94"/>
      <c r="K212" s="95" t="str">
        <f ca="1">Language!A1408</f>
        <v>Линии:</v>
      </c>
      <c r="L212" s="288" t="str">
        <f ca="1">IF(Sens_Line&gt;1,OFFSET(Sens_Params,Sens_Item,0),"-")</f>
        <v>Ставка дисконтирования</v>
      </c>
      <c r="M212" s="94"/>
      <c r="N212" s="94"/>
    </row>
    <row r="213" spans="1:14" x14ac:dyDescent="0.2">
      <c r="A213" s="94"/>
      <c r="B213" s="94"/>
      <c r="C213" s="94"/>
      <c r="D213" s="114">
        <v>9</v>
      </c>
      <c r="E213" s="114"/>
      <c r="F213" s="114"/>
      <c r="G213" s="95" t="str">
        <f ca="1">Language!A1409</f>
        <v>от</v>
      </c>
      <c r="H213" s="289">
        <v>0.7</v>
      </c>
      <c r="I213" s="94"/>
      <c r="J213" s="94"/>
      <c r="K213" s="95" t="str">
        <f ca="1">Language!A1409</f>
        <v>от</v>
      </c>
      <c r="L213" s="289">
        <v>0.1</v>
      </c>
      <c r="M213" s="94"/>
      <c r="N213" s="94"/>
    </row>
    <row r="214" spans="1:14" x14ac:dyDescent="0.2">
      <c r="A214" s="94"/>
      <c r="B214" s="94"/>
      <c r="C214" s="94"/>
      <c r="D214" s="114"/>
      <c r="E214" s="114"/>
      <c r="F214" s="114"/>
      <c r="G214" s="95" t="str">
        <f ca="1">Language!A1410</f>
        <v>с шагом</v>
      </c>
      <c r="H214" s="289">
        <v>0.1</v>
      </c>
      <c r="I214" s="94"/>
      <c r="J214" s="94"/>
      <c r="K214" s="95" t="str">
        <f ca="1">Language!A1410</f>
        <v>с шагом</v>
      </c>
      <c r="L214" s="289">
        <v>0.02</v>
      </c>
      <c r="M214" s="94"/>
      <c r="N214" s="94"/>
    </row>
    <row r="215" spans="1:14" x14ac:dyDescent="0.2">
      <c r="A215" s="94"/>
      <c r="B215" s="94"/>
      <c r="C215" s="94"/>
      <c r="D215" s="114"/>
      <c r="E215" s="114"/>
      <c r="F215" s="114"/>
      <c r="G215" s="94"/>
      <c r="H215" s="94"/>
      <c r="I215" s="94"/>
      <c r="J215" s="94"/>
      <c r="K215" s="94"/>
      <c r="L215" s="94"/>
      <c r="M215" s="94"/>
      <c r="N215" s="94"/>
    </row>
    <row r="216" spans="1:14" x14ac:dyDescent="0.2">
      <c r="A216" s="94"/>
      <c r="B216" s="94"/>
      <c r="C216" s="94"/>
      <c r="D216" s="114">
        <v>2</v>
      </c>
      <c r="E216" s="114"/>
      <c r="F216" s="114"/>
      <c r="G216" s="95" t="str">
        <f ca="1">Language!A1411</f>
        <v>Результат:</v>
      </c>
      <c r="H216" s="288" t="str">
        <f ca="1">OFFSET(Sens_Results,Sens_Result,0)</f>
        <v>NPV проекта</v>
      </c>
      <c r="I216" s="94"/>
      <c r="J216" s="94"/>
      <c r="K216" s="94"/>
      <c r="L216" s="94"/>
      <c r="M216" s="94"/>
      <c r="N216" s="94"/>
    </row>
    <row r="217" spans="1:14" x14ac:dyDescent="0.2">
      <c r="A217" s="94"/>
      <c r="B217" s="94"/>
      <c r="C217" s="94"/>
      <c r="D217" s="114"/>
      <c r="E217" s="114"/>
      <c r="F217" s="114"/>
      <c r="G217" s="94"/>
      <c r="H217" s="94"/>
      <c r="I217" s="94"/>
      <c r="J217" s="94"/>
      <c r="K217" s="94"/>
      <c r="L217" s="94"/>
      <c r="M217" s="94"/>
      <c r="N217" s="94"/>
    </row>
    <row r="218" spans="1:14" x14ac:dyDescent="0.2">
      <c r="A218" s="94"/>
      <c r="B218" s="94"/>
      <c r="C218" s="94"/>
      <c r="D218" s="114"/>
      <c r="E218" s="114"/>
      <c r="F218" s="114"/>
      <c r="G218" s="95" t="str">
        <f ca="1">Language!A1412</f>
        <v>Таблица данных</v>
      </c>
      <c r="H218" s="94"/>
      <c r="I218" s="94"/>
      <c r="J218" s="94"/>
      <c r="K218" s="94"/>
      <c r="L218" s="94"/>
      <c r="M218" s="94"/>
      <c r="N218" s="94"/>
    </row>
    <row r="219" spans="1:14" x14ac:dyDescent="0.2">
      <c r="D219" s="114">
        <v>5</v>
      </c>
      <c r="E219" s="57"/>
      <c r="F219" s="57"/>
      <c r="G219" s="290"/>
      <c r="H219" s="291">
        <f>Sens_ParamFrom</f>
        <v>0.7</v>
      </c>
      <c r="I219" s="291">
        <f t="shared" ref="I219:N219" si="0">H219+Sens_ParamStep</f>
        <v>0.79999999999999993</v>
      </c>
      <c r="J219" s="291">
        <f t="shared" si="0"/>
        <v>0.89999999999999991</v>
      </c>
      <c r="K219" s="291">
        <f t="shared" si="0"/>
        <v>0.99999999999999989</v>
      </c>
      <c r="L219" s="291">
        <f t="shared" si="0"/>
        <v>1.0999999999999999</v>
      </c>
      <c r="M219" s="291">
        <f t="shared" si="0"/>
        <v>1.2</v>
      </c>
      <c r="N219" s="292">
        <f t="shared" si="0"/>
        <v>1.3</v>
      </c>
    </row>
    <row r="220" spans="1:14" x14ac:dyDescent="0.2">
      <c r="D220" s="57"/>
      <c r="E220" s="57"/>
      <c r="F220" s="57"/>
      <c r="G220" s="293">
        <f>Sens_ItemFrom</f>
        <v>0.1</v>
      </c>
      <c r="H220" s="138">
        <v>-1500000</v>
      </c>
      <c r="I220" s="138">
        <v>-500000</v>
      </c>
      <c r="J220" s="138">
        <v>-100000</v>
      </c>
      <c r="K220" s="138">
        <v>200000</v>
      </c>
      <c r="L220" s="138">
        <v>370000</v>
      </c>
      <c r="M220" s="138">
        <v>620000</v>
      </c>
      <c r="N220" s="47">
        <v>1000000</v>
      </c>
    </row>
    <row r="221" spans="1:14" x14ac:dyDescent="0.2">
      <c r="D221" s="57"/>
      <c r="E221" s="57"/>
      <c r="F221" s="57"/>
      <c r="G221" s="293">
        <f>IFERROR(G220+Sens_ItemStep,"-")</f>
        <v>0.12000000000000001</v>
      </c>
      <c r="H221" s="138">
        <f>H220/1.2</f>
        <v>-1250000</v>
      </c>
      <c r="I221" s="138">
        <f t="shared" ref="I221:N224" si="1">I220/1.2</f>
        <v>-416666.66666666669</v>
      </c>
      <c r="J221" s="138">
        <f t="shared" si="1"/>
        <v>-83333.333333333343</v>
      </c>
      <c r="K221" s="138">
        <f t="shared" si="1"/>
        <v>166666.66666666669</v>
      </c>
      <c r="L221" s="138">
        <f t="shared" si="1"/>
        <v>308333.33333333337</v>
      </c>
      <c r="M221" s="138">
        <f t="shared" si="1"/>
        <v>516666.66666666669</v>
      </c>
      <c r="N221" s="47">
        <f t="shared" si="1"/>
        <v>833333.33333333337</v>
      </c>
    </row>
    <row r="222" spans="1:14" x14ac:dyDescent="0.2">
      <c r="D222" s="57"/>
      <c r="E222" s="57"/>
      <c r="F222" s="57"/>
      <c r="G222" s="293">
        <f>IFERROR(G221+Sens_ItemStep,"-")</f>
        <v>0.14000000000000001</v>
      </c>
      <c r="H222" s="138">
        <f t="shared" ref="H222:H224" si="2">H221/1.2</f>
        <v>-1041666.6666666667</v>
      </c>
      <c r="I222" s="138">
        <f t="shared" si="1"/>
        <v>-347222.22222222225</v>
      </c>
      <c r="J222" s="138">
        <f t="shared" si="1"/>
        <v>-69444.444444444453</v>
      </c>
      <c r="K222" s="138">
        <f t="shared" si="1"/>
        <v>138888.88888888891</v>
      </c>
      <c r="L222" s="138">
        <f t="shared" si="1"/>
        <v>256944.4444444445</v>
      </c>
      <c r="M222" s="138">
        <f t="shared" si="1"/>
        <v>430555.55555555556</v>
      </c>
      <c r="N222" s="47">
        <f t="shared" si="1"/>
        <v>694444.4444444445</v>
      </c>
    </row>
    <row r="223" spans="1:14" x14ac:dyDescent="0.2">
      <c r="D223" s="57"/>
      <c r="E223" s="57"/>
      <c r="F223" s="57"/>
      <c r="G223" s="293">
        <f>IFERROR(G222+Sens_ItemStep,"-")</f>
        <v>0.16</v>
      </c>
      <c r="H223" s="138">
        <f t="shared" si="2"/>
        <v>-868055.55555555562</v>
      </c>
      <c r="I223" s="138">
        <f t="shared" si="1"/>
        <v>-289351.85185185191</v>
      </c>
      <c r="J223" s="138">
        <f t="shared" si="1"/>
        <v>-57870.37037037038</v>
      </c>
      <c r="K223" s="138">
        <f t="shared" si="1"/>
        <v>115740.74074074076</v>
      </c>
      <c r="L223" s="138">
        <f t="shared" si="1"/>
        <v>214120.37037037042</v>
      </c>
      <c r="M223" s="138">
        <f t="shared" si="1"/>
        <v>358796.29629629629</v>
      </c>
      <c r="N223" s="47">
        <f t="shared" si="1"/>
        <v>578703.70370370382</v>
      </c>
    </row>
    <row r="224" spans="1:14" x14ac:dyDescent="0.2">
      <c r="D224" s="57"/>
      <c r="E224" s="57"/>
      <c r="F224" s="57"/>
      <c r="G224" s="294">
        <f>IFERROR(G223+Sens_ItemStep,"-")</f>
        <v>0.18</v>
      </c>
      <c r="H224" s="295">
        <f t="shared" si="2"/>
        <v>-723379.62962962966</v>
      </c>
      <c r="I224" s="240">
        <f t="shared" si="1"/>
        <v>-241126.5432098766</v>
      </c>
      <c r="J224" s="240">
        <f t="shared" si="1"/>
        <v>-48225.308641975316</v>
      </c>
      <c r="K224" s="240">
        <f t="shared" si="1"/>
        <v>96450.617283950633</v>
      </c>
      <c r="L224" s="240">
        <f t="shared" si="1"/>
        <v>178433.64197530868</v>
      </c>
      <c r="M224" s="240">
        <f t="shared" si="1"/>
        <v>298996.91358024691</v>
      </c>
      <c r="N224" s="296">
        <f t="shared" si="1"/>
        <v>482253.08641975321</v>
      </c>
    </row>
    <row r="225" spans="1:14" x14ac:dyDescent="0.2">
      <c r="A225" s="94"/>
      <c r="B225" s="94"/>
      <c r="C225" s="94"/>
      <c r="D225" s="114"/>
      <c r="E225" s="114"/>
      <c r="F225" s="114"/>
      <c r="G225" s="297"/>
      <c r="H225" s="297"/>
      <c r="I225" s="297"/>
      <c r="J225" s="297"/>
      <c r="K225" s="297"/>
      <c r="L225" s="297"/>
      <c r="M225" s="297"/>
      <c r="N225" s="297"/>
    </row>
    <row r="226" spans="1:14" x14ac:dyDescent="0.2">
      <c r="A226" s="94"/>
      <c r="B226" s="94"/>
      <c r="C226" s="94"/>
      <c r="D226" s="114"/>
      <c r="E226" s="114"/>
      <c r="F226" s="114"/>
      <c r="G226" s="94"/>
      <c r="H226" s="94"/>
      <c r="I226" s="94"/>
      <c r="J226" s="94"/>
      <c r="K226" s="94"/>
      <c r="L226" s="94"/>
      <c r="M226" s="94"/>
      <c r="N226" s="94"/>
    </row>
    <row r="227" spans="1:14" x14ac:dyDescent="0.2">
      <c r="A227" s="94"/>
      <c r="B227" s="94"/>
      <c r="C227" s="94"/>
      <c r="D227" s="114"/>
      <c r="E227" s="114"/>
      <c r="F227" s="114"/>
      <c r="G227" s="94"/>
      <c r="H227" s="94"/>
      <c r="I227" s="94"/>
      <c r="J227" s="94"/>
      <c r="K227" s="94"/>
      <c r="L227" s="94"/>
      <c r="M227" s="94"/>
      <c r="N227" s="94"/>
    </row>
    <row r="228" spans="1:14" x14ac:dyDescent="0.2">
      <c r="A228" s="94"/>
      <c r="B228" s="94"/>
      <c r="C228" s="94"/>
      <c r="D228" s="114"/>
      <c r="E228" s="114"/>
      <c r="F228" s="114"/>
      <c r="G228" s="94"/>
      <c r="H228" s="94"/>
      <c r="I228" s="94"/>
      <c r="J228" s="94"/>
      <c r="K228" s="94"/>
      <c r="L228" s="94"/>
      <c r="M228" s="94"/>
      <c r="N228" s="94"/>
    </row>
    <row r="229" spans="1:14" x14ac:dyDescent="0.2">
      <c r="A229" s="94"/>
      <c r="B229" s="94"/>
      <c r="C229" s="94"/>
      <c r="D229" s="114"/>
      <c r="E229" s="114"/>
      <c r="F229" s="114"/>
      <c r="G229" s="94"/>
      <c r="H229" s="94"/>
      <c r="I229" s="94"/>
      <c r="J229" s="94"/>
      <c r="K229" s="94"/>
      <c r="L229" s="94"/>
      <c r="M229" s="94"/>
      <c r="N229" s="94"/>
    </row>
    <row r="230" spans="1:14" x14ac:dyDescent="0.2">
      <c r="A230" s="94"/>
      <c r="B230" s="94"/>
      <c r="C230" s="94"/>
      <c r="D230" s="114"/>
      <c r="E230" s="114"/>
      <c r="F230" s="114"/>
      <c r="G230" s="94"/>
      <c r="H230" s="94"/>
      <c r="I230" s="94"/>
      <c r="J230" s="94"/>
      <c r="K230" s="94"/>
      <c r="L230" s="94"/>
      <c r="M230" s="94"/>
      <c r="N230" s="94"/>
    </row>
    <row r="231" spans="1:14" x14ac:dyDescent="0.2">
      <c r="A231" s="94"/>
      <c r="B231" s="94"/>
      <c r="C231" s="94"/>
      <c r="D231" s="114"/>
      <c r="E231" s="114"/>
      <c r="F231" s="114"/>
      <c r="G231" s="94"/>
      <c r="H231" s="94"/>
      <c r="I231" s="94"/>
      <c r="J231" s="94"/>
      <c r="K231" s="94"/>
      <c r="L231" s="94"/>
      <c r="M231" s="94"/>
      <c r="N231" s="94"/>
    </row>
    <row r="232" spans="1:14" x14ac:dyDescent="0.2">
      <c r="A232" s="94"/>
      <c r="B232" s="94"/>
      <c r="C232" s="94"/>
      <c r="D232" s="114"/>
      <c r="E232" s="114"/>
      <c r="F232" s="114"/>
      <c r="G232" s="94"/>
      <c r="H232" s="94"/>
      <c r="I232" s="94"/>
      <c r="J232" s="94"/>
      <c r="K232" s="94"/>
      <c r="L232" s="94"/>
      <c r="M232" s="94"/>
      <c r="N232" s="94"/>
    </row>
    <row r="233" spans="1:14" x14ac:dyDescent="0.2">
      <c r="A233" s="94"/>
      <c r="B233" s="94"/>
      <c r="C233" s="94"/>
      <c r="D233" s="114"/>
      <c r="E233" s="114"/>
      <c r="F233" s="114"/>
      <c r="G233" s="94"/>
      <c r="H233" s="94"/>
      <c r="I233" s="94"/>
      <c r="J233" s="94"/>
      <c r="K233" s="94"/>
      <c r="L233" s="94"/>
      <c r="M233" s="94"/>
      <c r="N233" s="94"/>
    </row>
    <row r="234" spans="1:14" x14ac:dyDescent="0.2">
      <c r="A234" s="94"/>
      <c r="B234" s="94"/>
      <c r="C234" s="94"/>
      <c r="D234" s="114"/>
      <c r="E234" s="114"/>
      <c r="F234" s="114"/>
      <c r="G234" s="94"/>
      <c r="H234" s="94"/>
      <c r="I234" s="94"/>
      <c r="J234" s="94"/>
      <c r="K234" s="94"/>
      <c r="L234" s="94"/>
      <c r="M234" s="94"/>
      <c r="N234" s="94"/>
    </row>
    <row r="235" spans="1:14" x14ac:dyDescent="0.2">
      <c r="A235" s="94"/>
      <c r="B235" s="94"/>
      <c r="C235" s="94"/>
      <c r="D235" s="114"/>
      <c r="E235" s="114"/>
      <c r="F235" s="114"/>
      <c r="G235" s="94"/>
      <c r="H235" s="94"/>
      <c r="I235" s="94"/>
      <c r="J235" s="94"/>
      <c r="K235" s="94"/>
      <c r="L235" s="94"/>
      <c r="M235" s="94"/>
      <c r="N235" s="94"/>
    </row>
    <row r="236" spans="1:14" x14ac:dyDescent="0.2">
      <c r="A236" s="94"/>
      <c r="B236" s="94"/>
      <c r="C236" s="94"/>
      <c r="D236" s="114"/>
      <c r="E236" s="114"/>
      <c r="F236" s="114"/>
      <c r="G236" s="94"/>
      <c r="H236" s="94"/>
      <c r="I236" s="94"/>
      <c r="J236" s="94"/>
      <c r="K236" s="94"/>
      <c r="L236" s="94"/>
      <c r="M236" s="94"/>
      <c r="N236" s="94"/>
    </row>
    <row r="237" spans="1:14" x14ac:dyDescent="0.2">
      <c r="A237" s="94"/>
      <c r="B237" s="94"/>
      <c r="C237" s="94"/>
      <c r="D237" s="114"/>
      <c r="E237" s="114"/>
      <c r="F237" s="114"/>
      <c r="G237" s="94"/>
      <c r="H237" s="94"/>
      <c r="I237" s="94"/>
      <c r="J237" s="94"/>
      <c r="K237" s="94"/>
      <c r="L237" s="94"/>
      <c r="M237" s="94"/>
      <c r="N237" s="94"/>
    </row>
    <row r="238" spans="1:14" x14ac:dyDescent="0.2">
      <c r="A238" s="94"/>
      <c r="B238" s="94"/>
      <c r="C238" s="94"/>
      <c r="D238" s="114"/>
      <c r="E238" s="114"/>
      <c r="F238" s="114"/>
      <c r="G238" s="94"/>
      <c r="H238" s="94"/>
      <c r="I238" s="94"/>
      <c r="J238" s="94"/>
      <c r="K238" s="94"/>
      <c r="L238" s="94"/>
      <c r="M238" s="94"/>
      <c r="N238" s="94"/>
    </row>
    <row r="239" spans="1:14" x14ac:dyDescent="0.2">
      <c r="A239" s="94"/>
      <c r="B239" s="94"/>
      <c r="C239" s="94"/>
      <c r="D239" s="114"/>
      <c r="E239" s="114"/>
      <c r="F239" s="114"/>
      <c r="G239" s="94"/>
      <c r="H239" s="94"/>
      <c r="I239" s="94"/>
      <c r="J239" s="94"/>
      <c r="K239" s="94"/>
      <c r="L239" s="94"/>
      <c r="M239" s="94"/>
      <c r="N239" s="94"/>
    </row>
    <row r="240" spans="1:14" x14ac:dyDescent="0.2">
      <c r="A240" s="94"/>
      <c r="B240" s="94"/>
      <c r="C240" s="94"/>
      <c r="D240" s="114"/>
      <c r="E240" s="114"/>
      <c r="F240" s="114"/>
      <c r="G240" s="94"/>
      <c r="H240" s="94"/>
      <c r="I240" s="94"/>
      <c r="J240" s="94"/>
      <c r="K240" s="94"/>
      <c r="L240" s="94"/>
      <c r="M240" s="94"/>
      <c r="N240" s="94"/>
    </row>
    <row r="241" spans="1:14" x14ac:dyDescent="0.2">
      <c r="A241" s="94"/>
      <c r="B241" s="94"/>
      <c r="C241" s="94"/>
      <c r="D241" s="114"/>
      <c r="E241" s="114"/>
      <c r="F241" s="114"/>
      <c r="G241" s="94"/>
      <c r="H241" s="94"/>
      <c r="I241" s="94"/>
      <c r="J241" s="94"/>
      <c r="K241" s="94"/>
      <c r="L241" s="94"/>
      <c r="M241" s="94"/>
      <c r="N241" s="94"/>
    </row>
    <row r="242" spans="1:14" x14ac:dyDescent="0.2">
      <c r="A242" s="94"/>
      <c r="B242" s="94"/>
      <c r="C242" s="94"/>
      <c r="D242" s="114"/>
      <c r="E242" s="114"/>
      <c r="F242" s="114"/>
      <c r="G242" s="94"/>
      <c r="H242" s="94"/>
      <c r="I242" s="94"/>
      <c r="J242" s="94"/>
      <c r="K242" s="94"/>
      <c r="L242" s="94"/>
      <c r="M242" s="94"/>
      <c r="N242" s="94"/>
    </row>
    <row r="243" spans="1:14" x14ac:dyDescent="0.2">
      <c r="A243" s="94"/>
      <c r="B243" s="94"/>
      <c r="C243" s="94"/>
      <c r="D243" s="114"/>
      <c r="E243" s="114"/>
      <c r="F243" s="114"/>
      <c r="G243" s="94"/>
      <c r="H243" s="94"/>
      <c r="I243" s="94"/>
      <c r="J243" s="94"/>
      <c r="K243" s="94"/>
      <c r="L243" s="94"/>
      <c r="M243" s="94"/>
      <c r="N243" s="94"/>
    </row>
    <row r="244" spans="1:14" x14ac:dyDescent="0.2">
      <c r="A244" s="94"/>
      <c r="B244" s="94"/>
      <c r="C244" s="94"/>
      <c r="D244" s="114"/>
      <c r="E244" s="114"/>
      <c r="F244" s="114"/>
      <c r="G244" s="94"/>
      <c r="H244" s="94"/>
      <c r="I244" s="94"/>
      <c r="J244" s="94"/>
      <c r="K244" s="94"/>
      <c r="L244" s="94"/>
      <c r="M244" s="94"/>
      <c r="N244" s="94"/>
    </row>
    <row r="245" spans="1:14" x14ac:dyDescent="0.2">
      <c r="A245" s="94"/>
      <c r="B245" s="94"/>
      <c r="C245" s="94"/>
      <c r="D245" s="114"/>
      <c r="E245" s="114"/>
      <c r="F245" s="114"/>
      <c r="G245" s="94"/>
      <c r="H245" s="94"/>
      <c r="I245" s="94"/>
      <c r="J245" s="94"/>
      <c r="K245" s="94"/>
      <c r="L245" s="94"/>
      <c r="M245" s="94"/>
      <c r="N245" s="94"/>
    </row>
    <row r="246" spans="1:14" x14ac:dyDescent="0.2">
      <c r="A246" s="94"/>
      <c r="B246" s="94"/>
      <c r="C246" s="94"/>
      <c r="D246" s="114"/>
      <c r="E246" s="114"/>
      <c r="F246" s="114"/>
      <c r="G246" s="94"/>
      <c r="H246" s="94"/>
      <c r="I246" s="94"/>
      <c r="J246" s="94"/>
      <c r="K246" s="94"/>
      <c r="L246" s="94"/>
      <c r="M246" s="94"/>
      <c r="N246" s="94"/>
    </row>
    <row r="247" spans="1:14" x14ac:dyDescent="0.2">
      <c r="A247" s="94"/>
      <c r="B247" s="94"/>
      <c r="C247" s="94"/>
      <c r="D247" s="114"/>
      <c r="E247" s="114"/>
      <c r="F247" s="114"/>
      <c r="G247" s="94"/>
      <c r="H247" s="94"/>
      <c r="I247" s="94"/>
      <c r="J247" s="94"/>
      <c r="K247" s="94"/>
      <c r="L247" s="94"/>
      <c r="M247" s="94"/>
      <c r="N247" s="94"/>
    </row>
    <row r="248" spans="1:14" x14ac:dyDescent="0.2">
      <c r="A248" s="94"/>
      <c r="B248" s="94"/>
      <c r="C248" s="94"/>
      <c r="D248" s="114"/>
      <c r="E248" s="114"/>
      <c r="F248" s="114"/>
      <c r="G248" s="94"/>
      <c r="H248" s="94"/>
      <c r="I248" s="94"/>
      <c r="J248" s="94"/>
      <c r="K248" s="94"/>
      <c r="L248" s="94"/>
      <c r="M248" s="94"/>
      <c r="N248" s="94"/>
    </row>
    <row r="249" spans="1:14" collapsed="1" x14ac:dyDescent="0.2">
      <c r="A249" s="94"/>
      <c r="B249" s="94"/>
      <c r="C249" s="94"/>
      <c r="D249" s="114"/>
      <c r="E249" s="114"/>
      <c r="F249" s="114"/>
      <c r="G249" s="94" t="str">
        <f ca="1">Language!A1413</f>
        <v>Настройки анализа чувствительности</v>
      </c>
      <c r="H249" s="94"/>
      <c r="I249" s="94"/>
      <c r="J249" s="94"/>
      <c r="K249" s="94"/>
      <c r="L249" s="94"/>
      <c r="M249" s="94"/>
      <c r="N249" s="94"/>
    </row>
    <row r="250" spans="1:14" hidden="1" outlineLevel="1" x14ac:dyDescent="0.2">
      <c r="A250" s="94"/>
      <c r="B250" s="94"/>
      <c r="C250" s="94"/>
      <c r="D250" s="114"/>
      <c r="E250" s="114"/>
      <c r="F250" s="114"/>
      <c r="G250" s="94"/>
      <c r="H250" s="94"/>
      <c r="I250" s="94"/>
      <c r="J250" s="94"/>
      <c r="K250" s="94"/>
      <c r="L250" s="94"/>
      <c r="M250" s="94"/>
      <c r="N250" s="94"/>
    </row>
    <row r="251" spans="1:14" hidden="1" outlineLevel="1" x14ac:dyDescent="0.2">
      <c r="A251" s="94"/>
      <c r="B251" s="94"/>
      <c r="C251" s="94"/>
      <c r="D251" s="114"/>
      <c r="E251" s="114"/>
      <c r="F251" s="114"/>
      <c r="G251" s="288" t="str">
        <f ca="1">Language!A1414</f>
        <v>Исходные параметры:</v>
      </c>
      <c r="H251" s="94"/>
      <c r="I251" s="94"/>
      <c r="J251" s="94"/>
      <c r="K251" s="94"/>
      <c r="L251" s="94"/>
      <c r="M251" s="94"/>
      <c r="N251" s="94"/>
    </row>
    <row r="252" spans="1:14" hidden="1" outlineLevel="1" x14ac:dyDescent="0.2">
      <c r="A252" s="94"/>
      <c r="B252" s="94"/>
      <c r="C252" s="94"/>
      <c r="D252" s="114"/>
      <c r="E252" s="114"/>
      <c r="F252" s="114"/>
      <c r="G252" s="110" t="str">
        <f ca="1">Language!A1416</f>
        <v>Название параметра</v>
      </c>
      <c r="H252" s="112"/>
      <c r="I252" s="112"/>
      <c r="J252" s="112"/>
      <c r="K252" s="298" t="str">
        <f ca="1">Language!A1417</f>
        <v>Имя области</v>
      </c>
      <c r="L252" s="298" t="str">
        <f ca="1">Language!A1418</f>
        <v>Проценты?</v>
      </c>
      <c r="M252" s="94"/>
      <c r="N252" s="94"/>
    </row>
    <row r="253" spans="1:14" hidden="1" outlineLevel="1" x14ac:dyDescent="0.2">
      <c r="A253" s="94"/>
      <c r="B253" s="94"/>
      <c r="C253" s="94"/>
      <c r="D253" s="114"/>
      <c r="E253" s="114"/>
      <c r="F253" s="114"/>
      <c r="G253" s="95" t="str">
        <f ca="1">Language!A1420</f>
        <v>Цены продаж</v>
      </c>
      <c r="H253" s="94"/>
      <c r="I253" s="94"/>
      <c r="J253" s="94"/>
      <c r="K253" s="95" t="s">
        <v>868</v>
      </c>
      <c r="L253" s="77"/>
      <c r="M253" s="94"/>
      <c r="N253" s="94"/>
    </row>
    <row r="254" spans="1:14" hidden="1" outlineLevel="1" x14ac:dyDescent="0.2">
      <c r="A254" s="94"/>
      <c r="B254" s="94"/>
      <c r="C254" s="94"/>
      <c r="D254" s="114"/>
      <c r="E254" s="114"/>
      <c r="F254" s="114"/>
      <c r="G254" s="95" t="str">
        <f ca="1">Language!A1421</f>
        <v>Затраты на сырье и материалы</v>
      </c>
      <c r="H254" s="94"/>
      <c r="I254" s="94"/>
      <c r="J254" s="94"/>
      <c r="K254" s="95" t="s">
        <v>1586</v>
      </c>
      <c r="L254" s="77"/>
      <c r="M254" s="94"/>
      <c r="N254" s="94"/>
    </row>
    <row r="255" spans="1:14" hidden="1" outlineLevel="1" x14ac:dyDescent="0.2">
      <c r="A255" s="94"/>
      <c r="B255" s="94"/>
      <c r="C255" s="94"/>
      <c r="D255" s="114"/>
      <c r="E255" s="114"/>
      <c r="F255" s="114"/>
      <c r="G255" s="95" t="str">
        <f ca="1">Language!A1422</f>
        <v>Затраты на оплату труда</v>
      </c>
      <c r="H255" s="94"/>
      <c r="I255" s="94"/>
      <c r="J255" s="94"/>
      <c r="K255" s="95" t="s">
        <v>1588</v>
      </c>
      <c r="L255" s="77"/>
      <c r="M255" s="94"/>
      <c r="N255" s="94"/>
    </row>
    <row r="256" spans="1:14" hidden="1" outlineLevel="1" x14ac:dyDescent="0.2">
      <c r="A256" s="94"/>
      <c r="B256" s="94"/>
      <c r="C256" s="94"/>
      <c r="D256" s="114"/>
      <c r="E256" s="114"/>
      <c r="F256" s="114"/>
      <c r="G256" s="95" t="str">
        <f ca="1">Language!A1423</f>
        <v>Производственные издержки</v>
      </c>
      <c r="H256" s="94"/>
      <c r="I256" s="94"/>
      <c r="J256" s="94"/>
      <c r="K256" s="95" t="s">
        <v>1590</v>
      </c>
      <c r="L256" s="77"/>
      <c r="M256" s="94"/>
      <c r="N256" s="94"/>
    </row>
    <row r="257" spans="1:14" hidden="1" outlineLevel="1" x14ac:dyDescent="0.2">
      <c r="A257" s="94"/>
      <c r="B257" s="94"/>
      <c r="C257" s="94"/>
      <c r="D257" s="114"/>
      <c r="E257" s="114"/>
      <c r="F257" s="114"/>
      <c r="G257" s="95" t="str">
        <f ca="1">Language!A1424</f>
        <v>Коммерческие издержки</v>
      </c>
      <c r="H257" s="94"/>
      <c r="I257" s="94"/>
      <c r="J257" s="94"/>
      <c r="K257" s="95" t="s">
        <v>1591</v>
      </c>
      <c r="L257" s="77"/>
      <c r="M257" s="94"/>
      <c r="N257" s="94"/>
    </row>
    <row r="258" spans="1:14" hidden="1" outlineLevel="1" x14ac:dyDescent="0.2">
      <c r="A258" s="94"/>
      <c r="B258" s="94"/>
      <c r="C258" s="94"/>
      <c r="D258" s="114"/>
      <c r="E258" s="114"/>
      <c r="F258" s="114"/>
      <c r="G258" s="95" t="str">
        <f ca="1">Language!A1425</f>
        <v>Управленческие издержки</v>
      </c>
      <c r="H258" s="94"/>
      <c r="I258" s="94"/>
      <c r="J258" s="94"/>
      <c r="K258" s="95" t="s">
        <v>1592</v>
      </c>
      <c r="L258" s="77"/>
      <c r="M258" s="94"/>
      <c r="N258" s="94"/>
    </row>
    <row r="259" spans="1:14" hidden="1" outlineLevel="1" x14ac:dyDescent="0.2">
      <c r="A259" s="94"/>
      <c r="B259" s="94"/>
      <c r="C259" s="94"/>
      <c r="D259" s="114"/>
      <c r="E259" s="114"/>
      <c r="F259" s="114"/>
      <c r="G259" s="95" t="str">
        <f ca="1">Language!A1426</f>
        <v>Постоянные расходы - всего</v>
      </c>
      <c r="H259" s="94"/>
      <c r="I259" s="94"/>
      <c r="J259" s="94"/>
      <c r="K259" s="95" t="s">
        <v>1593</v>
      </c>
      <c r="L259" s="77"/>
      <c r="M259" s="94"/>
      <c r="N259" s="94"/>
    </row>
    <row r="260" spans="1:14" hidden="1" outlineLevel="1" x14ac:dyDescent="0.2">
      <c r="A260" s="94"/>
      <c r="B260" s="94"/>
      <c r="C260" s="94"/>
      <c r="D260" s="114"/>
      <c r="E260" s="114"/>
      <c r="F260" s="114"/>
      <c r="G260" s="95" t="str">
        <f ca="1">Language!A1427</f>
        <v>Инвестиции в основные средства</v>
      </c>
      <c r="H260" s="94"/>
      <c r="I260" s="94"/>
      <c r="J260" s="94"/>
      <c r="K260" s="95" t="s">
        <v>870</v>
      </c>
      <c r="L260" s="77"/>
      <c r="M260" s="94"/>
      <c r="N260" s="94"/>
    </row>
    <row r="261" spans="1:14" hidden="1" outlineLevel="1" x14ac:dyDescent="0.2">
      <c r="A261" s="94"/>
      <c r="B261" s="94"/>
      <c r="C261" s="94"/>
      <c r="D261" s="114"/>
      <c r="E261" s="114"/>
      <c r="F261" s="114"/>
      <c r="G261" s="95" t="str">
        <f ca="1">Language!A1428</f>
        <v>Ставка дисконтирования</v>
      </c>
      <c r="H261" s="94"/>
      <c r="I261" s="94"/>
      <c r="J261" s="94"/>
      <c r="K261" s="95" t="s">
        <v>871</v>
      </c>
      <c r="L261" s="77" t="s">
        <v>1</v>
      </c>
      <c r="M261" s="94"/>
      <c r="N261" s="94"/>
    </row>
    <row r="262" spans="1:14" hidden="1" outlineLevel="1" x14ac:dyDescent="0.2">
      <c r="A262" s="94"/>
      <c r="B262" s="94"/>
      <c r="C262" s="94"/>
      <c r="D262" s="114"/>
      <c r="E262" s="114"/>
      <c r="F262" s="114"/>
      <c r="G262" s="94"/>
      <c r="H262" s="94"/>
      <c r="I262" s="94"/>
      <c r="J262" s="94"/>
      <c r="K262" s="94"/>
      <c r="L262" s="94"/>
      <c r="M262" s="94"/>
      <c r="N262" s="94"/>
    </row>
    <row r="263" spans="1:14" hidden="1" outlineLevel="1" x14ac:dyDescent="0.2">
      <c r="A263" s="94"/>
      <c r="B263" s="94"/>
      <c r="C263" s="94"/>
      <c r="D263" s="114"/>
      <c r="E263" s="114"/>
      <c r="F263" s="114"/>
      <c r="G263" s="288" t="str">
        <f ca="1">Language!A1415</f>
        <v>Результаты анализа:</v>
      </c>
      <c r="H263" s="94"/>
      <c r="I263" s="94"/>
      <c r="J263" s="94"/>
      <c r="K263" s="94"/>
      <c r="L263" s="94"/>
      <c r="M263" s="94"/>
      <c r="N263" s="94"/>
    </row>
    <row r="264" spans="1:14" hidden="1" outlineLevel="1" x14ac:dyDescent="0.2">
      <c r="A264" s="94"/>
      <c r="B264" s="94"/>
      <c r="C264" s="94"/>
      <c r="D264" s="114"/>
      <c r="E264" s="114"/>
      <c r="F264" s="114"/>
      <c r="G264" s="110" t="str">
        <f ca="1">Language!A1416</f>
        <v>Название параметра</v>
      </c>
      <c r="H264" s="112"/>
      <c r="I264" s="112"/>
      <c r="J264" s="112"/>
      <c r="K264" s="298" t="str">
        <f ca="1">Language!A1417</f>
        <v>Имя области</v>
      </c>
      <c r="L264" s="298" t="str">
        <f ca="1">Language!A1418</f>
        <v>Проценты?</v>
      </c>
      <c r="M264" s="94"/>
      <c r="N264" s="94"/>
    </row>
    <row r="265" spans="1:14" hidden="1" outlineLevel="1" x14ac:dyDescent="0.2">
      <c r="A265" s="94"/>
      <c r="B265" s="94"/>
      <c r="C265" s="94"/>
      <c r="D265" s="114"/>
      <c r="E265" s="114"/>
      <c r="F265" s="114"/>
      <c r="G265" s="107" t="str">
        <f ca="1">Language!A1429</f>
        <v>Суммарная прибыль</v>
      </c>
      <c r="H265" s="94"/>
      <c r="I265" s="94"/>
      <c r="J265" s="94"/>
      <c r="K265" s="95" t="s">
        <v>874</v>
      </c>
      <c r="L265" s="77"/>
      <c r="M265" s="94"/>
      <c r="N265" s="94"/>
    </row>
    <row r="266" spans="1:14" hidden="1" outlineLevel="1" x14ac:dyDescent="0.2">
      <c r="A266" s="94"/>
      <c r="B266" s="94"/>
      <c r="C266" s="94"/>
      <c r="D266" s="114"/>
      <c r="E266" s="114"/>
      <c r="F266" s="114"/>
      <c r="G266" s="107" t="str">
        <f ca="1">Language!A1430</f>
        <v>NPV проекта</v>
      </c>
      <c r="H266" s="94"/>
      <c r="I266" s="94"/>
      <c r="J266" s="94"/>
      <c r="K266" s="95" t="s">
        <v>875</v>
      </c>
      <c r="L266" s="77"/>
      <c r="M266" s="94"/>
      <c r="N266" s="94"/>
    </row>
    <row r="267" spans="1:14" hidden="1" outlineLevel="1" x14ac:dyDescent="0.2">
      <c r="A267" s="94"/>
      <c r="B267" s="94"/>
      <c r="C267" s="94"/>
      <c r="D267" s="114"/>
      <c r="E267" s="114"/>
      <c r="F267" s="114"/>
      <c r="G267" s="107" t="str">
        <f ca="1">Language!A1431</f>
        <v>IRR проекта</v>
      </c>
      <c r="H267" s="94"/>
      <c r="I267" s="94"/>
      <c r="J267" s="94"/>
      <c r="K267" s="95" t="s">
        <v>878</v>
      </c>
      <c r="L267" s="77" t="s">
        <v>1</v>
      </c>
      <c r="M267" s="94"/>
      <c r="N267" s="94"/>
    </row>
    <row r="268" spans="1:14" hidden="1" outlineLevel="1" x14ac:dyDescent="0.2">
      <c r="G268" s="107" t="str">
        <f ca="1">Language!A1432</f>
        <v>PBP проекта</v>
      </c>
      <c r="K268" s="95" t="s">
        <v>1573</v>
      </c>
    </row>
    <row r="269" spans="1:14" hidden="1" outlineLevel="1" x14ac:dyDescent="0.2">
      <c r="G269" s="107" t="str">
        <f ca="1">Language!A1433</f>
        <v>NPV для собственников</v>
      </c>
      <c r="K269" s="95" t="s">
        <v>1580</v>
      </c>
    </row>
    <row r="270" spans="1:14" hidden="1" outlineLevel="1" x14ac:dyDescent="0.2">
      <c r="G270" s="107" t="str">
        <f ca="1">Language!A1434</f>
        <v>IRR для собственников</v>
      </c>
      <c r="K270" s="95" t="s">
        <v>1572</v>
      </c>
      <c r="L270" s="77" t="s">
        <v>1</v>
      </c>
    </row>
    <row r="271" spans="1:14" hidden="1" outlineLevel="1" x14ac:dyDescent="0.2">
      <c r="G271" s="107" t="str">
        <f ca="1">Language!A1435</f>
        <v>PBP для собственников</v>
      </c>
      <c r="K271" s="95" t="s">
        <v>1581</v>
      </c>
    </row>
    <row r="272" spans="1:14" hidden="1" outlineLevel="1" x14ac:dyDescent="0.2">
      <c r="G272" s="107" t="str">
        <f ca="1">Language!A1436</f>
        <v>NPV для банка</v>
      </c>
      <c r="K272" s="95" t="s">
        <v>1582</v>
      </c>
    </row>
    <row r="273" spans="7:12" hidden="1" outlineLevel="1" x14ac:dyDescent="0.2">
      <c r="G273" s="107" t="str">
        <f ca="1">Language!A1437</f>
        <v>IRR для банка</v>
      </c>
      <c r="K273" s="95" t="s">
        <v>1583</v>
      </c>
      <c r="L273" s="77" t="s">
        <v>1</v>
      </c>
    </row>
    <row r="274" spans="7:12" hidden="1" outlineLevel="1" x14ac:dyDescent="0.2">
      <c r="G274" s="107" t="str">
        <f ca="1">Language!A1438</f>
        <v>PBP для банка</v>
      </c>
      <c r="K274" s="95" t="s">
        <v>1584</v>
      </c>
    </row>
    <row r="275" spans="7:12" hidden="1" outlineLevel="1" x14ac:dyDescent="0.2"/>
  </sheetData>
  <sheetProtection formatCells="0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outlinePr summaryBelow="0" summaryRight="0"/>
  </sheetPr>
  <dimension ref="A1:AV15"/>
  <sheetViews>
    <sheetView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G52" sqref="G52"/>
    </sheetView>
  </sheetViews>
  <sheetFormatPr defaultColWidth="8.7109375" defaultRowHeight="12.75" x14ac:dyDescent="0.2"/>
  <cols>
    <col min="1" max="1" width="50.7109375" style="38" customWidth="1"/>
    <col min="2" max="3" width="12.7109375" style="38" customWidth="1"/>
    <col min="4" max="4" width="6.7109375" style="38" hidden="1" customWidth="1"/>
    <col min="5" max="5" width="12.7109375" style="38" hidden="1" customWidth="1"/>
    <col min="6" max="6" width="20.7109375" style="38" hidden="1" customWidth="1"/>
    <col min="7" max="48" width="12.7109375" style="38" customWidth="1"/>
    <col min="49" max="16384" width="8.7109375" style="38"/>
  </cols>
  <sheetData>
    <row r="1" spans="1:48" s="54" customFormat="1" ht="12.75" customHeight="1" x14ac:dyDescent="0.2">
      <c r="A1" s="384" t="str">
        <f ca="1">Language!A1439 &amp; " :: " &amp; Prj_Name</f>
        <v>Сценарии :: Агро</v>
      </c>
      <c r="B1" s="385"/>
      <c r="C1" s="385"/>
      <c r="D1" s="52" t="s">
        <v>6</v>
      </c>
      <c r="E1" s="52" t="s">
        <v>4</v>
      </c>
      <c r="F1" s="52" t="s">
        <v>5</v>
      </c>
      <c r="G1" s="52" t="str">
        <f ca="1">Параметры!G$34</f>
        <v>4 кв. 2022</v>
      </c>
      <c r="H1" s="52" t="str">
        <f ca="1">Параметры!H$34</f>
        <v>1 кв. 2023</v>
      </c>
      <c r="I1" s="52" t="str">
        <f ca="1">Параметры!I$34</f>
        <v>2 кв. 2023</v>
      </c>
      <c r="J1" s="52" t="str">
        <f ca="1">Параметры!J$34</f>
        <v>3 кв. 2023</v>
      </c>
      <c r="K1" s="52" t="str">
        <f ca="1">Параметры!K$34</f>
        <v>4 кв. 2023</v>
      </c>
      <c r="L1" s="52" t="str">
        <f ca="1">Параметры!L$34</f>
        <v>1 кв. 2024</v>
      </c>
      <c r="M1" s="52" t="str">
        <f ca="1">Параметры!M$34</f>
        <v>2 кв. 2024</v>
      </c>
      <c r="N1" s="52" t="str">
        <f ca="1">Параметры!N$34</f>
        <v>3 кв. 2024</v>
      </c>
      <c r="O1" s="52" t="str">
        <f ca="1">Параметры!O$34</f>
        <v>4 кв. 2024</v>
      </c>
      <c r="P1" s="52" t="str">
        <f ca="1">Параметры!P$34</f>
        <v>1 кв. 2025</v>
      </c>
      <c r="Q1" s="52" t="str">
        <f ca="1">Параметры!Q$34</f>
        <v>2 кв. 2025</v>
      </c>
      <c r="R1" s="52" t="str">
        <f ca="1">Параметры!R$34</f>
        <v>3 кв. 2025</v>
      </c>
      <c r="S1" s="52" t="str">
        <f ca="1">Параметры!S$34</f>
        <v>4 кв. 2025</v>
      </c>
      <c r="T1" s="52" t="str">
        <f ca="1">Параметры!T$34</f>
        <v>1 кв. 2026</v>
      </c>
      <c r="U1" s="52" t="str">
        <f ca="1">Параметры!U$34</f>
        <v>2 кв. 2026</v>
      </c>
      <c r="V1" s="52" t="str">
        <f ca="1">Параметры!V$34</f>
        <v>3 кв. 2026</v>
      </c>
      <c r="W1" s="52" t="str">
        <f ca="1">Параметры!W$34</f>
        <v>4 кв. 2026</v>
      </c>
      <c r="X1" s="52" t="str">
        <f ca="1">Параметры!X$34</f>
        <v>1 кв. 2027</v>
      </c>
      <c r="Y1" s="52" t="str">
        <f ca="1">Параметры!Y$34</f>
        <v>2 кв. 2027</v>
      </c>
      <c r="Z1" s="52" t="str">
        <f ca="1">Параметры!Z$34</f>
        <v>3 кв. 2027</v>
      </c>
      <c r="AA1" s="52" t="str">
        <f ca="1">Параметры!AA$34</f>
        <v>4 кв. 2027</v>
      </c>
      <c r="AB1" s="52" t="str">
        <f ca="1">Параметры!AB$34</f>
        <v>1 кв. 2028</v>
      </c>
      <c r="AC1" s="52" t="str">
        <f ca="1">Параметры!AC$34</f>
        <v>2 кв. 2028</v>
      </c>
      <c r="AD1" s="52" t="str">
        <f ca="1">Параметры!AD$34</f>
        <v>3 кв. 2028</v>
      </c>
      <c r="AE1" s="52" t="str">
        <f ca="1">Параметры!AE$34</f>
        <v>4 кв. 2028</v>
      </c>
      <c r="AF1" s="52" t="str">
        <f ca="1">Параметры!AF$34</f>
        <v>1 кв. 2029</v>
      </c>
      <c r="AG1" s="52" t="str">
        <f ca="1">Параметры!AG$34</f>
        <v>2 кв. 2029</v>
      </c>
      <c r="AH1" s="52" t="str">
        <f ca="1">Параметры!AH$34</f>
        <v>3 кв. 2029</v>
      </c>
      <c r="AI1" s="52" t="str">
        <f ca="1">Параметры!AI$34</f>
        <v>4 кв. 2029</v>
      </c>
      <c r="AJ1" s="52" t="str">
        <f ca="1">Параметры!AJ$34</f>
        <v>1 кв. 2030</v>
      </c>
      <c r="AK1" s="52" t="str">
        <f ca="1">Параметры!AK$34</f>
        <v>2 кв. 2030</v>
      </c>
      <c r="AL1" s="52" t="str">
        <f ca="1">Параметры!AL$34</f>
        <v>3 кв. 2030</v>
      </c>
      <c r="AM1" s="52" t="str">
        <f ca="1">Параметры!AM$34</f>
        <v>4 кв. 2030</v>
      </c>
      <c r="AN1" s="52" t="str">
        <f ca="1">Параметры!AN$34</f>
        <v>1 кв. 2031</v>
      </c>
      <c r="AO1" s="52" t="str">
        <f ca="1">Параметры!AO$34</f>
        <v>2 кв. 2031</v>
      </c>
      <c r="AP1" s="52" t="str">
        <f ca="1">Параметры!AP$34</f>
        <v>3 кв. 2031</v>
      </c>
      <c r="AQ1" s="52" t="str">
        <f ca="1">Параметры!AQ$34</f>
        <v>4 кв. 2031</v>
      </c>
      <c r="AR1" s="52" t="str">
        <f ca="1">Параметры!AR$34</f>
        <v>1 кв. 2032</v>
      </c>
      <c r="AS1" s="52" t="str">
        <f ca="1">Параметры!AS$34</f>
        <v>2 кв. 2032</v>
      </c>
      <c r="AT1" s="52" t="str">
        <f ca="1">Параметры!AT$34</f>
        <v>3 кв. 2032</v>
      </c>
      <c r="AU1" s="52" t="str">
        <f ca="1">Параметры!AU$34</f>
        <v>4 кв. 2032</v>
      </c>
      <c r="AV1" s="52" t="str">
        <f ca="1">Параметры!AV$34</f>
        <v>1 кв. 2033</v>
      </c>
    </row>
    <row r="2" spans="1:48" s="54" customFormat="1" ht="12.75" customHeight="1" x14ac:dyDescent="0.2">
      <c r="A2" s="385"/>
      <c r="B2" s="385"/>
      <c r="C2" s="385"/>
      <c r="D2" s="55"/>
      <c r="E2" s="55"/>
      <c r="F2" s="55"/>
      <c r="G2" s="52">
        <f>Параметры!G25</f>
        <v>1</v>
      </c>
      <c r="H2" s="52">
        <f>Параметры!H25</f>
        <v>2</v>
      </c>
      <c r="I2" s="52">
        <f>Параметры!I25</f>
        <v>3</v>
      </c>
      <c r="J2" s="52">
        <f>Параметры!J25</f>
        <v>4</v>
      </c>
      <c r="K2" s="52">
        <f>Параметры!K25</f>
        <v>5</v>
      </c>
      <c r="L2" s="52">
        <f>Параметры!L25</f>
        <v>6</v>
      </c>
      <c r="M2" s="52">
        <f>Параметры!M25</f>
        <v>7</v>
      </c>
      <c r="N2" s="52">
        <f>Параметры!N25</f>
        <v>8</v>
      </c>
      <c r="O2" s="52">
        <f>Параметры!O25</f>
        <v>9</v>
      </c>
      <c r="P2" s="52">
        <f>Параметры!P25</f>
        <v>10</v>
      </c>
      <c r="Q2" s="52">
        <f>Параметры!Q25</f>
        <v>11</v>
      </c>
      <c r="R2" s="52">
        <f>Параметры!R25</f>
        <v>12</v>
      </c>
      <c r="S2" s="52">
        <f>Параметры!S25</f>
        <v>13</v>
      </c>
      <c r="T2" s="52">
        <f>Параметры!T25</f>
        <v>14</v>
      </c>
      <c r="U2" s="52">
        <f>Параметры!U25</f>
        <v>15</v>
      </c>
      <c r="V2" s="52">
        <f>Параметры!V25</f>
        <v>16</v>
      </c>
      <c r="W2" s="52">
        <f>Параметры!W25</f>
        <v>17</v>
      </c>
      <c r="X2" s="52">
        <f>Параметры!X25</f>
        <v>18</v>
      </c>
      <c r="Y2" s="52">
        <f>Параметры!Y25</f>
        <v>19</v>
      </c>
      <c r="Z2" s="52">
        <f>Параметры!Z25</f>
        <v>20</v>
      </c>
      <c r="AA2" s="52">
        <f>Параметры!AA25</f>
        <v>21</v>
      </c>
      <c r="AB2" s="52">
        <f>Параметры!AB25</f>
        <v>22</v>
      </c>
      <c r="AC2" s="52">
        <f>Параметры!AC25</f>
        <v>23</v>
      </c>
      <c r="AD2" s="52">
        <f>Параметры!AD25</f>
        <v>24</v>
      </c>
      <c r="AE2" s="52">
        <f>Параметры!AE25</f>
        <v>25</v>
      </c>
      <c r="AF2" s="52">
        <f>Параметры!AF25</f>
        <v>26</v>
      </c>
      <c r="AG2" s="52">
        <f>Параметры!AG25</f>
        <v>27</v>
      </c>
      <c r="AH2" s="52">
        <f>Параметры!AH25</f>
        <v>28</v>
      </c>
      <c r="AI2" s="52">
        <f>Параметры!AI25</f>
        <v>29</v>
      </c>
      <c r="AJ2" s="52">
        <f>Параметры!AJ25</f>
        <v>30</v>
      </c>
      <c r="AK2" s="52">
        <f>Параметры!AK25</f>
        <v>31</v>
      </c>
      <c r="AL2" s="52">
        <f>Параметры!AL25</f>
        <v>32</v>
      </c>
      <c r="AM2" s="52">
        <f>Параметры!AM25</f>
        <v>33</v>
      </c>
      <c r="AN2" s="52">
        <f>Параметры!AN25</f>
        <v>34</v>
      </c>
      <c r="AO2" s="52">
        <f>Параметры!AO25</f>
        <v>35</v>
      </c>
      <c r="AP2" s="52">
        <f>Параметры!AP25</f>
        <v>36</v>
      </c>
      <c r="AQ2" s="52">
        <f>Параметры!AQ25</f>
        <v>37</v>
      </c>
      <c r="AR2" s="52">
        <f>Параметры!AR25</f>
        <v>38</v>
      </c>
      <c r="AS2" s="52">
        <f>Параметры!AS25</f>
        <v>39</v>
      </c>
      <c r="AT2" s="52">
        <f>Параметры!AT25</f>
        <v>40</v>
      </c>
      <c r="AU2" s="52">
        <f>Параметры!AU25</f>
        <v>41</v>
      </c>
      <c r="AV2" s="52">
        <f>Параметры!AV25</f>
        <v>42</v>
      </c>
    </row>
    <row r="3" spans="1:48" x14ac:dyDescent="0.2">
      <c r="D3" s="57"/>
      <c r="E3" s="57"/>
      <c r="F3" s="57"/>
    </row>
    <row r="4" spans="1:48" s="64" customFormat="1" ht="25.5" customHeight="1" thickBot="1" x14ac:dyDescent="0.25">
      <c r="A4" s="118" t="str">
        <f ca="1">Language!A1440</f>
        <v>СЦЕНАРИИ ПРОЕКТА</v>
      </c>
      <c r="B4" s="119"/>
      <c r="C4" s="120"/>
      <c r="D4" s="121"/>
      <c r="E4" s="121" t="s">
        <v>907</v>
      </c>
      <c r="F4" s="121" t="s">
        <v>853</v>
      </c>
      <c r="G4" s="69" t="str">
        <f ca="1">Параметры!G$34</f>
        <v>4 кв. 2022</v>
      </c>
      <c r="H4" s="140" t="str">
        <f ca="1">Параметры!H$34</f>
        <v>1 кв. 2023</v>
      </c>
      <c r="I4" s="140" t="str">
        <f ca="1">Параметры!I$34</f>
        <v>2 кв. 2023</v>
      </c>
      <c r="J4" s="140" t="str">
        <f ca="1">Параметры!J$34</f>
        <v>3 кв. 2023</v>
      </c>
      <c r="K4" s="140" t="str">
        <f ca="1">Параметры!K$34</f>
        <v>4 кв. 2023</v>
      </c>
      <c r="L4" s="140" t="str">
        <f ca="1">Параметры!L$34</f>
        <v>1 кв. 2024</v>
      </c>
      <c r="M4" s="140" t="str">
        <f ca="1">Параметры!M$34</f>
        <v>2 кв. 2024</v>
      </c>
      <c r="N4" s="140" t="str">
        <f ca="1">Параметры!N$34</f>
        <v>3 кв. 2024</v>
      </c>
      <c r="O4" s="140" t="str">
        <f ca="1">Параметры!O$34</f>
        <v>4 кв. 2024</v>
      </c>
      <c r="P4" s="140" t="str">
        <f ca="1">Параметры!P$34</f>
        <v>1 кв. 2025</v>
      </c>
      <c r="Q4" s="140" t="str">
        <f ca="1">Параметры!Q$34</f>
        <v>2 кв. 2025</v>
      </c>
      <c r="R4" s="140" t="str">
        <f ca="1">Параметры!R$34</f>
        <v>3 кв. 2025</v>
      </c>
      <c r="S4" s="140" t="str">
        <f ca="1">Параметры!S$34</f>
        <v>4 кв. 2025</v>
      </c>
      <c r="T4" s="140" t="str">
        <f ca="1">Параметры!T$34</f>
        <v>1 кв. 2026</v>
      </c>
      <c r="U4" s="140" t="str">
        <f ca="1">Параметры!U$34</f>
        <v>2 кв. 2026</v>
      </c>
      <c r="V4" s="140" t="str">
        <f ca="1">Параметры!V$34</f>
        <v>3 кв. 2026</v>
      </c>
      <c r="W4" s="140" t="str">
        <f ca="1">Параметры!W$34</f>
        <v>4 кв. 2026</v>
      </c>
      <c r="X4" s="140" t="str">
        <f ca="1">Параметры!X$34</f>
        <v>1 кв. 2027</v>
      </c>
      <c r="Y4" s="140" t="str">
        <f ca="1">Параметры!Y$34</f>
        <v>2 кв. 2027</v>
      </c>
      <c r="Z4" s="140" t="str">
        <f ca="1">Параметры!Z$34</f>
        <v>3 кв. 2027</v>
      </c>
      <c r="AA4" s="140" t="str">
        <f ca="1">Параметры!AA$34</f>
        <v>4 кв. 2027</v>
      </c>
      <c r="AB4" s="140" t="str">
        <f ca="1">Параметры!AB$34</f>
        <v>1 кв. 2028</v>
      </c>
      <c r="AC4" s="140" t="str">
        <f ca="1">Параметры!AC$34</f>
        <v>2 кв. 2028</v>
      </c>
      <c r="AD4" s="140" t="str">
        <f ca="1">Параметры!AD$34</f>
        <v>3 кв. 2028</v>
      </c>
      <c r="AE4" s="140" t="str">
        <f ca="1">Параметры!AE$34</f>
        <v>4 кв. 2028</v>
      </c>
      <c r="AF4" s="140" t="str">
        <f ca="1">Параметры!AF$34</f>
        <v>1 кв. 2029</v>
      </c>
      <c r="AG4" s="140" t="str">
        <f ca="1">Параметры!AG$34</f>
        <v>2 кв. 2029</v>
      </c>
      <c r="AH4" s="140" t="str">
        <f ca="1">Параметры!AH$34</f>
        <v>3 кв. 2029</v>
      </c>
      <c r="AI4" s="140" t="str">
        <f ca="1">Параметры!AI$34</f>
        <v>4 кв. 2029</v>
      </c>
      <c r="AJ4" s="140" t="str">
        <f ca="1">Параметры!AJ$34</f>
        <v>1 кв. 2030</v>
      </c>
      <c r="AK4" s="140" t="str">
        <f ca="1">Параметры!AK$34</f>
        <v>2 кв. 2030</v>
      </c>
      <c r="AL4" s="140" t="str">
        <f ca="1">Параметры!AL$34</f>
        <v>3 кв. 2030</v>
      </c>
      <c r="AM4" s="140" t="str">
        <f ca="1">Параметры!AM$34</f>
        <v>4 кв. 2030</v>
      </c>
      <c r="AN4" s="140" t="str">
        <f ca="1">Параметры!AN$34</f>
        <v>1 кв. 2031</v>
      </c>
      <c r="AO4" s="140" t="str">
        <f ca="1">Параметры!AO$34</f>
        <v>2 кв. 2031</v>
      </c>
      <c r="AP4" s="140" t="str">
        <f ca="1">Параметры!AP$34</f>
        <v>3 кв. 2031</v>
      </c>
      <c r="AQ4" s="140" t="str">
        <f ca="1">Параметры!AQ$34</f>
        <v>4 кв. 2031</v>
      </c>
      <c r="AR4" s="140" t="str">
        <f ca="1">Параметры!AR$34</f>
        <v>1 кв. 2032</v>
      </c>
      <c r="AS4" s="140" t="str">
        <f ca="1">Параметры!AS$34</f>
        <v>2 кв. 2032</v>
      </c>
      <c r="AT4" s="140" t="str">
        <f ca="1">Параметры!AT$34</f>
        <v>3 кв. 2032</v>
      </c>
      <c r="AU4" s="140" t="str">
        <f ca="1">Параметры!AU$34</f>
        <v>4 кв. 2032</v>
      </c>
      <c r="AV4" s="140" t="str">
        <f ca="1">Параметры!AV$34</f>
        <v>1 кв. 2033</v>
      </c>
    </row>
    <row r="5" spans="1:48" ht="13.5" thickTop="1" x14ac:dyDescent="0.2">
      <c r="A5" s="65"/>
      <c r="C5" s="72"/>
      <c r="D5" s="57"/>
      <c r="E5" s="57"/>
      <c r="F5" s="57"/>
    </row>
    <row r="6" spans="1:48" x14ac:dyDescent="0.2">
      <c r="A6" s="65" t="str">
        <f ca="1">Language!A1441</f>
        <v>Сейчас модель не использует сценарии</v>
      </c>
      <c r="C6" s="72"/>
      <c r="D6" s="57"/>
      <c r="E6" s="57"/>
      <c r="F6" s="57"/>
    </row>
    <row r="7" spans="1:48" hidden="1" x14ac:dyDescent="0.2">
      <c r="A7" s="65" t="str">
        <f ca="1">Language!A1442</f>
        <v>Текущий сценарий</v>
      </c>
      <c r="B7" s="299"/>
      <c r="C7" s="72"/>
      <c r="D7" s="57"/>
      <c r="E7" s="57"/>
      <c r="F7" s="57"/>
    </row>
    <row r="8" spans="1:48" hidden="1" x14ac:dyDescent="0.2">
      <c r="A8" s="92"/>
      <c r="C8" s="72"/>
      <c r="D8" s="57"/>
      <c r="E8" s="57"/>
      <c r="F8" s="57"/>
    </row>
    <row r="9" spans="1:48" hidden="1" x14ac:dyDescent="0.2">
      <c r="A9" s="67"/>
      <c r="B9" s="51"/>
      <c r="C9" s="106"/>
      <c r="D9" s="68"/>
      <c r="E9" s="68"/>
      <c r="F9" s="68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</row>
    <row r="10" spans="1:48" hidden="1" x14ac:dyDescent="0.2">
      <c r="A10" s="65"/>
      <c r="C10" s="72"/>
      <c r="D10" s="57"/>
      <c r="E10" s="57"/>
      <c r="F10" s="57"/>
    </row>
    <row r="11" spans="1:48" hidden="1" x14ac:dyDescent="0.2">
      <c r="A11" s="65" t="str">
        <f ca="1">Language!A1443</f>
        <v>Данные для каждого из сценариев</v>
      </c>
      <c r="C11" s="72"/>
      <c r="D11" s="57"/>
      <c r="E11" s="57"/>
      <c r="F11" s="57"/>
    </row>
    <row r="12" spans="1:48" hidden="1" x14ac:dyDescent="0.2">
      <c r="A12" s="65"/>
      <c r="C12" s="72"/>
      <c r="D12" s="57"/>
      <c r="E12" s="57"/>
      <c r="F12" s="57"/>
    </row>
    <row r="13" spans="1:48" hidden="1" x14ac:dyDescent="0.2">
      <c r="A13" s="300"/>
      <c r="C13" s="72"/>
      <c r="D13" s="57"/>
      <c r="E13" s="57"/>
      <c r="F13" s="57"/>
    </row>
    <row r="14" spans="1:48" x14ac:dyDescent="0.2">
      <c r="A14" s="67"/>
      <c r="B14" s="51"/>
      <c r="C14" s="106"/>
      <c r="D14" s="68"/>
      <c r="E14" s="68" t="s">
        <v>654</v>
      </c>
      <c r="F14" s="68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</row>
    <row r="15" spans="1:48" x14ac:dyDescent="0.2">
      <c r="D15" s="57"/>
      <c r="E15" s="57"/>
      <c r="F15" s="57"/>
    </row>
  </sheetData>
  <sheetProtection formatCells="0"/>
  <mergeCells count="1">
    <mergeCell ref="A1:C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outlinePr summaryBelow="0" summaryRight="0"/>
  </sheetPr>
  <dimension ref="A1:O97"/>
  <sheetViews>
    <sheetView zoomScaleNormal="100" workbookViewId="0">
      <pane xSplit="3" ySplit="1" topLeftCell="D2" activePane="bottomRight" state="frozenSplit"/>
      <selection pane="topRight" activeCell="D1" sqref="D1"/>
      <selection pane="bottomLeft" activeCell="A2" sqref="A2"/>
      <selection pane="bottomRight"/>
    </sheetView>
  </sheetViews>
  <sheetFormatPr defaultColWidth="8.7109375" defaultRowHeight="12.75" x14ac:dyDescent="0.2"/>
  <cols>
    <col min="1" max="1" width="50.7109375" style="38" customWidth="1"/>
    <col min="2" max="15" width="12.7109375" style="38" customWidth="1"/>
    <col min="16" max="16384" width="8.7109375" style="38"/>
  </cols>
  <sheetData>
    <row r="1" spans="1:15" s="301" customFormat="1" ht="38.1" customHeight="1" x14ac:dyDescent="0.2"/>
    <row r="3" spans="1:15" ht="25.5" customHeight="1" thickBot="1" x14ac:dyDescent="0.25">
      <c r="A3" s="349" t="str">
        <f ca="1">Результаты!$A$4</f>
        <v>ОТЧЕТ О ПРИБЫЛЯХ И УБЫТКАХ</v>
      </c>
      <c r="B3" s="352"/>
      <c r="C3" s="355"/>
      <c r="D3" s="358" t="str">
        <f>"7-12.2016"</f>
        <v>7-12.2016</v>
      </c>
      <c r="E3" s="358" t="str">
        <f>"2017"</f>
        <v>2017</v>
      </c>
      <c r="F3" s="358" t="str">
        <f>"2018"</f>
        <v>2018</v>
      </c>
      <c r="G3" s="358" t="str">
        <f>"2019"</f>
        <v>2019</v>
      </c>
      <c r="H3" s="358" t="str">
        <f>"2020"</f>
        <v>2020</v>
      </c>
      <c r="I3" s="358" t="str">
        <f>"2021"</f>
        <v>2021</v>
      </c>
      <c r="J3" s="358" t="str">
        <f>"2022"</f>
        <v>2022</v>
      </c>
      <c r="K3" s="358" t="str">
        <f>"2023"</f>
        <v>2023</v>
      </c>
      <c r="L3" s="358" t="str">
        <f>"2024"</f>
        <v>2024</v>
      </c>
      <c r="M3" s="358" t="str">
        <f>"2025"</f>
        <v>2025</v>
      </c>
      <c r="N3" s="358" t="str">
        <f>"2026"</f>
        <v>2026</v>
      </c>
      <c r="O3" s="359" t="str">
        <f ca="1">Результаты!$AX$4</f>
        <v>ИТОГО</v>
      </c>
    </row>
    <row r="4" spans="1:15" ht="13.5" customHeight="1" thickTop="1" x14ac:dyDescent="0.2">
      <c r="A4" s="348"/>
      <c r="B4" s="351"/>
      <c r="C4" s="354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</row>
    <row r="5" spans="1:15" ht="12.95" customHeight="1" x14ac:dyDescent="0.2">
      <c r="A5" s="347" t="str">
        <f ca="1">Результаты!$A$6</f>
        <v>Выручка</v>
      </c>
      <c r="B5" s="350"/>
      <c r="C5" s="353" t="str">
        <f ca="1">Результаты!$C$6</f>
        <v>тыс. руб.</v>
      </c>
      <c r="D5" s="360">
        <f ca="1">SUM(Результаты!$G$6:'Результаты'!$H$6)</f>
        <v>394266.83134619228</v>
      </c>
      <c r="E5" s="360">
        <f ca="1">SUM(Результаты!$I$6:'Результаты'!$L$6)</f>
        <v>1048448.4028960979</v>
      </c>
      <c r="F5" s="360">
        <f ca="1">SUM(Результаты!$M$6:'Результаты'!$P$6)</f>
        <v>1392314.7327671363</v>
      </c>
      <c r="G5" s="360">
        <f ca="1">SUM(Результаты!$Q$6:'Результаты'!$T$6)</f>
        <v>1635229.2628550837</v>
      </c>
      <c r="H5" s="360">
        <f ca="1">SUM(Результаты!$U$6:'Результаты'!$X$6)</f>
        <v>1804085.4485525968</v>
      </c>
      <c r="I5" s="360">
        <f ca="1">SUM(Результаты!$Y$6:'Результаты'!$AB$6)</f>
        <v>1915807.9993259388</v>
      </c>
      <c r="J5" s="360">
        <f ca="1">SUM(Результаты!$AC$6:'Результаты'!$AF$6)</f>
        <v>2065189.9329042053</v>
      </c>
      <c r="K5" s="360">
        <f ca="1">SUM(Результаты!$AG$6:'Результаты'!$AJ$6)</f>
        <v>2198273.6923442809</v>
      </c>
      <c r="L5" s="360">
        <f ca="1">SUM(Результаты!$AK$6:'Результаты'!$AN$6)</f>
        <v>2326718.9349033339</v>
      </c>
      <c r="M5" s="360">
        <f ca="1">SUM(Результаты!$AO$6:'Результаты'!$AR$6)</f>
        <v>2465854.316009623</v>
      </c>
      <c r="N5" s="360">
        <f ca="1">SUM(Результаты!$AS$6:'Результаты'!$AV$6)</f>
        <v>2521673.6818983052</v>
      </c>
      <c r="O5" s="361">
        <f ca="1">Результаты!$AX$6</f>
        <v>19767863.235802796</v>
      </c>
    </row>
    <row r="6" spans="1:15" ht="12.95" customHeight="1" x14ac:dyDescent="0.2">
      <c r="A6" s="347" t="str">
        <f ca="1">Результаты!$A$7</f>
        <v>Себестоимость:</v>
      </c>
      <c r="B6" s="350"/>
      <c r="C6" s="353" t="str">
        <f ca="1">Результаты!$C$7</f>
        <v>тыс. руб.</v>
      </c>
      <c r="D6" s="360">
        <f ca="1">SUM(Результаты!$G$7:'Результаты'!$H$7)</f>
        <v>-230880.93713342788</v>
      </c>
      <c r="E6" s="360">
        <f ca="1">SUM(Результаты!$I$7:'Результаты'!$L$7)</f>
        <v>-627331.00352973386</v>
      </c>
      <c r="F6" s="360">
        <f ca="1">SUM(Результаты!$M$7:'Результаты'!$P$7)</f>
        <v>-780095.24514172762</v>
      </c>
      <c r="G6" s="360">
        <f ca="1">SUM(Результаты!$Q$7:'Результаты'!$T$7)</f>
        <v>-881830.97791278455</v>
      </c>
      <c r="H6" s="360">
        <f ca="1">SUM(Результаты!$U$7:'Результаты'!$X$7)</f>
        <v>-951004.25179300422</v>
      </c>
      <c r="I6" s="360">
        <f ca="1">SUM(Результаты!$Y$7:'Результаты'!$AB$7)</f>
        <v>-1017105.4326239629</v>
      </c>
      <c r="J6" s="360">
        <f ca="1">SUM(Результаты!$AC$7:'Результаты'!$AF$7)</f>
        <v>-1085077.772455187</v>
      </c>
      <c r="K6" s="360">
        <f ca="1">SUM(Результаты!$AG$7:'Результаты'!$AJ$7)</f>
        <v>-1151358.241661401</v>
      </c>
      <c r="L6" s="360">
        <f ca="1">SUM(Результаты!$AK$7:'Результаты'!$AN$7)</f>
        <v>-1221264.4048924423</v>
      </c>
      <c r="M6" s="360">
        <f ca="1">SUM(Результаты!$AO$7:'Результаты'!$AR$7)</f>
        <v>-1295926.6292272056</v>
      </c>
      <c r="N6" s="360">
        <f ca="1">SUM(Результаты!$AS$7:'Результаты'!$AV$7)</f>
        <v>-1390422.4598752607</v>
      </c>
      <c r="O6" s="361">
        <f ca="1">Результаты!$AX$7</f>
        <v>-10632297.356246138</v>
      </c>
    </row>
    <row r="7" spans="1:15" ht="12.95" customHeight="1" x14ac:dyDescent="0.2">
      <c r="A7" s="362" t="str">
        <f ca="1">Результаты!$A$8</f>
        <v>сырье и материалы</v>
      </c>
      <c r="B7" s="350"/>
      <c r="C7" s="353" t="str">
        <f ca="1">Результаты!$C$8</f>
        <v>тыс. руб.</v>
      </c>
      <c r="D7" s="360">
        <f ca="1">SUM(Результаты!$G$8:'Результаты'!$H$8)</f>
        <v>-145769.02582818671</v>
      </c>
      <c r="E7" s="360">
        <f ca="1">SUM(Результаты!$I$8:'Результаты'!$L$8)</f>
        <v>-426039.15053126356</v>
      </c>
      <c r="F7" s="360">
        <f ca="1">SUM(Результаты!$M$8:'Результаты'!$P$8)</f>
        <v>-551376.20264137641</v>
      </c>
      <c r="G7" s="360">
        <f ca="1">SUM(Результаты!$Q$8:'Результаты'!$T$8)</f>
        <v>-639388.79286241229</v>
      </c>
      <c r="H7" s="360">
        <f ca="1">SUM(Результаты!$U$8:'Результаты'!$X$8)</f>
        <v>-694015.53563960968</v>
      </c>
      <c r="I7" s="360">
        <f ca="1">SUM(Результаты!$Y$8:'Результаты'!$AB$8)</f>
        <v>-744697.39350136463</v>
      </c>
      <c r="J7" s="360">
        <f ca="1">SUM(Результаты!$AC$8:'Результаты'!$AF$8)</f>
        <v>-796325.25098523288</v>
      </c>
      <c r="K7" s="360">
        <f ca="1">SUM(Результаты!$AG$8:'Результаты'!$AJ$8)</f>
        <v>-845280.56890324957</v>
      </c>
      <c r="L7" s="360">
        <f ca="1">SUM(Результаты!$AK$8:'Результаты'!$AN$8)</f>
        <v>-896822.07176880166</v>
      </c>
      <c r="M7" s="360">
        <f ca="1">SUM(Результаты!$AO$8:'Результаты'!$AR$8)</f>
        <v>-952017.75611614657</v>
      </c>
      <c r="N7" s="360">
        <f ca="1">SUM(Результаты!$AS$8:'Результаты'!$AV$8)</f>
        <v>-1025879.0543775379</v>
      </c>
      <c r="O7" s="361">
        <f ca="1">Результаты!$AX$8</f>
        <v>-7717610.8031551838</v>
      </c>
    </row>
    <row r="8" spans="1:15" ht="12.95" customHeight="1" x14ac:dyDescent="0.2">
      <c r="A8" s="362" t="str">
        <f ca="1">Результаты!$A$9</f>
        <v>производственный персонал</v>
      </c>
      <c r="B8" s="350"/>
      <c r="C8" s="353" t="str">
        <f ca="1">Результаты!$C$9</f>
        <v>тыс. руб.</v>
      </c>
      <c r="D8" s="360">
        <f ca="1">SUM(Результаты!$G$9:'Результаты'!$H$9)</f>
        <v>-56100.607920412484</v>
      </c>
      <c r="E8" s="360">
        <f ca="1">SUM(Результаты!$I$9:'Результаты'!$L$9)</f>
        <v>-140670.90645473584</v>
      </c>
      <c r="F8" s="360">
        <f ca="1">SUM(Результаты!$M$9:'Результаты'!$P$9)</f>
        <v>-164460.83916399261</v>
      </c>
      <c r="G8" s="360">
        <f ca="1">SUM(Результаты!$Q$9:'Результаты'!$T$9)</f>
        <v>-174328.4895138322</v>
      </c>
      <c r="H8" s="360">
        <f ca="1">SUM(Результаты!$U$9:'Результаты'!$X$9)</f>
        <v>-184788.19888466212</v>
      </c>
      <c r="I8" s="360">
        <f ca="1">SUM(Результаты!$Y$9:'Результаты'!$AB$9)</f>
        <v>-195875.4908177419</v>
      </c>
      <c r="J8" s="360">
        <f ca="1">SUM(Результаты!$AC$9:'Результаты'!$AF$9)</f>
        <v>-207628.02026680642</v>
      </c>
      <c r="K8" s="360">
        <f ca="1">SUM(Результаты!$AG$9:'Результаты'!$AJ$9)</f>
        <v>-220085.70148281485</v>
      </c>
      <c r="L8" s="360">
        <f ca="1">SUM(Результаты!$AK$9:'Результаты'!$AN$9)</f>
        <v>-233290.84357178374</v>
      </c>
      <c r="M8" s="360">
        <f ca="1">SUM(Результаты!$AO$9:'Результаты'!$AR$9)</f>
        <v>-247288.29418609079</v>
      </c>
      <c r="N8" s="360">
        <f ca="1">SUM(Результаты!$AS$9:'Результаты'!$AV$9)</f>
        <v>-262125.59183725624</v>
      </c>
      <c r="O8" s="361">
        <f ca="1">Результаты!$AX$9</f>
        <v>-2086642.984100129</v>
      </c>
    </row>
    <row r="9" spans="1:15" ht="12.95" customHeight="1" x14ac:dyDescent="0.2">
      <c r="A9" s="362" t="str">
        <f ca="1">Результаты!$A$10</f>
        <v>прочие производственные расходы</v>
      </c>
      <c r="B9" s="350"/>
      <c r="C9" s="353" t="str">
        <f ca="1">Результаты!$C$10</f>
        <v>тыс. руб.</v>
      </c>
      <c r="D9" s="360">
        <f ca="1">SUM(Результаты!$G$10:'Результаты'!$H$10)</f>
        <v>-29011.303384828694</v>
      </c>
      <c r="E9" s="360">
        <f ca="1">SUM(Результаты!$I$10:'Результаты'!$L$10)</f>
        <v>-60620.946543734462</v>
      </c>
      <c r="F9" s="360">
        <f ca="1">SUM(Результаты!$M$10:'Результаты'!$P$10)</f>
        <v>-64258.203336358536</v>
      </c>
      <c r="G9" s="360">
        <f ca="1">SUM(Результаты!$Q$10:'Результаты'!$T$10)</f>
        <v>-68113.69553654005</v>
      </c>
      <c r="H9" s="360">
        <f ca="1">SUM(Результаты!$U$10:'Результаты'!$X$10)</f>
        <v>-72200.517268732467</v>
      </c>
      <c r="I9" s="360">
        <f ca="1">SUM(Результаты!$Y$10:'Результаты'!$AB$10)</f>
        <v>-76532.54830485642</v>
      </c>
      <c r="J9" s="360">
        <f ca="1">SUM(Результаты!$AC$10:'Результаты'!$AF$10)</f>
        <v>-81124.501203147811</v>
      </c>
      <c r="K9" s="360">
        <f ca="1">SUM(Результаты!$AG$10:'Результаты'!$AJ$10)</f>
        <v>-85991.971275336662</v>
      </c>
      <c r="L9" s="360">
        <f ca="1">SUM(Результаты!$AK$10:'Результаты'!$AN$10)</f>
        <v>-91151.489551856881</v>
      </c>
      <c r="M9" s="360">
        <f ca="1">SUM(Результаты!$AO$10:'Результаты'!$AR$10)</f>
        <v>-96620.5789249683</v>
      </c>
      <c r="N9" s="360">
        <f ca="1">SUM(Результаты!$AS$10:'Результаты'!$AV$10)</f>
        <v>-102417.81366046637</v>
      </c>
      <c r="O9" s="361">
        <f ca="1">Результаты!$AX$10</f>
        <v>-828043.56899082672</v>
      </c>
    </row>
    <row r="10" spans="1:15" ht="12.95" customHeight="1" x14ac:dyDescent="0.2">
      <c r="A10" s="366" t="str">
        <f ca="1">Результаты!$A$11</f>
        <v>Валовая прибыль</v>
      </c>
      <c r="B10" s="368"/>
      <c r="C10" s="370" t="str">
        <f ca="1">Результаты!$C$11</f>
        <v>тыс. руб.</v>
      </c>
      <c r="D10" s="372">
        <f ca="1">SUM(Результаты!$G$11:'Результаты'!$H$11)</f>
        <v>163385.89421276443</v>
      </c>
      <c r="E10" s="372">
        <f ca="1">SUM(Результаты!$I$11:'Результаты'!$L$11)</f>
        <v>421117.399366364</v>
      </c>
      <c r="F10" s="372">
        <f ca="1">SUM(Результаты!$M$11:'Результаты'!$P$11)</f>
        <v>612219.4876254088</v>
      </c>
      <c r="G10" s="372">
        <f ca="1">SUM(Результаты!$Q$11:'Результаты'!$T$11)</f>
        <v>753398.28494229913</v>
      </c>
      <c r="H10" s="372">
        <f ca="1">SUM(Результаты!$U$11:'Результаты'!$X$11)</f>
        <v>853081.19675959274</v>
      </c>
      <c r="I10" s="372">
        <f ca="1">SUM(Результаты!$Y$11:'Результаты'!$AB$11)</f>
        <v>898702.56670197588</v>
      </c>
      <c r="J10" s="372">
        <f ca="1">SUM(Результаты!$AC$11:'Результаты'!$AF$11)</f>
        <v>980112.16044901824</v>
      </c>
      <c r="K10" s="372">
        <f ca="1">SUM(Результаты!$AG$11:'Результаты'!$AJ$11)</f>
        <v>1046915.4506828797</v>
      </c>
      <c r="L10" s="372">
        <f ca="1">SUM(Результаты!$AK$11:'Результаты'!$AN$11)</f>
        <v>1105454.5300108918</v>
      </c>
      <c r="M10" s="372">
        <f ca="1">SUM(Результаты!$AO$11:'Результаты'!$AR$11)</f>
        <v>1169927.6867824174</v>
      </c>
      <c r="N10" s="372">
        <f ca="1">SUM(Результаты!$AS$11:'Результаты'!$AV$11)</f>
        <v>1131251.2220230447</v>
      </c>
      <c r="O10" s="374">
        <f ca="1">Результаты!$AX$11</f>
        <v>9135565.8795566577</v>
      </c>
    </row>
    <row r="11" spans="1:15" ht="12.95" customHeight="1" x14ac:dyDescent="0.2">
      <c r="A11" s="365"/>
      <c r="B11" s="367"/>
      <c r="C11" s="369"/>
      <c r="D11" s="371"/>
      <c r="E11" s="371"/>
      <c r="F11" s="371"/>
      <c r="G11" s="371"/>
      <c r="H11" s="371"/>
      <c r="I11" s="371"/>
      <c r="J11" s="371"/>
      <c r="K11" s="371"/>
      <c r="L11" s="371"/>
      <c r="M11" s="371"/>
      <c r="N11" s="371"/>
      <c r="O11" s="373"/>
    </row>
    <row r="12" spans="1:15" ht="12.95" customHeight="1" x14ac:dyDescent="0.2">
      <c r="A12" s="362" t="str">
        <f ca="1">Результаты!$A$14</f>
        <v>Административные расходы</v>
      </c>
      <c r="B12" s="350"/>
      <c r="C12" s="353" t="str">
        <f ca="1">Результаты!$C$14</f>
        <v>тыс. руб.</v>
      </c>
      <c r="D12" s="360">
        <f ca="1">SUM(Результаты!$G$14:'Результаты'!$H$14)</f>
        <v>-14505.651692414347</v>
      </c>
      <c r="E12" s="360">
        <f ca="1">SUM(Результаты!$I$14:'Результаты'!$L$14)</f>
        <v>-30310.473271867231</v>
      </c>
      <c r="F12" s="360">
        <f ca="1">SUM(Результаты!$M$14:'Результаты'!$P$14)</f>
        <v>-32129.101668179268</v>
      </c>
      <c r="G12" s="360">
        <f ca="1">SUM(Результаты!$Q$14:'Результаты'!$T$14)</f>
        <v>-34056.847768270025</v>
      </c>
      <c r="H12" s="360">
        <f ca="1">SUM(Результаты!$U$14:'Результаты'!$X$14)</f>
        <v>-36100.258634366226</v>
      </c>
      <c r="I12" s="360">
        <f ca="1">SUM(Результаты!$Y$14:'Результаты'!$AB$14)</f>
        <v>-38266.274152428203</v>
      </c>
      <c r="J12" s="360">
        <f ca="1">SUM(Результаты!$AC$14:'Результаты'!$AF$14)</f>
        <v>-40562.250601573891</v>
      </c>
      <c r="K12" s="360">
        <f ca="1">SUM(Результаты!$AG$14:'Результаты'!$AJ$14)</f>
        <v>-42995.985637668331</v>
      </c>
      <c r="L12" s="360">
        <f ca="1">SUM(Результаты!$AK$14:'Результаты'!$AN$14)</f>
        <v>-45575.744775928441</v>
      </c>
      <c r="M12" s="360">
        <f ca="1">SUM(Результаты!$AO$14:'Результаты'!$AR$14)</f>
        <v>-48310.289462484143</v>
      </c>
      <c r="N12" s="360">
        <f ca="1">SUM(Результаты!$AS$14:'Результаты'!$AV$14)</f>
        <v>-51208.906830233187</v>
      </c>
      <c r="O12" s="361">
        <f ca="1">Результаты!$AX$14</f>
        <v>-414021.78449541336</v>
      </c>
    </row>
    <row r="13" spans="1:15" ht="12.95" customHeight="1" x14ac:dyDescent="0.2">
      <c r="A13" s="362" t="str">
        <f ca="1">Результаты!$A$15</f>
        <v>Коммерческие расходы</v>
      </c>
      <c r="B13" s="350"/>
      <c r="C13" s="353" t="str">
        <f ca="1">Результаты!$C$15</f>
        <v>тыс. руб.</v>
      </c>
      <c r="D13" s="360">
        <f ca="1">SUM(Результаты!$G$15:'Результаты'!$H$15)</f>
        <v>-10073.369230843296</v>
      </c>
      <c r="E13" s="360">
        <f ca="1">SUM(Результаты!$I$15:'Результаты'!$L$15)</f>
        <v>-21048.939772130027</v>
      </c>
      <c r="F13" s="360">
        <f ca="1">SUM(Результаты!$M$15:'Результаты'!$P$15)</f>
        <v>-22311.876158457831</v>
      </c>
      <c r="G13" s="360">
        <f ca="1">SUM(Результаты!$Q$15:'Результаты'!$T$15)</f>
        <v>-23650.5887279653</v>
      </c>
      <c r="H13" s="360">
        <f ca="1">SUM(Результаты!$U$15:'Результаты'!$X$15)</f>
        <v>-25069.624051643223</v>
      </c>
      <c r="I13" s="360">
        <f ca="1">SUM(Результаты!$Y$15:'Результаты'!$AB$15)</f>
        <v>-26573.80149474182</v>
      </c>
      <c r="J13" s="360">
        <f ca="1">SUM(Результаты!$AC$15:'Результаты'!$AF$15)</f>
        <v>-28168.229584426332</v>
      </c>
      <c r="K13" s="360">
        <f ca="1">SUM(Результаты!$AG$15:'Результаты'!$AJ$15)</f>
        <v>-29858.323359491911</v>
      </c>
      <c r="L13" s="360">
        <f ca="1">SUM(Результаты!$AK$15:'Результаты'!$AN$15)</f>
        <v>-31649.82276106143</v>
      </c>
      <c r="M13" s="360">
        <f ca="1">SUM(Результаты!$AO$15:'Результаты'!$AR$15)</f>
        <v>-33548.812126725119</v>
      </c>
      <c r="N13" s="360">
        <f ca="1">SUM(Результаты!$AS$15:'Результаты'!$AV$15)</f>
        <v>-35561.740854328629</v>
      </c>
      <c r="O13" s="361">
        <f ca="1">Результаты!$AX$15</f>
        <v>-287515.12812181492</v>
      </c>
    </row>
    <row r="14" spans="1:15" ht="12.95" customHeight="1" x14ac:dyDescent="0.2">
      <c r="A14" s="366" t="str">
        <f ca="1">Результаты!$A$17</f>
        <v>EBITDA</v>
      </c>
      <c r="B14" s="368"/>
      <c r="C14" s="370" t="str">
        <f ca="1">Результаты!$C$17</f>
        <v>тыс. руб.</v>
      </c>
      <c r="D14" s="372">
        <f ca="1">SUM(Результаты!$G$17:'Результаты'!$H$17)</f>
        <v>138806.8732895068</v>
      </c>
      <c r="E14" s="372">
        <f ca="1">SUM(Результаты!$I$17:'Результаты'!$L$17)</f>
        <v>369757.98632236675</v>
      </c>
      <c r="F14" s="372">
        <f ca="1">SUM(Результаты!$M$17:'Результаты'!$P$17)</f>
        <v>557778.50979877182</v>
      </c>
      <c r="G14" s="372">
        <f ca="1">SUM(Результаты!$Q$17:'Результаты'!$T$17)</f>
        <v>695690.8484460637</v>
      </c>
      <c r="H14" s="372">
        <f ca="1">SUM(Результаты!$U$17:'Результаты'!$X$17)</f>
        <v>791911.31407358323</v>
      </c>
      <c r="I14" s="372">
        <f ca="1">SUM(Результаты!$Y$17:'Результаты'!$AB$17)</f>
        <v>833862.49105480581</v>
      </c>
      <c r="J14" s="372">
        <f ca="1">SUM(Результаты!$AC$17:'Результаты'!$AF$17)</f>
        <v>911381.680263018</v>
      </c>
      <c r="K14" s="372">
        <f ca="1">SUM(Результаты!$AG$17:'Результаты'!$AJ$17)</f>
        <v>974061.1416857196</v>
      </c>
      <c r="L14" s="372">
        <f ca="1">SUM(Результаты!$AK$17:'Результаты'!$AN$17)</f>
        <v>1028228.9624739019</v>
      </c>
      <c r="M14" s="372">
        <f ca="1">SUM(Результаты!$AO$17:'Результаты'!$AR$17)</f>
        <v>1088068.5851932082</v>
      </c>
      <c r="N14" s="372">
        <f ca="1">SUM(Результаты!$AS$17:'Результаты'!$AV$17)</f>
        <v>1044480.5743384828</v>
      </c>
      <c r="O14" s="374">
        <f ca="1">Результаты!$AX$17</f>
        <v>8434028.9669394288</v>
      </c>
    </row>
    <row r="15" spans="1:15" ht="12.95" customHeight="1" x14ac:dyDescent="0.2">
      <c r="A15" s="365"/>
      <c r="B15" s="367"/>
      <c r="C15" s="369"/>
      <c r="D15" s="371"/>
      <c r="E15" s="371"/>
      <c r="F15" s="371"/>
      <c r="G15" s="371"/>
      <c r="H15" s="371"/>
      <c r="I15" s="371"/>
      <c r="J15" s="371"/>
      <c r="K15" s="371"/>
      <c r="L15" s="371"/>
      <c r="M15" s="371"/>
      <c r="N15" s="371"/>
      <c r="O15" s="373"/>
    </row>
    <row r="16" spans="1:15" ht="12.95" customHeight="1" x14ac:dyDescent="0.2">
      <c r="A16" s="362" t="str">
        <f ca="1">Результаты!$A$19</f>
        <v>Лизинговые платежи</v>
      </c>
      <c r="B16" s="350"/>
      <c r="C16" s="353" t="str">
        <f ca="1">Результаты!$C$19</f>
        <v>тыс. руб.</v>
      </c>
      <c r="D16" s="360">
        <f>SUM(Результаты!$G$19:'Результаты'!$H$19)</f>
        <v>0</v>
      </c>
      <c r="E16" s="360">
        <f>SUM(Результаты!$I$19:'Результаты'!$L$19)</f>
        <v>0</v>
      </c>
      <c r="F16" s="360">
        <f>SUM(Результаты!$M$19:'Результаты'!$P$19)</f>
        <v>0</v>
      </c>
      <c r="G16" s="360">
        <f>SUM(Результаты!$Q$19:'Результаты'!$T$19)</f>
        <v>0</v>
      </c>
      <c r="H16" s="360">
        <f>SUM(Результаты!$U$19:'Результаты'!$X$19)</f>
        <v>0</v>
      </c>
      <c r="I16" s="360">
        <f>SUM(Результаты!$Y$19:'Результаты'!$AB$19)</f>
        <v>0</v>
      </c>
      <c r="J16" s="360">
        <f>SUM(Результаты!$AC$19:'Результаты'!$AF$19)</f>
        <v>0</v>
      </c>
      <c r="K16" s="360">
        <f>SUM(Результаты!$AG$19:'Результаты'!$AJ$19)</f>
        <v>0</v>
      </c>
      <c r="L16" s="360">
        <f>SUM(Результаты!$AK$19:'Результаты'!$AN$19)</f>
        <v>0</v>
      </c>
      <c r="M16" s="360">
        <f>SUM(Результаты!$AO$19:'Результаты'!$AR$19)</f>
        <v>0</v>
      </c>
      <c r="N16" s="360">
        <f>SUM(Результаты!$AS$19:'Результаты'!$AV$19)</f>
        <v>0</v>
      </c>
      <c r="O16" s="361">
        <f>Результаты!$AX$19</f>
        <v>0</v>
      </c>
    </row>
    <row r="17" spans="1:15" ht="12.95" customHeight="1" x14ac:dyDescent="0.2">
      <c r="A17" s="362" t="str">
        <f ca="1">Результаты!$A$20</f>
        <v>Амортизация</v>
      </c>
      <c r="B17" s="350"/>
      <c r="C17" s="353" t="str">
        <f ca="1">Результаты!$C$20</f>
        <v>тыс. руб.</v>
      </c>
      <c r="D17" s="360">
        <f ca="1">SUM(Результаты!$G$20:'Результаты'!$H$20)</f>
        <v>-152576.1881355932</v>
      </c>
      <c r="E17" s="360">
        <f ca="1">SUM(Результаты!$I$20:'Результаты'!$L$20)</f>
        <v>-305152.3762711864</v>
      </c>
      <c r="F17" s="360">
        <f ca="1">SUM(Результаты!$M$20:'Результаты'!$P$20)</f>
        <v>-305152.3762711864</v>
      </c>
      <c r="G17" s="360">
        <f ca="1">SUM(Результаты!$Q$20:'Результаты'!$T$20)</f>
        <v>-305152.3762711864</v>
      </c>
      <c r="H17" s="360">
        <f ca="1">SUM(Результаты!$U$20:'Результаты'!$X$20)</f>
        <v>-305152.3762711864</v>
      </c>
      <c r="I17" s="360">
        <f ca="1">SUM(Результаты!$Y$20:'Результаты'!$AB$20)</f>
        <v>-305152.3762711864</v>
      </c>
      <c r="J17" s="360">
        <f ca="1">SUM(Результаты!$AC$20:'Результаты'!$AF$20)</f>
        <v>-305152.3762711864</v>
      </c>
      <c r="K17" s="360">
        <f ca="1">SUM(Результаты!$AG$20:'Результаты'!$AJ$20)</f>
        <v>-305152.3762711864</v>
      </c>
      <c r="L17" s="360">
        <f ca="1">SUM(Результаты!$AK$20:'Результаты'!$AN$20)</f>
        <v>-305152.3762711864</v>
      </c>
      <c r="M17" s="360">
        <f ca="1">SUM(Результаты!$AO$20:'Результаты'!$AR$20)</f>
        <v>-166563.8762711864</v>
      </c>
      <c r="N17" s="360">
        <f ca="1">SUM(Результаты!$AS$20:'Результаты'!$AV$20)</f>
        <v>-15510.993220338985</v>
      </c>
      <c r="O17" s="361">
        <f ca="1">Результаты!$AX$20</f>
        <v>-2775870.0677966094</v>
      </c>
    </row>
    <row r="18" spans="1:15" ht="12.95" customHeight="1" x14ac:dyDescent="0.2">
      <c r="A18" s="362" t="str">
        <f ca="1">Результаты!$A$21</f>
        <v>Проценты к уплате</v>
      </c>
      <c r="B18" s="350"/>
      <c r="C18" s="353" t="str">
        <f ca="1">Результаты!$C$21</f>
        <v>тыс. руб.</v>
      </c>
      <c r="D18" s="360">
        <f>SUM(Результаты!$G$21:'Результаты'!$H$21)</f>
        <v>-161857.45199999999</v>
      </c>
      <c r="E18" s="360">
        <f>SUM(Результаты!$I$21:'Результаты'!$L$21)</f>
        <v>-367744.8</v>
      </c>
      <c r="F18" s="360">
        <f>SUM(Результаты!$M$21:'Результаты'!$P$21)</f>
        <v>-371494.8</v>
      </c>
      <c r="G18" s="360">
        <f>SUM(Результаты!$Q$21:'Результаты'!$T$21)</f>
        <v>-371494.8</v>
      </c>
      <c r="H18" s="360">
        <f>SUM(Результаты!$U$21:'Результаты'!$X$21)</f>
        <v>-336491.21087520005</v>
      </c>
      <c r="I18" s="360">
        <f>SUM(Результаты!$Y$21:'Результаты'!$AB$21)</f>
        <v>-264823.78401164745</v>
      </c>
      <c r="J18" s="360">
        <f>SUM(Результаты!$AC$21:'Результаты'!$AF$21)</f>
        <v>-182793.032429229</v>
      </c>
      <c r="K18" s="360">
        <f>SUM(Результаты!$AG$21:'Результаты'!$AJ$21)</f>
        <v>-88813.090895835703</v>
      </c>
      <c r="L18" s="360">
        <f>SUM(Результаты!$AK$21:'Результаты'!$AN$21)</f>
        <v>-8320.8260300177953</v>
      </c>
      <c r="M18" s="360">
        <f>SUM(Результаты!$AO$21:'Результаты'!$AR$21)</f>
        <v>0</v>
      </c>
      <c r="N18" s="360">
        <f>SUM(Результаты!$AS$21:'Результаты'!$AV$21)</f>
        <v>0</v>
      </c>
      <c r="O18" s="361">
        <f>Результаты!$AX$21</f>
        <v>-2153833.7962419293</v>
      </c>
    </row>
    <row r="19" spans="1:15" ht="12.95" customHeight="1" x14ac:dyDescent="0.2">
      <c r="A19" s="347" t="str">
        <f ca="1">Результаты!$A$22</f>
        <v>Прибыль (убыток) от операционной деятельности</v>
      </c>
      <c r="B19" s="350"/>
      <c r="C19" s="353" t="str">
        <f ca="1">Результаты!$C$22</f>
        <v>тыс. руб.</v>
      </c>
      <c r="D19" s="360">
        <f ca="1">SUM(Результаты!$G$22:'Результаты'!$H$22)</f>
        <v>-175626.76684608639</v>
      </c>
      <c r="E19" s="360">
        <f ca="1">SUM(Результаты!$I$22:'Результаты'!$L$22)</f>
        <v>-303139.18994881969</v>
      </c>
      <c r="F19" s="360">
        <f ca="1">SUM(Результаты!$M$22:'Результаты'!$P$22)</f>
        <v>-118868.66647241467</v>
      </c>
      <c r="G19" s="360">
        <f ca="1">SUM(Результаты!$Q$22:'Результаты'!$T$22)</f>
        <v>19043.672174877313</v>
      </c>
      <c r="H19" s="360">
        <f ca="1">SUM(Результаты!$U$22:'Результаты'!$X$22)</f>
        <v>150267.72692719684</v>
      </c>
      <c r="I19" s="360">
        <f ca="1">SUM(Результаты!$Y$22:'Результаты'!$AB$22)</f>
        <v>263886.33077197196</v>
      </c>
      <c r="J19" s="360">
        <f ca="1">SUM(Результаты!$AC$22:'Результаты'!$AF$22)</f>
        <v>423436.2715626026</v>
      </c>
      <c r="K19" s="360">
        <f ca="1">SUM(Результаты!$AG$22:'Результаты'!$AJ$22)</f>
        <v>580095.67451869743</v>
      </c>
      <c r="L19" s="360">
        <f ca="1">SUM(Результаты!$AK$22:'Результаты'!$AN$22)</f>
        <v>714755.76017269772</v>
      </c>
      <c r="M19" s="360">
        <f ca="1">SUM(Результаты!$AO$22:'Результаты'!$AR$22)</f>
        <v>921504.70892202179</v>
      </c>
      <c r="N19" s="360">
        <f ca="1">SUM(Результаты!$AS$22:'Результаты'!$AV$22)</f>
        <v>1028969.5811181439</v>
      </c>
      <c r="O19" s="361">
        <f ca="1">Результаты!$AX$22</f>
        <v>3504325.1029008883</v>
      </c>
    </row>
    <row r="20" spans="1:15" ht="12.95" customHeight="1" x14ac:dyDescent="0.2">
      <c r="A20" s="347"/>
      <c r="B20" s="350"/>
      <c r="C20" s="353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1"/>
    </row>
    <row r="21" spans="1:15" ht="12.95" customHeight="1" x14ac:dyDescent="0.2">
      <c r="A21" s="362" t="str">
        <f ca="1">Результаты!$A$26</f>
        <v>Прочие доходы</v>
      </c>
      <c r="B21" s="350"/>
      <c r="C21" s="353" t="str">
        <f ca="1">Результаты!$C$26</f>
        <v>тыс. руб.</v>
      </c>
      <c r="D21" s="360">
        <f>SUM(Результаты!$G$26:'Результаты'!$H$26)</f>
        <v>154114.24000000002</v>
      </c>
      <c r="E21" s="360">
        <f>SUM(Результаты!$I$26:'Результаты'!$L$26)</f>
        <v>343228.48000000004</v>
      </c>
      <c r="F21" s="360">
        <f>SUM(Результаты!$M$26:'Результаты'!$P$26)</f>
        <v>346728.48000000004</v>
      </c>
      <c r="G21" s="360">
        <f>SUM(Результаты!$Q$26:'Результаты'!$T$26)</f>
        <v>346728.48000000004</v>
      </c>
      <c r="H21" s="360">
        <f>SUM(Результаты!$U$26:'Результаты'!$X$26)</f>
        <v>314058.46348352008</v>
      </c>
      <c r="I21" s="360">
        <f>SUM(Результаты!$Y$26:'Результаты'!$AB$26)</f>
        <v>247168.86507753766</v>
      </c>
      <c r="J21" s="360">
        <f>SUM(Результаты!$AC$26:'Результаты'!$AF$26)</f>
        <v>170606.83026728046</v>
      </c>
      <c r="K21" s="360">
        <f>SUM(Результаты!$AG$26:'Результаты'!$AJ$26)</f>
        <v>82892.218169446671</v>
      </c>
      <c r="L21" s="360">
        <f>SUM(Результаты!$AK$26:'Результаты'!$AN$26)</f>
        <v>7766.1042946832777</v>
      </c>
      <c r="M21" s="360">
        <f>SUM(Результаты!$AO$26:'Результаты'!$AR$26)</f>
        <v>0</v>
      </c>
      <c r="N21" s="360">
        <f>SUM(Результаты!$AS$26:'Результаты'!$AV$26)</f>
        <v>0</v>
      </c>
      <c r="O21" s="361">
        <f>Результаты!$AX$26</f>
        <v>2013292.1612924687</v>
      </c>
    </row>
    <row r="22" spans="1:15" ht="12.95" customHeight="1" x14ac:dyDescent="0.2">
      <c r="A22" s="362" t="str">
        <f ca="1">Результаты!$A$27</f>
        <v>Прочие расходы</v>
      </c>
      <c r="B22" s="350"/>
      <c r="C22" s="353" t="str">
        <f ca="1">Результаты!$C$27</f>
        <v>тыс. руб.</v>
      </c>
      <c r="D22" s="360">
        <f>SUM(Результаты!$G$27:'Результаты'!$H$27)</f>
        <v>0</v>
      </c>
      <c r="E22" s="360">
        <f>SUM(Результаты!$I$27:'Результаты'!$L$27)</f>
        <v>0</v>
      </c>
      <c r="F22" s="360">
        <f>SUM(Результаты!$M$27:'Результаты'!$P$27)</f>
        <v>0</v>
      </c>
      <c r="G22" s="360">
        <f>SUM(Результаты!$Q$27:'Результаты'!$T$27)</f>
        <v>0</v>
      </c>
      <c r="H22" s="360">
        <f>SUM(Результаты!$U$27:'Результаты'!$X$27)</f>
        <v>0</v>
      </c>
      <c r="I22" s="360">
        <f>SUM(Результаты!$Y$27:'Результаты'!$AB$27)</f>
        <v>0</v>
      </c>
      <c r="J22" s="360">
        <f>SUM(Результаты!$AC$27:'Результаты'!$AF$27)</f>
        <v>0</v>
      </c>
      <c r="K22" s="360">
        <f>SUM(Результаты!$AG$27:'Результаты'!$AJ$27)</f>
        <v>0</v>
      </c>
      <c r="L22" s="360">
        <f>SUM(Результаты!$AK$27:'Результаты'!$AN$27)</f>
        <v>0</v>
      </c>
      <c r="M22" s="360">
        <f>SUM(Результаты!$AO$27:'Результаты'!$AR$27)</f>
        <v>0</v>
      </c>
      <c r="N22" s="360">
        <f>SUM(Результаты!$AS$27:'Результаты'!$AV$27)</f>
        <v>0</v>
      </c>
      <c r="O22" s="361">
        <f>Результаты!$AX$27</f>
        <v>0</v>
      </c>
    </row>
    <row r="23" spans="1:15" ht="12.95" customHeight="1" x14ac:dyDescent="0.2">
      <c r="A23" s="347" t="str">
        <f ca="1">Результаты!$A$28</f>
        <v>Прибыль до налогообложения</v>
      </c>
      <c r="B23" s="350"/>
      <c r="C23" s="353" t="str">
        <f ca="1">Результаты!$C$28</f>
        <v>тыс. руб.</v>
      </c>
      <c r="D23" s="360">
        <f ca="1">SUM(Результаты!$G$28:'Результаты'!$H$28)</f>
        <v>-21512.526846086243</v>
      </c>
      <c r="E23" s="360">
        <f ca="1">SUM(Результаты!$I$28:'Результаты'!$L$28)</f>
        <v>40089.290051180637</v>
      </c>
      <c r="F23" s="360">
        <f ca="1">SUM(Результаты!$M$28:'Результаты'!$P$28)</f>
        <v>227859.81352758524</v>
      </c>
      <c r="G23" s="360">
        <f ca="1">SUM(Результаты!$Q$28:'Результаты'!$T$28)</f>
        <v>365772.15217487887</v>
      </c>
      <c r="H23" s="360">
        <f ca="1">SUM(Результаты!$U$28:'Результаты'!$X$28)</f>
        <v>464326.19041071506</v>
      </c>
      <c r="I23" s="360">
        <f ca="1">SUM(Результаты!$Y$28:'Результаты'!$AB$28)</f>
        <v>511055.19584951131</v>
      </c>
      <c r="J23" s="360">
        <f ca="1">SUM(Результаты!$AC$28:'Результаты'!$AF$28)</f>
        <v>594043.10182988574</v>
      </c>
      <c r="K23" s="360">
        <f ca="1">SUM(Результаты!$AG$28:'Результаты'!$AJ$28)</f>
        <v>662987.89268814365</v>
      </c>
      <c r="L23" s="360">
        <f ca="1">SUM(Результаты!$AK$28:'Результаты'!$AN$28)</f>
        <v>722521.86446737917</v>
      </c>
      <c r="M23" s="360">
        <f ca="1">SUM(Результаты!$AO$28:'Результаты'!$AR$28)</f>
        <v>921504.70892201818</v>
      </c>
      <c r="N23" s="360">
        <f ca="1">SUM(Результаты!$AS$28:'Результаты'!$AV$28)</f>
        <v>1028969.5811181437</v>
      </c>
      <c r="O23" s="361">
        <f ca="1">Результаты!$AX$28</f>
        <v>5517617.2641933551</v>
      </c>
    </row>
    <row r="24" spans="1:15" ht="12.95" customHeight="1" x14ac:dyDescent="0.2">
      <c r="A24" s="362" t="str">
        <f ca="1">Результаты!$A$29</f>
        <v>Налог на прибыль</v>
      </c>
      <c r="B24" s="350"/>
      <c r="C24" s="353" t="str">
        <f ca="1">Результаты!$C$29</f>
        <v>тыс. руб.</v>
      </c>
      <c r="D24" s="360">
        <f ca="1">SUM(Результаты!$G$29:'Результаты'!$H$29)</f>
        <v>0</v>
      </c>
      <c r="E24" s="360">
        <f ca="1">SUM(Результаты!$I$29:'Результаты'!$L$29)</f>
        <v>0</v>
      </c>
      <c r="F24" s="360">
        <f ca="1">SUM(Результаты!$M$29:'Результаты'!$P$29)</f>
        <v>0</v>
      </c>
      <c r="G24" s="360">
        <f ca="1">SUM(Результаты!$Q$29:'Результаты'!$T$29)</f>
        <v>0</v>
      </c>
      <c r="H24" s="360">
        <f ca="1">SUM(Результаты!$U$29:'Результаты'!$X$29)</f>
        <v>0</v>
      </c>
      <c r="I24" s="360">
        <f ca="1">SUM(Результаты!$Y$29:'Результаты'!$AB$29)</f>
        <v>0</v>
      </c>
      <c r="J24" s="360">
        <f ca="1">SUM(Результаты!$AC$29:'Результаты'!$AF$29)</f>
        <v>0</v>
      </c>
      <c r="K24" s="360">
        <f ca="1">SUM(Результаты!$AG$29:'Результаты'!$AJ$29)</f>
        <v>0</v>
      </c>
      <c r="L24" s="360">
        <f ca="1">SUM(Результаты!$AK$29:'Результаты'!$AN$29)</f>
        <v>0</v>
      </c>
      <c r="M24" s="360">
        <f ca="1">SUM(Результаты!$AO$29:'Результаты'!$AR$29)</f>
        <v>0</v>
      </c>
      <c r="N24" s="360">
        <f ca="1">SUM(Результаты!$AS$29:'Результаты'!$AV$29)</f>
        <v>0</v>
      </c>
      <c r="O24" s="361">
        <f ca="1">Результаты!$AX$29</f>
        <v>0</v>
      </c>
    </row>
    <row r="25" spans="1:15" ht="12.95" customHeight="1" x14ac:dyDescent="0.2">
      <c r="A25" s="366" t="str">
        <f ca="1">Результаты!$A$30</f>
        <v>Чистая прибыль (убыток)</v>
      </c>
      <c r="B25" s="368"/>
      <c r="C25" s="370" t="str">
        <f ca="1">Результаты!$C$30</f>
        <v>тыс. руб.</v>
      </c>
      <c r="D25" s="372">
        <f ca="1">SUM(Результаты!$G$30:'Результаты'!$H$30)</f>
        <v>-21512.526846086243</v>
      </c>
      <c r="E25" s="372">
        <f ca="1">SUM(Результаты!$I$30:'Результаты'!$L$30)</f>
        <v>40089.290051180637</v>
      </c>
      <c r="F25" s="372">
        <f ca="1">SUM(Результаты!$M$30:'Результаты'!$P$30)</f>
        <v>227859.81352758524</v>
      </c>
      <c r="G25" s="372">
        <f ca="1">SUM(Результаты!$Q$30:'Результаты'!$T$30)</f>
        <v>365772.15217487887</v>
      </c>
      <c r="H25" s="372">
        <f ca="1">SUM(Результаты!$U$30:'Результаты'!$X$30)</f>
        <v>464326.19041071506</v>
      </c>
      <c r="I25" s="372">
        <f ca="1">SUM(Результаты!$Y$30:'Результаты'!$AB$30)</f>
        <v>511055.19584951131</v>
      </c>
      <c r="J25" s="372">
        <f ca="1">SUM(Результаты!$AC$30:'Результаты'!$AF$30)</f>
        <v>594043.10182988574</v>
      </c>
      <c r="K25" s="372">
        <f ca="1">SUM(Результаты!$AG$30:'Результаты'!$AJ$30)</f>
        <v>662987.89268814365</v>
      </c>
      <c r="L25" s="372">
        <f ca="1">SUM(Результаты!$AK$30:'Результаты'!$AN$30)</f>
        <v>722521.86446737917</v>
      </c>
      <c r="M25" s="372">
        <f ca="1">SUM(Результаты!$AO$30:'Результаты'!$AR$30)</f>
        <v>921504.70892201818</v>
      </c>
      <c r="N25" s="372">
        <f ca="1">SUM(Результаты!$AS$30:'Результаты'!$AV$30)</f>
        <v>1028969.5811181437</v>
      </c>
      <c r="O25" s="374">
        <f ca="1">Результаты!$AX$30</f>
        <v>5517617.2641933551</v>
      </c>
    </row>
    <row r="26" spans="1:15" ht="12.95" customHeight="1" x14ac:dyDescent="0.2">
      <c r="A26" s="365"/>
      <c r="B26" s="367"/>
      <c r="C26" s="369"/>
      <c r="D26" s="371"/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373"/>
    </row>
    <row r="27" spans="1:15" ht="12.95" customHeight="1" x14ac:dyDescent="0.2">
      <c r="A27" s="362" t="str">
        <f ca="1">Результаты!$A$32</f>
        <v>Выплаченные дивиденды</v>
      </c>
      <c r="B27" s="350"/>
      <c r="C27" s="353" t="str">
        <f ca="1">Результаты!$C$32</f>
        <v>тыс. руб.</v>
      </c>
      <c r="D27" s="360">
        <f>SUM(Результаты!$G$32:'Результаты'!$H$32)</f>
        <v>0</v>
      </c>
      <c r="E27" s="360">
        <f>SUM(Результаты!$I$32:'Результаты'!$L$32)</f>
        <v>0</v>
      </c>
      <c r="F27" s="360">
        <f>SUM(Результаты!$M$32:'Результаты'!$P$32)</f>
        <v>0</v>
      </c>
      <c r="G27" s="360">
        <f>SUM(Результаты!$Q$32:'Результаты'!$T$32)</f>
        <v>0</v>
      </c>
      <c r="H27" s="360">
        <f>SUM(Результаты!$U$32:'Результаты'!$X$32)</f>
        <v>0</v>
      </c>
      <c r="I27" s="360">
        <f>SUM(Результаты!$Y$32:'Результаты'!$AB$32)</f>
        <v>0</v>
      </c>
      <c r="J27" s="360">
        <f>SUM(Результаты!$AC$32:'Результаты'!$AF$32)</f>
        <v>0</v>
      </c>
      <c r="K27" s="360">
        <f>SUM(Результаты!$AG$32:'Результаты'!$AJ$32)</f>
        <v>0</v>
      </c>
      <c r="L27" s="360">
        <f>SUM(Результаты!$AK$32:'Результаты'!$AN$32)</f>
        <v>0</v>
      </c>
      <c r="M27" s="360">
        <f>SUM(Результаты!$AO$32:'Результаты'!$AR$32)</f>
        <v>0</v>
      </c>
      <c r="N27" s="360">
        <f>SUM(Результаты!$AS$32:'Результаты'!$AV$32)</f>
        <v>0</v>
      </c>
      <c r="O27" s="361">
        <f>Результаты!$AX$32</f>
        <v>0</v>
      </c>
    </row>
    <row r="28" spans="1:15" ht="12.95" customHeight="1" x14ac:dyDescent="0.2">
      <c r="A28" s="362" t="str">
        <f ca="1">Результаты!$A$33</f>
        <v>Нераспределенная чистая прибыль за период</v>
      </c>
      <c r="B28" s="350"/>
      <c r="C28" s="353" t="str">
        <f ca="1">Результаты!$C$33</f>
        <v>тыс. руб.</v>
      </c>
      <c r="D28" s="360">
        <f ca="1">SUM(Результаты!$G$33:'Результаты'!$H$33)</f>
        <v>-21512.526846086243</v>
      </c>
      <c r="E28" s="360">
        <f ca="1">SUM(Результаты!$I$33:'Результаты'!$L$33)</f>
        <v>40089.290051180637</v>
      </c>
      <c r="F28" s="360">
        <f ca="1">SUM(Результаты!$M$33:'Результаты'!$P$33)</f>
        <v>227859.81352758524</v>
      </c>
      <c r="G28" s="360">
        <f ca="1">SUM(Результаты!$Q$33:'Результаты'!$T$33)</f>
        <v>365772.15217487887</v>
      </c>
      <c r="H28" s="360">
        <f ca="1">SUM(Результаты!$U$33:'Результаты'!$X$33)</f>
        <v>464326.19041071506</v>
      </c>
      <c r="I28" s="360">
        <f ca="1">SUM(Результаты!$Y$33:'Результаты'!$AB$33)</f>
        <v>511055.19584951131</v>
      </c>
      <c r="J28" s="360">
        <f ca="1">SUM(Результаты!$AC$33:'Результаты'!$AF$33)</f>
        <v>594043.10182988574</v>
      </c>
      <c r="K28" s="360">
        <f ca="1">SUM(Результаты!$AG$33:'Результаты'!$AJ$33)</f>
        <v>662987.89268814365</v>
      </c>
      <c r="L28" s="360">
        <f ca="1">SUM(Результаты!$AK$33:'Результаты'!$AN$33)</f>
        <v>722521.86446737917</v>
      </c>
      <c r="M28" s="360">
        <f ca="1">SUM(Результаты!$AO$33:'Результаты'!$AR$33)</f>
        <v>921504.70892201818</v>
      </c>
      <c r="N28" s="360">
        <f ca="1">SUM(Результаты!$AS$33:'Результаты'!$AV$33)</f>
        <v>1028969.5811181437</v>
      </c>
      <c r="O28" s="361">
        <f ca="1">Результаты!$AX$33</f>
        <v>5517617.2641933551</v>
      </c>
    </row>
    <row r="29" spans="1:15" ht="12.95" customHeight="1" x14ac:dyDescent="0.2">
      <c r="A29" s="375"/>
      <c r="B29" s="376"/>
      <c r="C29" s="377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</row>
    <row r="32" spans="1:15" ht="25.5" customHeight="1" thickBot="1" x14ac:dyDescent="0.25">
      <c r="A32" s="349" t="str">
        <f ca="1">Результаты!$A$37</f>
        <v>ОТЧЕТ О ДВИЖЕНИИ ДЕНЕЖНЫХ СРЕДСТВ</v>
      </c>
      <c r="B32" s="352"/>
      <c r="C32" s="355"/>
      <c r="D32" s="358" t="str">
        <f>"7-12.2016"</f>
        <v>7-12.2016</v>
      </c>
      <c r="E32" s="358" t="str">
        <f>"2017"</f>
        <v>2017</v>
      </c>
      <c r="F32" s="358" t="str">
        <f>"2018"</f>
        <v>2018</v>
      </c>
      <c r="G32" s="358" t="str">
        <f>"2019"</f>
        <v>2019</v>
      </c>
      <c r="H32" s="358" t="str">
        <f>"2020"</f>
        <v>2020</v>
      </c>
      <c r="I32" s="358" t="str">
        <f>"2021"</f>
        <v>2021</v>
      </c>
      <c r="J32" s="358" t="str">
        <f>"2022"</f>
        <v>2022</v>
      </c>
      <c r="K32" s="358" t="str">
        <f>"2023"</f>
        <v>2023</v>
      </c>
      <c r="L32" s="358" t="str">
        <f>"2024"</f>
        <v>2024</v>
      </c>
      <c r="M32" s="358" t="str">
        <f>"2025"</f>
        <v>2025</v>
      </c>
      <c r="N32" s="358" t="str">
        <f>"2026"</f>
        <v>2026</v>
      </c>
      <c r="O32" s="359" t="str">
        <f ca="1">Результаты!$AX$37</f>
        <v>ИТОГО</v>
      </c>
    </row>
    <row r="33" spans="1:15" ht="13.5" customHeight="1" thickTop="1" x14ac:dyDescent="0.2">
      <c r="A33" s="348"/>
      <c r="B33" s="351"/>
      <c r="C33" s="354"/>
      <c r="D33" s="357"/>
      <c r="E33" s="357"/>
      <c r="F33" s="357"/>
      <c r="G33" s="357"/>
      <c r="H33" s="357"/>
      <c r="I33" s="357"/>
      <c r="J33" s="357"/>
      <c r="K33" s="357"/>
      <c r="L33" s="357"/>
      <c r="M33" s="357"/>
      <c r="N33" s="357"/>
      <c r="O33" s="357"/>
    </row>
    <row r="34" spans="1:15" ht="12.95" customHeight="1" x14ac:dyDescent="0.2">
      <c r="A34" s="362" t="str">
        <f ca="1">Результаты!$A$39</f>
        <v>Поступления от продаж</v>
      </c>
      <c r="B34" s="350"/>
      <c r="C34" s="353" t="str">
        <f ca="1">Результаты!$C$39</f>
        <v>тыс. руб.</v>
      </c>
      <c r="D34" s="360">
        <f ca="1">SUM(Результаты!$G$39:'Результаты'!$H$39)</f>
        <v>375759.45977005491</v>
      </c>
      <c r="E34" s="360">
        <f ca="1">SUM(Результаты!$I$39:'Результаты'!$L$39)</f>
        <v>1110737.1454600496</v>
      </c>
      <c r="F34" s="360">
        <f ca="1">SUM(Результаты!$M$39:'Результаты'!$P$39)</f>
        <v>1498437.7266089579</v>
      </c>
      <c r="G34" s="360">
        <f ca="1">SUM(Результаты!$Q$39:'Результаты'!$T$39)</f>
        <v>1784417.5170850859</v>
      </c>
      <c r="H34" s="360">
        <f ca="1">SUM(Результаты!$U$39:'Результаты'!$X$39)</f>
        <v>1968328.1853362839</v>
      </c>
      <c r="I34" s="360">
        <f ca="1">SUM(Результаты!$Y$39:'Результаты'!$AB$39)</f>
        <v>2097184.5137215117</v>
      </c>
      <c r="J34" s="360">
        <f ca="1">SUM(Результаты!$AC$39:'Результаты'!$AF$39)</f>
        <v>2257702.4511120999</v>
      </c>
      <c r="K34" s="360">
        <f ca="1">SUM(Результаты!$AG$39:'Результаты'!$AJ$39)</f>
        <v>2405857.2827828592</v>
      </c>
      <c r="L34" s="360">
        <f ca="1">SUM(Результаты!$AK$39:'Результаты'!$AN$39)</f>
        <v>2547713.2436645161</v>
      </c>
      <c r="M34" s="360">
        <f ca="1">SUM(Результаты!$AO$39:'Результаты'!$AR$39)</f>
        <v>2699754.0742871775</v>
      </c>
      <c r="N34" s="360">
        <f ca="1">SUM(Результаты!$AS$39:'Результаты'!$AV$39)</f>
        <v>2769839.9697972513</v>
      </c>
      <c r="O34" s="361">
        <f ca="1">Результаты!$AX$39</f>
        <v>21515731.569625847</v>
      </c>
    </row>
    <row r="35" spans="1:15" ht="12.95" customHeight="1" x14ac:dyDescent="0.2">
      <c r="A35" s="362" t="str">
        <f ca="1">Результаты!$A$40</f>
        <v>Оплата материалов и комплектующих</v>
      </c>
      <c r="B35" s="350"/>
      <c r="C35" s="353" t="str">
        <f ca="1">Результаты!$C$40</f>
        <v>тыс. руб.</v>
      </c>
      <c r="D35" s="360">
        <f ca="1">SUM(Результаты!$G$40:'Результаты'!$H$40)</f>
        <v>-163435.23483564227</v>
      </c>
      <c r="E35" s="360">
        <f ca="1">SUM(Результаты!$I$40:'Результаты'!$L$40)</f>
        <v>-482675.15793043672</v>
      </c>
      <c r="F35" s="360">
        <f ca="1">SUM(Результаты!$M$40:'Результаты'!$P$40)</f>
        <v>-627605.09291153681</v>
      </c>
      <c r="G35" s="360">
        <f ca="1">SUM(Результаты!$Q$40:'Результаты'!$T$40)</f>
        <v>-728067.49566875235</v>
      </c>
      <c r="H35" s="360">
        <f ca="1">SUM(Результаты!$U$40:'Результаты'!$X$40)</f>
        <v>-789641.30213487544</v>
      </c>
      <c r="I35" s="360">
        <f ca="1">SUM(Результаты!$Y$40:'Результаты'!$AB$40)</f>
        <v>-846964.79855868407</v>
      </c>
      <c r="J35" s="360">
        <f ca="1">SUM(Результаты!$AC$40:'Результаты'!$AF$40)</f>
        <v>-905423.30173337017</v>
      </c>
      <c r="K35" s="360">
        <f ca="1">SUM(Результаты!$AG$40:'Результаты'!$AJ$40)</f>
        <v>-961042.08298216539</v>
      </c>
      <c r="L35" s="360">
        <f ca="1">SUM(Результаты!$AK$40:'Результаты'!$AN$40)</f>
        <v>-1019611.743565588</v>
      </c>
      <c r="M35" s="360">
        <f ca="1">SUM(Результаты!$AO$40:'Результаты'!$AR$40)</f>
        <v>-1082313.4442248619</v>
      </c>
      <c r="N35" s="360">
        <f ca="1">SUM(Результаты!$AS$40:'Результаты'!$AV$40)</f>
        <v>-1165666.5070622186</v>
      </c>
      <c r="O35" s="361">
        <f ca="1">Результаты!$AX$40</f>
        <v>-8772446.1616081335</v>
      </c>
    </row>
    <row r="36" spans="1:15" ht="12.95" customHeight="1" x14ac:dyDescent="0.2">
      <c r="A36" s="362" t="str">
        <f ca="1">Результаты!$A$41</f>
        <v>Заработная плата</v>
      </c>
      <c r="B36" s="350"/>
      <c r="C36" s="353" t="str">
        <f ca="1">Результаты!$C$41</f>
        <v>тыс. руб.</v>
      </c>
      <c r="D36" s="360">
        <f ca="1">SUM(Результаты!$G$41:'Результаты'!$H$41)</f>
        <v>-39531.928154110567</v>
      </c>
      <c r="E36" s="360">
        <f ca="1">SUM(Результаты!$I$41:'Результаты'!$L$41)</f>
        <v>-107223.10068898239</v>
      </c>
      <c r="F36" s="360">
        <f ca="1">SUM(Результаты!$M$41:'Результаты'!$P$41)</f>
        <v>-125729.09874481373</v>
      </c>
      <c r="G36" s="360">
        <f ca="1">SUM(Результаты!$Q$41:'Результаты'!$T$41)</f>
        <v>-133775.62327180034</v>
      </c>
      <c r="H36" s="360">
        <f ca="1">SUM(Результаты!$U$41:'Результаты'!$X$41)</f>
        <v>-141802.16066810838</v>
      </c>
      <c r="I36" s="360">
        <f ca="1">SUM(Результаты!$Y$41:'Результаты'!$AB$41)</f>
        <v>-150310.2903081949</v>
      </c>
      <c r="J36" s="360">
        <f ca="1">SUM(Результаты!$AC$41:'Результаты'!$AF$41)</f>
        <v>-159328.90772668659</v>
      </c>
      <c r="K36" s="360">
        <f ca="1">SUM(Результаты!$AG$41:'Результаты'!$AJ$41)</f>
        <v>-168888.64219028782</v>
      </c>
      <c r="L36" s="360">
        <f ca="1">SUM(Результаты!$AK$41:'Результаты'!$AN$41)</f>
        <v>-179021.96072170508</v>
      </c>
      <c r="M36" s="360">
        <f ca="1">SUM(Результаты!$AO$41:'Результаты'!$AR$41)</f>
        <v>-189763.27836500743</v>
      </c>
      <c r="N36" s="360">
        <f ca="1">SUM(Результаты!$AS$41:'Результаты'!$AV$41)</f>
        <v>-201149.07506690791</v>
      </c>
      <c r="O36" s="361">
        <f ca="1">Результаты!$AX$41</f>
        <v>-1596524.0659066052</v>
      </c>
    </row>
    <row r="37" spans="1:15" ht="12.95" customHeight="1" x14ac:dyDescent="0.2">
      <c r="A37" s="362" t="str">
        <f ca="1">Результаты!$A$42</f>
        <v>Постоянные издержки</v>
      </c>
      <c r="B37" s="350"/>
      <c r="C37" s="353" t="str">
        <f ca="1">Результаты!$C$42</f>
        <v>тыс. руб.</v>
      </c>
      <c r="D37" s="360">
        <f ca="1">SUM(Результаты!$G$42:'Результаты'!$H$42)</f>
        <v>-63236.582683541877</v>
      </c>
      <c r="E37" s="360">
        <f ca="1">SUM(Результаты!$I$42:'Результаты'!$L$42)</f>
        <v>-132136.82431352342</v>
      </c>
      <c r="F37" s="360">
        <f ca="1">SUM(Результаты!$M$42:'Результаты'!$P$42)</f>
        <v>-140065.03377233486</v>
      </c>
      <c r="G37" s="360">
        <f ca="1">SUM(Результаты!$Q$42:'Результаты'!$T$42)</f>
        <v>-148468.93579867494</v>
      </c>
      <c r="H37" s="360">
        <f ca="1">SUM(Результаты!$U$42:'Результаты'!$X$42)</f>
        <v>-157377.07194659545</v>
      </c>
      <c r="I37" s="360">
        <f ca="1">SUM(Результаты!$Y$42:'Результаты'!$AB$42)</f>
        <v>-166819.69626339118</v>
      </c>
      <c r="J37" s="360">
        <f ca="1">SUM(Результаты!$AC$42:'Результаты'!$AF$42)</f>
        <v>-176828.87803919468</v>
      </c>
      <c r="K37" s="360">
        <f ca="1">SUM(Результаты!$AG$42:'Результаты'!$AJ$42)</f>
        <v>-187438.61072154634</v>
      </c>
      <c r="L37" s="360">
        <f ca="1">SUM(Результаты!$AK$42:'Результаты'!$AN$42)</f>
        <v>-198684.92736483915</v>
      </c>
      <c r="M37" s="360">
        <f ca="1">SUM(Результаты!$AO$42:'Результаты'!$AR$42)</f>
        <v>-210606.02300672952</v>
      </c>
      <c r="N37" s="360">
        <f ca="1">SUM(Результаты!$AS$42:'Результаты'!$AV$42)</f>
        <v>-223242.38438713329</v>
      </c>
      <c r="O37" s="361">
        <f ca="1">Результаты!$AX$42</f>
        <v>-1804904.9682975046</v>
      </c>
    </row>
    <row r="38" spans="1:15" ht="12.95" customHeight="1" x14ac:dyDescent="0.2">
      <c r="A38" s="362" t="str">
        <f ca="1">Результаты!$A$43</f>
        <v>Налоги</v>
      </c>
      <c r="B38" s="350"/>
      <c r="C38" s="353" t="str">
        <f ca="1">Результаты!$C$43</f>
        <v>тыс. руб.</v>
      </c>
      <c r="D38" s="360">
        <f ca="1">SUM(Результаты!$G$43:'Результаты'!$H$43)</f>
        <v>38645.608842821057</v>
      </c>
      <c r="E38" s="360">
        <f ca="1">SUM(Результаты!$I$43:'Результаты'!$L$43)</f>
        <v>-58331.949981396661</v>
      </c>
      <c r="F38" s="360">
        <f ca="1">SUM(Результаты!$M$43:'Результаты'!$P$43)</f>
        <v>-78123.114438482517</v>
      </c>
      <c r="G38" s="360">
        <f ca="1">SUM(Результаты!$Q$43:'Результаты'!$T$43)</f>
        <v>-91752.74477062907</v>
      </c>
      <c r="H38" s="360">
        <f ca="1">SUM(Результаты!$U$43:'Результаты'!$X$43)</f>
        <v>-102549.94953573876</v>
      </c>
      <c r="I38" s="360">
        <f ca="1">SUM(Результаты!$Y$43:'Результаты'!$AB$43)</f>
        <v>-108657.93629251682</v>
      </c>
      <c r="J38" s="360">
        <f ca="1">SUM(Результаты!$AC$43:'Результаты'!$AF$43)</f>
        <v>-117644.68477276192</v>
      </c>
      <c r="K38" s="360">
        <f ca="1">SUM(Результаты!$AG$43:'Результаты'!$AJ$43)</f>
        <v>-125669.01205713078</v>
      </c>
      <c r="L38" s="360">
        <f ca="1">SUM(Результаты!$AK$43:'Результаты'!$AN$43)</f>
        <v>-132886.08349713415</v>
      </c>
      <c r="M38" s="360">
        <f ca="1">SUM(Результаты!$AO$43:'Результаты'!$AR$43)</f>
        <v>-140653.21280655306</v>
      </c>
      <c r="N38" s="360">
        <f ca="1">SUM(Результаты!$AS$43:'Результаты'!$AV$43)</f>
        <v>-139116.59026339595</v>
      </c>
      <c r="O38" s="361">
        <f ca="1">Результаты!$AX$43</f>
        <v>-1056739.6695729187</v>
      </c>
    </row>
    <row r="39" spans="1:15" ht="12.95" customHeight="1" x14ac:dyDescent="0.2">
      <c r="A39" s="362" t="str">
        <f ca="1">Результаты!$A$44</f>
        <v>Выплата процентов по кредитам</v>
      </c>
      <c r="B39" s="350"/>
      <c r="C39" s="353" t="str">
        <f ca="1">Результаты!$C$44</f>
        <v>тыс. руб.</v>
      </c>
      <c r="D39" s="360">
        <f>SUM(Результаты!$G$44:'Результаты'!$H$44)</f>
        <v>-161857.45199999999</v>
      </c>
      <c r="E39" s="360">
        <f>SUM(Результаты!$I$44:'Результаты'!$L$44)</f>
        <v>-367744.8</v>
      </c>
      <c r="F39" s="360">
        <f>SUM(Результаты!$M$44:'Результаты'!$P$44)</f>
        <v>-371494.8</v>
      </c>
      <c r="G39" s="360">
        <f>SUM(Результаты!$Q$44:'Результаты'!$T$44)</f>
        <v>-371494.8</v>
      </c>
      <c r="H39" s="360">
        <f>SUM(Результаты!$U$44:'Результаты'!$X$44)</f>
        <v>-336491.21087520005</v>
      </c>
      <c r="I39" s="360">
        <f>SUM(Результаты!$Y$44:'Результаты'!$AB$44)</f>
        <v>-264823.78401164745</v>
      </c>
      <c r="J39" s="360">
        <f>SUM(Результаты!$AC$44:'Результаты'!$AF$44)</f>
        <v>-182793.032429229</v>
      </c>
      <c r="K39" s="360">
        <f>SUM(Результаты!$AG$44:'Результаты'!$AJ$44)</f>
        <v>-88813.090895835703</v>
      </c>
      <c r="L39" s="360">
        <f>SUM(Результаты!$AK$44:'Результаты'!$AN$44)</f>
        <v>-8320.8260300177953</v>
      </c>
      <c r="M39" s="360">
        <f>SUM(Результаты!$AO$44:'Результаты'!$AR$44)</f>
        <v>0</v>
      </c>
      <c r="N39" s="360">
        <f>SUM(Результаты!$AS$44:'Результаты'!$AV$44)</f>
        <v>0</v>
      </c>
      <c r="O39" s="361">
        <f>Результаты!$AX$44</f>
        <v>-2153833.7962419293</v>
      </c>
    </row>
    <row r="40" spans="1:15" ht="12.95" customHeight="1" x14ac:dyDescent="0.2">
      <c r="A40" s="362" t="str">
        <f ca="1">Результаты!$A$45</f>
        <v>Лизинговые платежи</v>
      </c>
      <c r="B40" s="350"/>
      <c r="C40" s="353" t="str">
        <f ca="1">Результаты!$C$45</f>
        <v>тыс. руб.</v>
      </c>
      <c r="D40" s="360">
        <f>SUM(Результаты!$G$45:'Результаты'!$H$45)</f>
        <v>0</v>
      </c>
      <c r="E40" s="360">
        <f>SUM(Результаты!$I$45:'Результаты'!$L$45)</f>
        <v>0</v>
      </c>
      <c r="F40" s="360">
        <f>SUM(Результаты!$M$45:'Результаты'!$P$45)</f>
        <v>0</v>
      </c>
      <c r="G40" s="360">
        <f>SUM(Результаты!$Q$45:'Результаты'!$T$45)</f>
        <v>0</v>
      </c>
      <c r="H40" s="360">
        <f>SUM(Результаты!$U$45:'Результаты'!$X$45)</f>
        <v>0</v>
      </c>
      <c r="I40" s="360">
        <f>SUM(Результаты!$Y$45:'Результаты'!$AB$45)</f>
        <v>0</v>
      </c>
      <c r="J40" s="360">
        <f>SUM(Результаты!$AC$45:'Результаты'!$AF$45)</f>
        <v>0</v>
      </c>
      <c r="K40" s="360">
        <f>SUM(Результаты!$AG$45:'Результаты'!$AJ$45)</f>
        <v>0</v>
      </c>
      <c r="L40" s="360">
        <f>SUM(Результаты!$AK$45:'Результаты'!$AN$45)</f>
        <v>0</v>
      </c>
      <c r="M40" s="360">
        <f>SUM(Результаты!$AO$45:'Результаты'!$AR$45)</f>
        <v>0</v>
      </c>
      <c r="N40" s="360">
        <f>SUM(Результаты!$AS$45:'Результаты'!$AV$45)</f>
        <v>0</v>
      </c>
      <c r="O40" s="361">
        <f>Результаты!$AX$45</f>
        <v>0</v>
      </c>
    </row>
    <row r="41" spans="1:15" ht="12.95" customHeight="1" x14ac:dyDescent="0.2">
      <c r="A41" s="362" t="str">
        <f ca="1">Результаты!$A$46</f>
        <v>Прочие поступления</v>
      </c>
      <c r="B41" s="350"/>
      <c r="C41" s="353" t="str">
        <f ca="1">Результаты!$C$46</f>
        <v>тыс. руб.</v>
      </c>
      <c r="D41" s="360">
        <f>SUM(Результаты!$G$46:'Результаты'!$H$46)</f>
        <v>264460.24</v>
      </c>
      <c r="E41" s="360">
        <f>SUM(Результаты!$I$46:'Результаты'!$L$46)</f>
        <v>343228.48000000004</v>
      </c>
      <c r="F41" s="360">
        <f>SUM(Результаты!$M$46:'Результаты'!$P$46)</f>
        <v>346728.48000000004</v>
      </c>
      <c r="G41" s="360">
        <f>SUM(Результаты!$Q$46:'Результаты'!$T$46)</f>
        <v>346728.48000000004</v>
      </c>
      <c r="H41" s="360">
        <f>SUM(Результаты!$U$46:'Результаты'!$X$46)</f>
        <v>314058.46348352008</v>
      </c>
      <c r="I41" s="360">
        <f>SUM(Результаты!$Y$46:'Результаты'!$AB$46)</f>
        <v>247168.86507753766</v>
      </c>
      <c r="J41" s="360">
        <f>SUM(Результаты!$AC$46:'Результаты'!$AF$46)</f>
        <v>170606.83026728046</v>
      </c>
      <c r="K41" s="360">
        <f>SUM(Результаты!$AG$46:'Результаты'!$AJ$46)</f>
        <v>82892.218169446671</v>
      </c>
      <c r="L41" s="360">
        <f>SUM(Результаты!$AK$46:'Результаты'!$AN$46)</f>
        <v>7766.1042946832777</v>
      </c>
      <c r="M41" s="360">
        <f>SUM(Результаты!$AO$46:'Результаты'!$AR$46)</f>
        <v>0</v>
      </c>
      <c r="N41" s="360">
        <f>SUM(Результаты!$AS$46:'Результаты'!$AV$46)</f>
        <v>0</v>
      </c>
      <c r="O41" s="361">
        <f>Результаты!$AX$46</f>
        <v>2123638.1612924687</v>
      </c>
    </row>
    <row r="42" spans="1:15" ht="12.95" customHeight="1" x14ac:dyDescent="0.2">
      <c r="A42" s="362" t="str">
        <f ca="1">Результаты!$A$47</f>
        <v>Прочие затраты</v>
      </c>
      <c r="B42" s="350"/>
      <c r="C42" s="353" t="str">
        <f ca="1">Результаты!$C$47</f>
        <v>тыс. руб.</v>
      </c>
      <c r="D42" s="360">
        <f>SUM(Результаты!$G$47:'Результаты'!$H$47)</f>
        <v>0</v>
      </c>
      <c r="E42" s="360">
        <f>SUM(Результаты!$I$47:'Результаты'!$L$47)</f>
        <v>0</v>
      </c>
      <c r="F42" s="360">
        <f>SUM(Результаты!$M$47:'Результаты'!$P$47)</f>
        <v>0</v>
      </c>
      <c r="G42" s="360">
        <f>SUM(Результаты!$Q$47:'Результаты'!$T$47)</f>
        <v>0</v>
      </c>
      <c r="H42" s="360">
        <f>SUM(Результаты!$U$47:'Результаты'!$X$47)</f>
        <v>0</v>
      </c>
      <c r="I42" s="360">
        <f>SUM(Результаты!$Y$47:'Результаты'!$AB$47)</f>
        <v>0</v>
      </c>
      <c r="J42" s="360">
        <f>SUM(Результаты!$AC$47:'Результаты'!$AF$47)</f>
        <v>0</v>
      </c>
      <c r="K42" s="360">
        <f>SUM(Результаты!$AG$47:'Результаты'!$AJ$47)</f>
        <v>0</v>
      </c>
      <c r="L42" s="360">
        <f>SUM(Результаты!$AK$47:'Результаты'!$AN$47)</f>
        <v>0</v>
      </c>
      <c r="M42" s="360">
        <f>SUM(Результаты!$AO$47:'Результаты'!$AR$47)</f>
        <v>0</v>
      </c>
      <c r="N42" s="360">
        <f>SUM(Результаты!$AS$47:'Результаты'!$AV$47)</f>
        <v>0</v>
      </c>
      <c r="O42" s="361">
        <f>Результаты!$AX$47</f>
        <v>0</v>
      </c>
    </row>
    <row r="43" spans="1:15" ht="12.95" customHeight="1" x14ac:dyDescent="0.2">
      <c r="A43" s="347"/>
      <c r="B43" s="350"/>
      <c r="C43" s="353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1"/>
    </row>
    <row r="44" spans="1:15" ht="12.95" customHeight="1" x14ac:dyDescent="0.2">
      <c r="A44" s="366" t="str">
        <f ca="1">Результаты!$A$49</f>
        <v>Денежные потоки от операционной деятельности</v>
      </c>
      <c r="B44" s="368"/>
      <c r="C44" s="370" t="str">
        <f ca="1">Результаты!$C$49</f>
        <v>тыс. руб.</v>
      </c>
      <c r="D44" s="372">
        <f ca="1">SUM(Результаты!$G$49:'Результаты'!$H$49)</f>
        <v>250804.11093958124</v>
      </c>
      <c r="E44" s="372">
        <f ca="1">SUM(Результаты!$I$49:'Результаты'!$L$49)</f>
        <v>305853.79254571034</v>
      </c>
      <c r="F44" s="372">
        <f ca="1">SUM(Результаты!$M$49:'Результаты'!$P$49)</f>
        <v>502149.06674178992</v>
      </c>
      <c r="G44" s="372">
        <f ca="1">SUM(Результаты!$Q$49:'Результаты'!$T$49)</f>
        <v>657586.39757522952</v>
      </c>
      <c r="H44" s="372">
        <f ca="1">SUM(Результаты!$U$49:'Результаты'!$X$49)</f>
        <v>754524.95365928591</v>
      </c>
      <c r="I44" s="372">
        <f ca="1">SUM(Результаты!$Y$49:'Результаты'!$AB$49)</f>
        <v>806776.87336461479</v>
      </c>
      <c r="J44" s="372">
        <f ca="1">SUM(Результаты!$AC$49:'Результаты'!$AF$49)</f>
        <v>886290.4766781379</v>
      </c>
      <c r="K44" s="372">
        <f ca="1">SUM(Результаты!$AG$49:'Результаты'!$AJ$49)</f>
        <v>956898.06210533949</v>
      </c>
      <c r="L44" s="372">
        <f ca="1">SUM(Результаты!$AK$49:'Результаты'!$AN$49)</f>
        <v>1016953.8067799155</v>
      </c>
      <c r="M44" s="372">
        <f ca="1">SUM(Результаты!$AO$49:'Результаты'!$AR$49)</f>
        <v>1076418.1158840256</v>
      </c>
      <c r="N44" s="372">
        <f ca="1">SUM(Результаты!$AS$49:'Результаты'!$AV$49)</f>
        <v>1040665.4130175953</v>
      </c>
      <c r="O44" s="374">
        <f ca="1">Результаты!$AX$49</f>
        <v>8254921.0692912247</v>
      </c>
    </row>
    <row r="45" spans="1:15" ht="12.95" customHeight="1" x14ac:dyDescent="0.2">
      <c r="A45" s="365"/>
      <c r="B45" s="367"/>
      <c r="C45" s="369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373"/>
    </row>
    <row r="46" spans="1:15" ht="12.95" customHeight="1" x14ac:dyDescent="0.2">
      <c r="A46" s="362" t="str">
        <f ca="1">Результаты!$A$51</f>
        <v>Инвестиции в земельные участки</v>
      </c>
      <c r="B46" s="350"/>
      <c r="C46" s="353" t="str">
        <f ca="1">Результаты!$C$51</f>
        <v>тыс. руб.</v>
      </c>
      <c r="D46" s="360">
        <f>SUM(Результаты!$G$51:'Результаты'!$H$51)</f>
        <v>0</v>
      </c>
      <c r="E46" s="360">
        <f>SUM(Результаты!$I$51:'Результаты'!$L$51)</f>
        <v>0</v>
      </c>
      <c r="F46" s="360">
        <f>SUM(Результаты!$M$51:'Результаты'!$P$51)</f>
        <v>0</v>
      </c>
      <c r="G46" s="360">
        <f>SUM(Результаты!$Q$51:'Результаты'!$T$51)</f>
        <v>0</v>
      </c>
      <c r="H46" s="360">
        <f>SUM(Результаты!$U$51:'Результаты'!$X$51)</f>
        <v>0</v>
      </c>
      <c r="I46" s="360">
        <f>SUM(Результаты!$Y$51:'Результаты'!$AB$51)</f>
        <v>0</v>
      </c>
      <c r="J46" s="360">
        <f>SUM(Результаты!$AC$51:'Результаты'!$AF$51)</f>
        <v>0</v>
      </c>
      <c r="K46" s="360">
        <f>SUM(Результаты!$AG$51:'Результаты'!$AJ$51)</f>
        <v>0</v>
      </c>
      <c r="L46" s="360">
        <f>SUM(Результаты!$AK$51:'Результаты'!$AN$51)</f>
        <v>0</v>
      </c>
      <c r="M46" s="360">
        <f>SUM(Результаты!$AO$51:'Результаты'!$AR$51)</f>
        <v>0</v>
      </c>
      <c r="N46" s="360">
        <f>SUM(Результаты!$AS$51:'Результаты'!$AV$51)</f>
        <v>0</v>
      </c>
      <c r="O46" s="361">
        <f>Результаты!$AX$51</f>
        <v>0</v>
      </c>
    </row>
    <row r="47" spans="1:15" ht="12.95" customHeight="1" x14ac:dyDescent="0.2">
      <c r="A47" s="362" t="str">
        <f ca="1">Результаты!$A$52</f>
        <v>Инвестиции в здания и сооружения</v>
      </c>
      <c r="B47" s="350"/>
      <c r="C47" s="353" t="str">
        <f ca="1">Результаты!$C$52</f>
        <v>тыс. руб.</v>
      </c>
      <c r="D47" s="360">
        <f>SUM(Результаты!$G$52:'Результаты'!$H$52)</f>
        <v>-66908</v>
      </c>
      <c r="E47" s="360">
        <f>SUM(Результаты!$I$52:'Результаты'!$L$52)</f>
        <v>-40942</v>
      </c>
      <c r="F47" s="360">
        <f>SUM(Результаты!$M$52:'Результаты'!$P$52)</f>
        <v>0</v>
      </c>
      <c r="G47" s="360">
        <f>SUM(Результаты!$Q$52:'Результаты'!$T$52)</f>
        <v>0</v>
      </c>
      <c r="H47" s="360">
        <f>SUM(Результаты!$U$52:'Результаты'!$X$52)</f>
        <v>0</v>
      </c>
      <c r="I47" s="360">
        <f>SUM(Результаты!$Y$52:'Результаты'!$AB$52)</f>
        <v>0</v>
      </c>
      <c r="J47" s="360">
        <f>SUM(Результаты!$AC$52:'Результаты'!$AF$52)</f>
        <v>0</v>
      </c>
      <c r="K47" s="360">
        <f>SUM(Результаты!$AG$52:'Результаты'!$AJ$52)</f>
        <v>0</v>
      </c>
      <c r="L47" s="360">
        <f>SUM(Результаты!$AK$52:'Результаты'!$AN$52)</f>
        <v>0</v>
      </c>
      <c r="M47" s="360">
        <f>SUM(Результаты!$AO$52:'Результаты'!$AR$52)</f>
        <v>0</v>
      </c>
      <c r="N47" s="360">
        <f>SUM(Результаты!$AS$52:'Результаты'!$AV$52)</f>
        <v>0</v>
      </c>
      <c r="O47" s="361">
        <f>Результаты!$AX$52</f>
        <v>-107850</v>
      </c>
    </row>
    <row r="48" spans="1:15" ht="12.95" customHeight="1" x14ac:dyDescent="0.2">
      <c r="A48" s="362" t="str">
        <f ca="1">Результаты!$A$53</f>
        <v>Инвестиции в оборудование и прочие активы</v>
      </c>
      <c r="B48" s="350"/>
      <c r="C48" s="353" t="str">
        <f ca="1">Результаты!$C$53</f>
        <v>тыс. руб.</v>
      </c>
      <c r="D48" s="360">
        <f>SUM(Результаты!$G$53:'Результаты'!$H$53)</f>
        <v>-159960</v>
      </c>
      <c r="E48" s="360">
        <f>SUM(Результаты!$I$53:'Результаты'!$L$53)</f>
        <v>-133836</v>
      </c>
      <c r="F48" s="360">
        <f>SUM(Результаты!$M$53:'Результаты'!$P$53)</f>
        <v>0</v>
      </c>
      <c r="G48" s="360">
        <f>SUM(Результаты!$Q$53:'Результаты'!$T$53)</f>
        <v>0</v>
      </c>
      <c r="H48" s="360">
        <f>SUM(Результаты!$U$53:'Результаты'!$X$53)</f>
        <v>0</v>
      </c>
      <c r="I48" s="360">
        <f>SUM(Результаты!$Y$53:'Результаты'!$AB$53)</f>
        <v>0</v>
      </c>
      <c r="J48" s="360">
        <f>SUM(Результаты!$AC$53:'Результаты'!$AF$53)</f>
        <v>0</v>
      </c>
      <c r="K48" s="360">
        <f>SUM(Результаты!$AG$53:'Результаты'!$AJ$53)</f>
        <v>0</v>
      </c>
      <c r="L48" s="360">
        <f>SUM(Результаты!$AK$53:'Результаты'!$AN$53)</f>
        <v>0</v>
      </c>
      <c r="M48" s="360">
        <f>SUM(Результаты!$AO$53:'Результаты'!$AR$53)</f>
        <v>0</v>
      </c>
      <c r="N48" s="360">
        <f>SUM(Результаты!$AS$53:'Результаты'!$AV$53)</f>
        <v>0</v>
      </c>
      <c r="O48" s="361">
        <f>Результаты!$AX$53</f>
        <v>-293796</v>
      </c>
    </row>
    <row r="49" spans="1:15" ht="12.95" customHeight="1" x14ac:dyDescent="0.2">
      <c r="A49" s="362" t="str">
        <f ca="1">Результаты!$A$54</f>
        <v>Инвестиции в нематериальные активы</v>
      </c>
      <c r="B49" s="350"/>
      <c r="C49" s="353" t="str">
        <f ca="1">Результаты!$C$54</f>
        <v>тыс. руб.</v>
      </c>
      <c r="D49" s="360">
        <f>SUM(Результаты!$G$54:'Результаты'!$H$54)</f>
        <v>0</v>
      </c>
      <c r="E49" s="360">
        <f>SUM(Результаты!$I$54:'Результаты'!$L$54)</f>
        <v>0</v>
      </c>
      <c r="F49" s="360">
        <f>SUM(Результаты!$M$54:'Результаты'!$P$54)</f>
        <v>0</v>
      </c>
      <c r="G49" s="360">
        <f>SUM(Результаты!$Q$54:'Результаты'!$T$54)</f>
        <v>0</v>
      </c>
      <c r="H49" s="360">
        <f>SUM(Результаты!$U$54:'Результаты'!$X$54)</f>
        <v>0</v>
      </c>
      <c r="I49" s="360">
        <f>SUM(Результаты!$Y$54:'Результаты'!$AB$54)</f>
        <v>0</v>
      </c>
      <c r="J49" s="360">
        <f>SUM(Результаты!$AC$54:'Результаты'!$AF$54)</f>
        <v>0</v>
      </c>
      <c r="K49" s="360">
        <f>SUM(Результаты!$AG$54:'Результаты'!$AJ$54)</f>
        <v>0</v>
      </c>
      <c r="L49" s="360">
        <f>SUM(Результаты!$AK$54:'Результаты'!$AN$54)</f>
        <v>0</v>
      </c>
      <c r="M49" s="360">
        <f>SUM(Результаты!$AO$54:'Результаты'!$AR$54)</f>
        <v>0</v>
      </c>
      <c r="N49" s="360">
        <f>SUM(Результаты!$AS$54:'Результаты'!$AV$54)</f>
        <v>0</v>
      </c>
      <c r="O49" s="361">
        <f>Результаты!$AX$54</f>
        <v>0</v>
      </c>
    </row>
    <row r="50" spans="1:15" ht="12.95" customHeight="1" x14ac:dyDescent="0.2">
      <c r="A50" s="362" t="str">
        <f ca="1">Результаты!$A$55</f>
        <v>Инвестиции в финансовые активы</v>
      </c>
      <c r="B50" s="350"/>
      <c r="C50" s="353" t="str">
        <f ca="1">Результаты!$C$55</f>
        <v>тыс. руб.</v>
      </c>
      <c r="D50" s="360">
        <f>SUM(Результаты!$G$55:'Результаты'!$H$55)</f>
        <v>0</v>
      </c>
      <c r="E50" s="360">
        <f>SUM(Результаты!$I$55:'Результаты'!$L$55)</f>
        <v>0</v>
      </c>
      <c r="F50" s="360">
        <f>SUM(Результаты!$M$55:'Результаты'!$P$55)</f>
        <v>0</v>
      </c>
      <c r="G50" s="360">
        <f>SUM(Результаты!$Q$55:'Результаты'!$T$55)</f>
        <v>0</v>
      </c>
      <c r="H50" s="360">
        <f>SUM(Результаты!$U$55:'Результаты'!$X$55)</f>
        <v>0</v>
      </c>
      <c r="I50" s="360">
        <f>SUM(Результаты!$Y$55:'Результаты'!$AB$55)</f>
        <v>0</v>
      </c>
      <c r="J50" s="360">
        <f>SUM(Результаты!$AC$55:'Результаты'!$AF$55)</f>
        <v>0</v>
      </c>
      <c r="K50" s="360">
        <f>SUM(Результаты!$AG$55:'Результаты'!$AJ$55)</f>
        <v>0</v>
      </c>
      <c r="L50" s="360">
        <f>SUM(Результаты!$AK$55:'Результаты'!$AN$55)</f>
        <v>0</v>
      </c>
      <c r="M50" s="360">
        <f>SUM(Результаты!$AO$55:'Результаты'!$AR$55)</f>
        <v>0</v>
      </c>
      <c r="N50" s="360">
        <f>SUM(Результаты!$AS$55:'Результаты'!$AV$55)</f>
        <v>0</v>
      </c>
      <c r="O50" s="361">
        <f>Результаты!$AX$55</f>
        <v>0</v>
      </c>
    </row>
    <row r="51" spans="1:15" ht="12.95" customHeight="1" x14ac:dyDescent="0.2">
      <c r="A51" s="362" t="str">
        <f ca="1">Результаты!$A$56</f>
        <v>Выручка от реализации активов</v>
      </c>
      <c r="B51" s="350"/>
      <c r="C51" s="353" t="str">
        <f ca="1">Результаты!$C$56</f>
        <v>тыс. руб.</v>
      </c>
      <c r="D51" s="360">
        <f>SUM(Результаты!$G$56:'Результаты'!$H$56)</f>
        <v>0</v>
      </c>
      <c r="E51" s="360">
        <f>SUM(Результаты!$I$56:'Результаты'!$L$56)</f>
        <v>0</v>
      </c>
      <c r="F51" s="360">
        <f>SUM(Результаты!$M$56:'Результаты'!$P$56)</f>
        <v>0</v>
      </c>
      <c r="G51" s="360">
        <f>SUM(Результаты!$Q$56:'Результаты'!$T$56)</f>
        <v>0</v>
      </c>
      <c r="H51" s="360">
        <f>SUM(Результаты!$U$56:'Результаты'!$X$56)</f>
        <v>0</v>
      </c>
      <c r="I51" s="360">
        <f>SUM(Результаты!$Y$56:'Результаты'!$AB$56)</f>
        <v>0</v>
      </c>
      <c r="J51" s="360">
        <f>SUM(Результаты!$AC$56:'Результаты'!$AF$56)</f>
        <v>0</v>
      </c>
      <c r="K51" s="360">
        <f>SUM(Результаты!$AG$56:'Результаты'!$AJ$56)</f>
        <v>0</v>
      </c>
      <c r="L51" s="360">
        <f>SUM(Результаты!$AK$56:'Результаты'!$AN$56)</f>
        <v>0</v>
      </c>
      <c r="M51" s="360">
        <f>SUM(Результаты!$AO$56:'Результаты'!$AR$56)</f>
        <v>0</v>
      </c>
      <c r="N51" s="360">
        <f>SUM(Результаты!$AS$56:'Результаты'!$AV$56)</f>
        <v>0</v>
      </c>
      <c r="O51" s="361">
        <f>Результаты!$AX$56</f>
        <v>0</v>
      </c>
    </row>
    <row r="52" spans="1:15" ht="12.95" customHeight="1" x14ac:dyDescent="0.2">
      <c r="A52" s="347"/>
      <c r="B52" s="350"/>
      <c r="C52" s="353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1"/>
    </row>
    <row r="53" spans="1:15" ht="12.95" customHeight="1" x14ac:dyDescent="0.2">
      <c r="A53" s="366" t="str">
        <f ca="1">Результаты!$A$58</f>
        <v>Денежные потоки от инвестиционной деятельности</v>
      </c>
      <c r="B53" s="368"/>
      <c r="C53" s="370" t="str">
        <f ca="1">Результаты!$C$58</f>
        <v>тыс. руб.</v>
      </c>
      <c r="D53" s="372">
        <f>SUM(Результаты!$G$58:'Результаты'!$H$58)</f>
        <v>-226868</v>
      </c>
      <c r="E53" s="372">
        <f>SUM(Результаты!$I$58:'Результаты'!$L$58)</f>
        <v>-174778</v>
      </c>
      <c r="F53" s="372">
        <f>SUM(Результаты!$M$58:'Результаты'!$P$58)</f>
        <v>0</v>
      </c>
      <c r="G53" s="372">
        <f>SUM(Результаты!$Q$58:'Результаты'!$T$58)</f>
        <v>0</v>
      </c>
      <c r="H53" s="372">
        <f>SUM(Результаты!$U$58:'Результаты'!$X$58)</f>
        <v>0</v>
      </c>
      <c r="I53" s="372">
        <f>SUM(Результаты!$Y$58:'Результаты'!$AB$58)</f>
        <v>0</v>
      </c>
      <c r="J53" s="372">
        <f>SUM(Результаты!$AC$58:'Результаты'!$AF$58)</f>
        <v>0</v>
      </c>
      <c r="K53" s="372">
        <f>SUM(Результаты!$AG$58:'Результаты'!$AJ$58)</f>
        <v>0</v>
      </c>
      <c r="L53" s="372">
        <f>SUM(Результаты!$AK$58:'Результаты'!$AN$58)</f>
        <v>0</v>
      </c>
      <c r="M53" s="372">
        <f>SUM(Результаты!$AO$58:'Результаты'!$AR$58)</f>
        <v>0</v>
      </c>
      <c r="N53" s="372">
        <f>SUM(Результаты!$AS$58:'Результаты'!$AV$58)</f>
        <v>0</v>
      </c>
      <c r="O53" s="374">
        <f>Результаты!$AX$58</f>
        <v>-401646</v>
      </c>
    </row>
    <row r="54" spans="1:15" ht="12.95" customHeight="1" x14ac:dyDescent="0.2">
      <c r="A54" s="365"/>
      <c r="B54" s="367"/>
      <c r="C54" s="369"/>
      <c r="D54" s="371"/>
      <c r="E54" s="371"/>
      <c r="F54" s="371"/>
      <c r="G54" s="371"/>
      <c r="H54" s="371"/>
      <c r="I54" s="371"/>
      <c r="J54" s="371"/>
      <c r="K54" s="371"/>
      <c r="L54" s="371"/>
      <c r="M54" s="371"/>
      <c r="N54" s="371"/>
      <c r="O54" s="373"/>
    </row>
    <row r="55" spans="1:15" ht="12.95" customHeight="1" x14ac:dyDescent="0.2">
      <c r="A55" s="362" t="str">
        <f ca="1">Результаты!$A$60</f>
        <v>Поступления собственного капитала</v>
      </c>
      <c r="B55" s="350"/>
      <c r="C55" s="353" t="str">
        <f ca="1">Результаты!$C$60</f>
        <v>тыс. руб.</v>
      </c>
      <c r="D55" s="360">
        <f>SUM(Результаты!$G$60:'Результаты'!$H$60)</f>
        <v>0</v>
      </c>
      <c r="E55" s="360">
        <f>SUM(Результаты!$I$60:'Результаты'!$L$60)</f>
        <v>0</v>
      </c>
      <c r="F55" s="360">
        <f>SUM(Результаты!$M$60:'Результаты'!$P$60)</f>
        <v>0</v>
      </c>
      <c r="G55" s="360">
        <f>SUM(Результаты!$Q$60:'Результаты'!$T$60)</f>
        <v>0</v>
      </c>
      <c r="H55" s="360">
        <f>SUM(Результаты!$U$60:'Результаты'!$X$60)</f>
        <v>0</v>
      </c>
      <c r="I55" s="360">
        <f>SUM(Результаты!$Y$60:'Результаты'!$AB$60)</f>
        <v>0</v>
      </c>
      <c r="J55" s="360">
        <f>SUM(Результаты!$AC$60:'Результаты'!$AF$60)</f>
        <v>0</v>
      </c>
      <c r="K55" s="360">
        <f>SUM(Результаты!$AG$60:'Результаты'!$AJ$60)</f>
        <v>0</v>
      </c>
      <c r="L55" s="360">
        <f>SUM(Результаты!$AK$60:'Результаты'!$AN$60)</f>
        <v>0</v>
      </c>
      <c r="M55" s="360">
        <f>SUM(Результаты!$AO$60:'Результаты'!$AR$60)</f>
        <v>0</v>
      </c>
      <c r="N55" s="360">
        <f>SUM(Результаты!$AS$60:'Результаты'!$AV$60)</f>
        <v>0</v>
      </c>
      <c r="O55" s="361">
        <f>Результаты!$AX$60</f>
        <v>0</v>
      </c>
    </row>
    <row r="56" spans="1:15" ht="12.95" customHeight="1" x14ac:dyDescent="0.2">
      <c r="A56" s="362" t="str">
        <f ca="1">Результаты!$A$61</f>
        <v>Поступления кредитов</v>
      </c>
      <c r="B56" s="350"/>
      <c r="C56" s="353" t="str">
        <f ca="1">Результаты!$C$61</f>
        <v>тыс. руб.</v>
      </c>
      <c r="D56" s="360">
        <f>SUM(Результаты!$G$61:'Результаты'!$H$61)</f>
        <v>2226632</v>
      </c>
      <c r="E56" s="360">
        <f>SUM(Результаты!$I$61:'Результаты'!$L$61)</f>
        <v>250000</v>
      </c>
      <c r="F56" s="360">
        <f>SUM(Результаты!$M$61:'Результаты'!$P$61)</f>
        <v>0</v>
      </c>
      <c r="G56" s="360">
        <f>SUM(Результаты!$Q$61:'Результаты'!$T$61)</f>
        <v>0</v>
      </c>
      <c r="H56" s="360">
        <f>SUM(Результаты!$U$61:'Результаты'!$X$61)</f>
        <v>0</v>
      </c>
      <c r="I56" s="360">
        <f>SUM(Результаты!$Y$61:'Результаты'!$AB$61)</f>
        <v>0</v>
      </c>
      <c r="J56" s="360">
        <f>SUM(Результаты!$AC$61:'Результаты'!$AF$61)</f>
        <v>0</v>
      </c>
      <c r="K56" s="360">
        <f>SUM(Результаты!$AG$61:'Результаты'!$AJ$61)</f>
        <v>0</v>
      </c>
      <c r="L56" s="360">
        <f>SUM(Результаты!$AK$61:'Результаты'!$AN$61)</f>
        <v>0</v>
      </c>
      <c r="M56" s="360">
        <f>SUM(Результаты!$AO$61:'Результаты'!$AR$61)</f>
        <v>0</v>
      </c>
      <c r="N56" s="360">
        <f>SUM(Результаты!$AS$61:'Результаты'!$AV$61)</f>
        <v>0</v>
      </c>
      <c r="O56" s="361">
        <f>Результаты!$AX$61</f>
        <v>2476632</v>
      </c>
    </row>
    <row r="57" spans="1:15" ht="12.95" customHeight="1" x14ac:dyDescent="0.2">
      <c r="A57" s="362" t="str">
        <f ca="1">Результаты!$A$62</f>
        <v>Возврат кредитов</v>
      </c>
      <c r="B57" s="350"/>
      <c r="C57" s="353" t="str">
        <f ca="1">Результаты!$C$62</f>
        <v>тыс. руб.</v>
      </c>
      <c r="D57" s="360">
        <f>SUM(Результаты!$G$62:'Результаты'!$H$62)</f>
        <v>-2176632</v>
      </c>
      <c r="E57" s="360">
        <f>SUM(Результаты!$I$62:'Результаты'!$L$62)</f>
        <v>0</v>
      </c>
      <c r="F57" s="360">
        <f>SUM(Результаты!$M$62:'Результаты'!$P$62)</f>
        <v>0</v>
      </c>
      <c r="G57" s="360">
        <f>SUM(Результаты!$Q$62:'Результаты'!$T$62)</f>
        <v>0</v>
      </c>
      <c r="H57" s="360">
        <f>SUM(Результаты!$U$62:'Результаты'!$X$62)</f>
        <v>-445861.94846788893</v>
      </c>
      <c r="I57" s="360">
        <f>SUM(Результаты!$Y$62:'Результаты'!$AB$62)</f>
        <v>-500605.25655104266</v>
      </c>
      <c r="J57" s="360">
        <f>SUM(Результаты!$AC$62:'Результаты'!$AF$62)</f>
        <v>-580838.0453295625</v>
      </c>
      <c r="K57" s="360">
        <f>SUM(Результаты!$AG$62:'Результаты'!$AJ$62)</f>
        <v>-658123.44676381384</v>
      </c>
      <c r="L57" s="360">
        <f>SUM(Результаты!$AK$62:'Результаты'!$AN$62)</f>
        <v>-291203.30288769229</v>
      </c>
      <c r="M57" s="360">
        <f>SUM(Результаты!$AO$62:'Результаты'!$AR$62)</f>
        <v>0</v>
      </c>
      <c r="N57" s="360">
        <f>SUM(Результаты!$AS$62:'Результаты'!$AV$62)</f>
        <v>0</v>
      </c>
      <c r="O57" s="361">
        <f>Результаты!$AX$62</f>
        <v>-4653264</v>
      </c>
    </row>
    <row r="58" spans="1:15" ht="12.95" customHeight="1" x14ac:dyDescent="0.2">
      <c r="A58" s="362" t="str">
        <f ca="1">Результаты!$A$63</f>
        <v>Выплата дивидендов</v>
      </c>
      <c r="B58" s="350"/>
      <c r="C58" s="353" t="str">
        <f ca="1">Результаты!$C$63</f>
        <v>тыс. руб.</v>
      </c>
      <c r="D58" s="360">
        <f>SUM(Результаты!$G$63:'Результаты'!$H$63)</f>
        <v>0</v>
      </c>
      <c r="E58" s="360">
        <f>SUM(Результаты!$I$63:'Результаты'!$L$63)</f>
        <v>0</v>
      </c>
      <c r="F58" s="360">
        <f>SUM(Результаты!$M$63:'Результаты'!$P$63)</f>
        <v>0</v>
      </c>
      <c r="G58" s="360">
        <f>SUM(Результаты!$Q$63:'Результаты'!$T$63)</f>
        <v>0</v>
      </c>
      <c r="H58" s="360">
        <f>SUM(Результаты!$U$63:'Результаты'!$X$63)</f>
        <v>0</v>
      </c>
      <c r="I58" s="360">
        <f>SUM(Результаты!$Y$63:'Результаты'!$AB$63)</f>
        <v>0</v>
      </c>
      <c r="J58" s="360">
        <f>SUM(Результаты!$AC$63:'Результаты'!$AF$63)</f>
        <v>0</v>
      </c>
      <c r="K58" s="360">
        <f>SUM(Результаты!$AG$63:'Результаты'!$AJ$63)</f>
        <v>0</v>
      </c>
      <c r="L58" s="360">
        <f>SUM(Результаты!$AK$63:'Результаты'!$AN$63)</f>
        <v>0</v>
      </c>
      <c r="M58" s="360">
        <f>SUM(Результаты!$AO$63:'Результаты'!$AR$63)</f>
        <v>0</v>
      </c>
      <c r="N58" s="360">
        <f>SUM(Результаты!$AS$63:'Результаты'!$AV$63)</f>
        <v>0</v>
      </c>
      <c r="O58" s="361">
        <f>Результаты!$AX$63</f>
        <v>0</v>
      </c>
    </row>
    <row r="59" spans="1:15" ht="12.95" customHeight="1" x14ac:dyDescent="0.2">
      <c r="A59" s="347"/>
      <c r="B59" s="350"/>
      <c r="C59" s="353"/>
      <c r="D59" s="360"/>
      <c r="E59" s="360"/>
      <c r="F59" s="360"/>
      <c r="G59" s="360"/>
      <c r="H59" s="360"/>
      <c r="I59" s="360"/>
      <c r="J59" s="360"/>
      <c r="K59" s="360"/>
      <c r="L59" s="360"/>
      <c r="M59" s="360"/>
      <c r="N59" s="360"/>
      <c r="O59" s="361"/>
    </row>
    <row r="60" spans="1:15" ht="12.95" customHeight="1" x14ac:dyDescent="0.2">
      <c r="A60" s="366" t="str">
        <f ca="1">Результаты!$A$65</f>
        <v>Денежные потоки от финансовой деятельности</v>
      </c>
      <c r="B60" s="368"/>
      <c r="C60" s="370" t="str">
        <f ca="1">Результаты!$C$65</f>
        <v>тыс. руб.</v>
      </c>
      <c r="D60" s="372">
        <f>SUM(Результаты!$G$65:'Результаты'!$H$65)</f>
        <v>50000</v>
      </c>
      <c r="E60" s="372">
        <f>SUM(Результаты!$I$65:'Результаты'!$L$65)</f>
        <v>250000</v>
      </c>
      <c r="F60" s="372">
        <f>SUM(Результаты!$M$65:'Результаты'!$P$65)</f>
        <v>0</v>
      </c>
      <c r="G60" s="372">
        <f>SUM(Результаты!$Q$65:'Результаты'!$T$65)</f>
        <v>0</v>
      </c>
      <c r="H60" s="372">
        <f>SUM(Результаты!$U$65:'Результаты'!$X$65)</f>
        <v>-445861.94846788893</v>
      </c>
      <c r="I60" s="372">
        <f>SUM(Результаты!$Y$65:'Результаты'!$AB$65)</f>
        <v>-500605.25655104266</v>
      </c>
      <c r="J60" s="372">
        <f>SUM(Результаты!$AC$65:'Результаты'!$AF$65)</f>
        <v>-580838.0453295625</v>
      </c>
      <c r="K60" s="372">
        <f>SUM(Результаты!$AG$65:'Результаты'!$AJ$65)</f>
        <v>-658123.44676381384</v>
      </c>
      <c r="L60" s="372">
        <f>SUM(Результаты!$AK$65:'Результаты'!$AN$65)</f>
        <v>-291203.30288769229</v>
      </c>
      <c r="M60" s="372">
        <f>SUM(Результаты!$AO$65:'Результаты'!$AR$65)</f>
        <v>0</v>
      </c>
      <c r="N60" s="372">
        <f>SUM(Результаты!$AS$65:'Результаты'!$AV$65)</f>
        <v>0</v>
      </c>
      <c r="O60" s="374">
        <f>Результаты!$AX$65</f>
        <v>-2176632</v>
      </c>
    </row>
    <row r="61" spans="1:15" ht="12.95" customHeight="1" x14ac:dyDescent="0.2">
      <c r="A61" s="365"/>
      <c r="B61" s="367"/>
      <c r="C61" s="369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3"/>
    </row>
    <row r="62" spans="1:15" ht="12.95" customHeight="1" x14ac:dyDescent="0.2">
      <c r="A62" s="347" t="str">
        <f ca="1">Результаты!$A$67</f>
        <v>Суммарный денежный поток за период</v>
      </c>
      <c r="B62" s="350"/>
      <c r="C62" s="353" t="str">
        <f ca="1">Результаты!$C$67</f>
        <v>тыс. руб.</v>
      </c>
      <c r="D62" s="360">
        <f ca="1">SUM(Результаты!$G$67:'Результаты'!$H$67)</f>
        <v>73936.110939581224</v>
      </c>
      <c r="E62" s="360">
        <f ca="1">SUM(Результаты!$I$67:'Результаты'!$L$67)</f>
        <v>381075.79254571034</v>
      </c>
      <c r="F62" s="360">
        <f ca="1">SUM(Результаты!$M$67:'Результаты'!$P$67)</f>
        <v>502149.06674178992</v>
      </c>
      <c r="G62" s="360">
        <f ca="1">SUM(Результаты!$Q$67:'Результаты'!$T$67)</f>
        <v>657586.39757522952</v>
      </c>
      <c r="H62" s="360">
        <f ca="1">SUM(Результаты!$U$67:'Результаты'!$X$67)</f>
        <v>308663.00519139692</v>
      </c>
      <c r="I62" s="360">
        <f ca="1">SUM(Результаты!$Y$67:'Результаты'!$AB$67)</f>
        <v>306171.61681357224</v>
      </c>
      <c r="J62" s="360">
        <f ca="1">SUM(Результаты!$AC$67:'Результаты'!$AF$67)</f>
        <v>305452.4313485754</v>
      </c>
      <c r="K62" s="360">
        <f ca="1">SUM(Результаты!$AG$67:'Результаты'!$AJ$67)</f>
        <v>298774.6153415257</v>
      </c>
      <c r="L62" s="360">
        <f ca="1">SUM(Результаты!$AK$67:'Результаты'!$AN$67)</f>
        <v>725750.50389222323</v>
      </c>
      <c r="M62" s="360">
        <f ca="1">SUM(Результаты!$AO$67:'Результаты'!$AR$67)</f>
        <v>1076418.1158840256</v>
      </c>
      <c r="N62" s="360">
        <f ca="1">SUM(Результаты!$AS$67:'Результаты'!$AV$67)</f>
        <v>1040665.4130175953</v>
      </c>
      <c r="O62" s="361">
        <f ca="1">Результаты!$AX$67</f>
        <v>5676643.0692912247</v>
      </c>
    </row>
    <row r="63" spans="1:15" ht="12.95" customHeight="1" x14ac:dyDescent="0.2">
      <c r="A63" s="347" t="str">
        <f ca="1">Результаты!$A$68</f>
        <v>Денежные средства на начало периода</v>
      </c>
      <c r="B63" s="350"/>
      <c r="C63" s="353" t="str">
        <f ca="1">Результаты!$C$68</f>
        <v>тыс. руб.</v>
      </c>
      <c r="D63" s="360">
        <f>Результаты!$G$68</f>
        <v>38871</v>
      </c>
      <c r="E63" s="360">
        <f ca="1">Результаты!$I$68</f>
        <v>112807.11093958122</v>
      </c>
      <c r="F63" s="360">
        <f ca="1">Результаты!$M$68</f>
        <v>493882.90348529152</v>
      </c>
      <c r="G63" s="360">
        <f ca="1">Результаты!$Q$68</f>
        <v>996031.97022708145</v>
      </c>
      <c r="H63" s="360">
        <f ca="1">Результаты!$U$68</f>
        <v>1653618.367802311</v>
      </c>
      <c r="I63" s="360">
        <f ca="1">Результаты!$Y$68</f>
        <v>1962281.3729937081</v>
      </c>
      <c r="J63" s="360">
        <f ca="1">Результаты!$AC$68</f>
        <v>2268452.9898072802</v>
      </c>
      <c r="K63" s="360">
        <f ca="1">Результаты!$AG$68</f>
        <v>2573905.4211558555</v>
      </c>
      <c r="L63" s="360">
        <f ca="1">Результаты!$AK$68</f>
        <v>2872680.0364973815</v>
      </c>
      <c r="M63" s="360">
        <f ca="1">Результаты!$AO$68</f>
        <v>3598430.5403896044</v>
      </c>
      <c r="N63" s="360">
        <f ca="1">Результаты!$AS$68</f>
        <v>4674848.6562736295</v>
      </c>
      <c r="O63" s="360"/>
    </row>
    <row r="64" spans="1:15" ht="12.95" customHeight="1" x14ac:dyDescent="0.2">
      <c r="A64" s="347" t="str">
        <f ca="1">Результаты!$A$69</f>
        <v>Денежные средства на конец периода</v>
      </c>
      <c r="B64" s="350"/>
      <c r="C64" s="353" t="str">
        <f ca="1">Результаты!$C$69</f>
        <v>тыс. руб.</v>
      </c>
      <c r="D64" s="360">
        <f ca="1">Результаты!$H$69</f>
        <v>112807.11093958122</v>
      </c>
      <c r="E64" s="360">
        <f ca="1">Результаты!$L$69</f>
        <v>493882.90348529152</v>
      </c>
      <c r="F64" s="360">
        <f ca="1">Результаты!$P$69</f>
        <v>996031.97022708145</v>
      </c>
      <c r="G64" s="360">
        <f ca="1">Результаты!$T$69</f>
        <v>1653618.367802311</v>
      </c>
      <c r="H64" s="360">
        <f ca="1">Результаты!$X$69</f>
        <v>1962281.3729937081</v>
      </c>
      <c r="I64" s="360">
        <f ca="1">Результаты!$AB$69</f>
        <v>2268452.9898072802</v>
      </c>
      <c r="J64" s="360">
        <f ca="1">Результаты!$AF$69</f>
        <v>2573905.4211558555</v>
      </c>
      <c r="K64" s="360">
        <f ca="1">Результаты!$AJ$69</f>
        <v>2872680.0364973815</v>
      </c>
      <c r="L64" s="360">
        <f ca="1">Результаты!$AN$69</f>
        <v>3598430.5403896044</v>
      </c>
      <c r="M64" s="360">
        <f ca="1">Результаты!$AR$69</f>
        <v>4674848.6562736295</v>
      </c>
      <c r="N64" s="360">
        <f ca="1">Результаты!$AV$69</f>
        <v>5715514.0692912247</v>
      </c>
      <c r="O64" s="360"/>
    </row>
    <row r="65" spans="1:15" ht="12.95" customHeight="1" x14ac:dyDescent="0.2">
      <c r="A65" s="375"/>
      <c r="B65" s="376"/>
      <c r="C65" s="377"/>
      <c r="D65" s="378"/>
      <c r="E65" s="378"/>
      <c r="F65" s="378"/>
      <c r="G65" s="378"/>
      <c r="H65" s="378"/>
      <c r="I65" s="378"/>
      <c r="J65" s="378"/>
      <c r="K65" s="378"/>
      <c r="L65" s="378"/>
      <c r="M65" s="378"/>
      <c r="N65" s="378"/>
      <c r="O65" s="378"/>
    </row>
    <row r="68" spans="1:15" ht="25.5" customHeight="1" thickBot="1" x14ac:dyDescent="0.25">
      <c r="A68" s="349" t="str">
        <f ca="1">Результаты!$A$222</f>
        <v>ЭФФЕКТИВНОСТЬ ДЛЯ АКЦИОНЕРОВ (FCFE)</v>
      </c>
      <c r="B68" s="352"/>
      <c r="C68" s="355"/>
      <c r="D68" s="358" t="str">
        <f>"7-12.2016"</f>
        <v>7-12.2016</v>
      </c>
      <c r="E68" s="358" t="str">
        <f>"2017"</f>
        <v>2017</v>
      </c>
      <c r="F68" s="358" t="str">
        <f>"2018"</f>
        <v>2018</v>
      </c>
      <c r="G68" s="358" t="str">
        <f>"2019"</f>
        <v>2019</v>
      </c>
      <c r="H68" s="358" t="str">
        <f>"2020"</f>
        <v>2020</v>
      </c>
      <c r="I68" s="358" t="str">
        <f>"2021"</f>
        <v>2021</v>
      </c>
      <c r="J68" s="358" t="str">
        <f>"2022"</f>
        <v>2022</v>
      </c>
      <c r="K68" s="358" t="str">
        <f>"2023"</f>
        <v>2023</v>
      </c>
      <c r="L68" s="358" t="str">
        <f>"2024"</f>
        <v>2024</v>
      </c>
      <c r="M68" s="358" t="str">
        <f>"2025"</f>
        <v>2025</v>
      </c>
      <c r="N68" s="358" t="str">
        <f>"2026"</f>
        <v>2026</v>
      </c>
      <c r="O68" s="359" t="str">
        <f ca="1">Результаты!$AX$222</f>
        <v>ИТОГО</v>
      </c>
    </row>
    <row r="69" spans="1:15" ht="13.5" customHeight="1" thickTop="1" x14ac:dyDescent="0.2">
      <c r="A69" s="348"/>
      <c r="B69" s="351"/>
      <c r="C69" s="354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</row>
    <row r="70" spans="1:15" ht="12.95" customHeight="1" x14ac:dyDescent="0.2">
      <c r="A70" s="347" t="str">
        <f ca="1">Результаты!$A$224</f>
        <v>Ставка дисконтирования</v>
      </c>
      <c r="B70" s="379">
        <f>Результаты!$B$224</f>
        <v>0.2</v>
      </c>
      <c r="C70" s="353" t="str">
        <f>Результаты!$C$224</f>
        <v>%</v>
      </c>
      <c r="D70" s="356"/>
      <c r="E70" s="356"/>
      <c r="F70" s="356"/>
      <c r="G70" s="356"/>
      <c r="H70" s="356"/>
      <c r="I70" s="356"/>
      <c r="J70" s="356"/>
      <c r="K70" s="356"/>
      <c r="L70" s="356"/>
      <c r="M70" s="356"/>
      <c r="N70" s="356"/>
      <c r="O70" s="356"/>
    </row>
    <row r="71" spans="1:15" ht="12.95" customHeight="1" x14ac:dyDescent="0.2">
      <c r="A71" s="347" t="str">
        <f ca="1">Результаты!$A$227</f>
        <v>Свободный денежный поток акционеров, FCFE</v>
      </c>
      <c r="B71" s="350"/>
      <c r="C71" s="353" t="str">
        <f ca="1">Результаты!$C$227</f>
        <v>тыс. руб.</v>
      </c>
      <c r="D71" s="360">
        <f ca="1">SUM(Результаты!$G$227:'Результаты'!$H$227)</f>
        <v>73936.110939581355</v>
      </c>
      <c r="E71" s="360">
        <f ca="1">SUM(Результаты!$I$227:'Результаты'!$L$227)</f>
        <v>381075.79254571034</v>
      </c>
      <c r="F71" s="360">
        <f ca="1">SUM(Результаты!$M$227:'Результаты'!$P$227)</f>
        <v>502149.06674178992</v>
      </c>
      <c r="G71" s="360">
        <f ca="1">SUM(Результаты!$Q$227:'Результаты'!$T$227)</f>
        <v>657586.39757522952</v>
      </c>
      <c r="H71" s="360">
        <f ca="1">SUM(Результаты!$U$227:'Результаты'!$X$227)</f>
        <v>308663.00519139692</v>
      </c>
      <c r="I71" s="360">
        <f ca="1">SUM(Результаты!$Y$227:'Результаты'!$AB$227)</f>
        <v>306171.61681357224</v>
      </c>
      <c r="J71" s="360">
        <f ca="1">SUM(Результаты!$AC$227:'Результаты'!$AF$227)</f>
        <v>305452.4313485754</v>
      </c>
      <c r="K71" s="360">
        <f ca="1">SUM(Результаты!$AG$227:'Результаты'!$AJ$227)</f>
        <v>298774.6153415257</v>
      </c>
      <c r="L71" s="360">
        <f ca="1">SUM(Результаты!$AK$227:'Результаты'!$AN$227)</f>
        <v>725750.50389222323</v>
      </c>
      <c r="M71" s="360">
        <f ca="1">SUM(Результаты!$AO$227:'Результаты'!$AR$227)</f>
        <v>1076418.1158840256</v>
      </c>
      <c r="N71" s="360">
        <f ca="1">SUM(Результаты!$AS$227:'Результаты'!$AV$227)</f>
        <v>1040665.4130175953</v>
      </c>
      <c r="O71" s="361">
        <f ca="1">Результаты!$AX$227</f>
        <v>5676643.0692912247</v>
      </c>
    </row>
    <row r="72" spans="1:15" ht="12.95" customHeight="1" x14ac:dyDescent="0.2">
      <c r="A72" s="362" t="str">
        <f ca="1">Результаты!$A$228</f>
        <v>Денежные потоки от операционной деятельности</v>
      </c>
      <c r="B72" s="350"/>
      <c r="C72" s="353" t="str">
        <f ca="1">Результаты!$C$228</f>
        <v>тыс. руб.</v>
      </c>
      <c r="D72" s="360">
        <f ca="1">SUM(Результаты!$G$228:'Результаты'!$H$228)</f>
        <v>250804.11093958124</v>
      </c>
      <c r="E72" s="360">
        <f ca="1">SUM(Результаты!$I$228:'Результаты'!$L$228)</f>
        <v>305853.79254571034</v>
      </c>
      <c r="F72" s="360">
        <f ca="1">SUM(Результаты!$M$228:'Результаты'!$P$228)</f>
        <v>502149.06674178992</v>
      </c>
      <c r="G72" s="360">
        <f ca="1">SUM(Результаты!$Q$228:'Результаты'!$T$228)</f>
        <v>657586.39757522952</v>
      </c>
      <c r="H72" s="360">
        <f ca="1">SUM(Результаты!$U$228:'Результаты'!$X$228)</f>
        <v>754524.95365928591</v>
      </c>
      <c r="I72" s="360">
        <f ca="1">SUM(Результаты!$Y$228:'Результаты'!$AB$228)</f>
        <v>806776.87336461479</v>
      </c>
      <c r="J72" s="360">
        <f ca="1">SUM(Результаты!$AC$228:'Результаты'!$AF$228)</f>
        <v>886290.4766781379</v>
      </c>
      <c r="K72" s="360">
        <f ca="1">SUM(Результаты!$AG$228:'Результаты'!$AJ$228)</f>
        <v>956898.06210533949</v>
      </c>
      <c r="L72" s="360">
        <f ca="1">SUM(Результаты!$AK$228:'Результаты'!$AN$228)</f>
        <v>1016953.8067799155</v>
      </c>
      <c r="M72" s="360">
        <f ca="1">SUM(Результаты!$AO$228:'Результаты'!$AR$228)</f>
        <v>1076418.1158840256</v>
      </c>
      <c r="N72" s="360">
        <f ca="1">SUM(Результаты!$AS$228:'Результаты'!$AV$228)</f>
        <v>1040665.4130175953</v>
      </c>
      <c r="O72" s="361">
        <f ca="1">Результаты!$AX$228</f>
        <v>8254921.0692912247</v>
      </c>
    </row>
    <row r="73" spans="1:15" ht="12.95" customHeight="1" x14ac:dyDescent="0.2">
      <c r="A73" s="362" t="str">
        <f ca="1">Результаты!$A$229</f>
        <v>Денежные потоки от инвестиционной деятельности</v>
      </c>
      <c r="B73" s="350"/>
      <c r="C73" s="353" t="str">
        <f ca="1">Результаты!$C$229</f>
        <v>тыс. руб.</v>
      </c>
      <c r="D73" s="360">
        <f>SUM(Результаты!$G$229:'Результаты'!$H$229)</f>
        <v>-226868</v>
      </c>
      <c r="E73" s="360">
        <f>SUM(Результаты!$I$229:'Результаты'!$L$229)</f>
        <v>-174778</v>
      </c>
      <c r="F73" s="360">
        <f>SUM(Результаты!$M$229:'Результаты'!$P$229)</f>
        <v>0</v>
      </c>
      <c r="G73" s="360">
        <f>SUM(Результаты!$Q$229:'Результаты'!$T$229)</f>
        <v>0</v>
      </c>
      <c r="H73" s="360">
        <f>SUM(Результаты!$U$229:'Результаты'!$X$229)</f>
        <v>0</v>
      </c>
      <c r="I73" s="360">
        <f>SUM(Результаты!$Y$229:'Результаты'!$AB$229)</f>
        <v>0</v>
      </c>
      <c r="J73" s="360">
        <f>SUM(Результаты!$AC$229:'Результаты'!$AF$229)</f>
        <v>0</v>
      </c>
      <c r="K73" s="360">
        <f>SUM(Результаты!$AG$229:'Результаты'!$AJ$229)</f>
        <v>0</v>
      </c>
      <c r="L73" s="360">
        <f>SUM(Результаты!$AK$229:'Результаты'!$AN$229)</f>
        <v>0</v>
      </c>
      <c r="M73" s="360">
        <f>SUM(Результаты!$AO$229:'Результаты'!$AR$229)</f>
        <v>0</v>
      </c>
      <c r="N73" s="360">
        <f>SUM(Результаты!$AS$229:'Результаты'!$AV$229)</f>
        <v>0</v>
      </c>
      <c r="O73" s="361">
        <f>Результаты!$AX$229</f>
        <v>-401646</v>
      </c>
    </row>
    <row r="74" spans="1:15" ht="12.95" customHeight="1" x14ac:dyDescent="0.2">
      <c r="A74" s="362" t="str">
        <f ca="1">Результаты!$A$230</f>
        <v>Поступления кредитов</v>
      </c>
      <c r="B74" s="350"/>
      <c r="C74" s="353" t="str">
        <f ca="1">Результаты!$C$230</f>
        <v>тыс. руб.</v>
      </c>
      <c r="D74" s="360">
        <f>SUM(Результаты!$G$230:'Результаты'!$H$230)</f>
        <v>2226632</v>
      </c>
      <c r="E74" s="360">
        <f>SUM(Результаты!$I$230:'Результаты'!$L$230)</f>
        <v>250000</v>
      </c>
      <c r="F74" s="360">
        <f>SUM(Результаты!$M$230:'Результаты'!$P$230)</f>
        <v>0</v>
      </c>
      <c r="G74" s="360">
        <f>SUM(Результаты!$Q$230:'Результаты'!$T$230)</f>
        <v>0</v>
      </c>
      <c r="H74" s="360">
        <f>SUM(Результаты!$U$230:'Результаты'!$X$230)</f>
        <v>0</v>
      </c>
      <c r="I74" s="360">
        <f>SUM(Результаты!$Y$230:'Результаты'!$AB$230)</f>
        <v>0</v>
      </c>
      <c r="J74" s="360">
        <f>SUM(Результаты!$AC$230:'Результаты'!$AF$230)</f>
        <v>0</v>
      </c>
      <c r="K74" s="360">
        <f>SUM(Результаты!$AG$230:'Результаты'!$AJ$230)</f>
        <v>0</v>
      </c>
      <c r="L74" s="360">
        <f>SUM(Результаты!$AK$230:'Результаты'!$AN$230)</f>
        <v>0</v>
      </c>
      <c r="M74" s="360">
        <f>SUM(Результаты!$AO$230:'Результаты'!$AR$230)</f>
        <v>0</v>
      </c>
      <c r="N74" s="360">
        <f>SUM(Результаты!$AS$230:'Результаты'!$AV$230)</f>
        <v>0</v>
      </c>
      <c r="O74" s="361">
        <f>Результаты!$AX$230</f>
        <v>2476632</v>
      </c>
    </row>
    <row r="75" spans="1:15" ht="12.95" customHeight="1" x14ac:dyDescent="0.2">
      <c r="A75" s="362" t="str">
        <f ca="1">Результаты!$A$231</f>
        <v>Возврат кредитов</v>
      </c>
      <c r="B75" s="350"/>
      <c r="C75" s="353" t="str">
        <f ca="1">Результаты!$C$231</f>
        <v>тыс. руб.</v>
      </c>
      <c r="D75" s="360">
        <f>SUM(Результаты!$G$231:'Результаты'!$H$231)</f>
        <v>-2176632</v>
      </c>
      <c r="E75" s="360">
        <f>SUM(Результаты!$I$231:'Результаты'!$L$231)</f>
        <v>0</v>
      </c>
      <c r="F75" s="360">
        <f>SUM(Результаты!$M$231:'Результаты'!$P$231)</f>
        <v>0</v>
      </c>
      <c r="G75" s="360">
        <f>SUM(Результаты!$Q$231:'Результаты'!$T$231)</f>
        <v>0</v>
      </c>
      <c r="H75" s="360">
        <f>SUM(Результаты!$U$231:'Результаты'!$X$231)</f>
        <v>-445861.94846788893</v>
      </c>
      <c r="I75" s="360">
        <f>SUM(Результаты!$Y$231:'Результаты'!$AB$231)</f>
        <v>-500605.25655104266</v>
      </c>
      <c r="J75" s="360">
        <f>SUM(Результаты!$AC$231:'Результаты'!$AF$231)</f>
        <v>-580838.0453295625</v>
      </c>
      <c r="K75" s="360">
        <f>SUM(Результаты!$AG$231:'Результаты'!$AJ$231)</f>
        <v>-658123.44676381384</v>
      </c>
      <c r="L75" s="360">
        <f>SUM(Результаты!$AK$231:'Результаты'!$AN$231)</f>
        <v>-291203.30288769229</v>
      </c>
      <c r="M75" s="360">
        <f>SUM(Результаты!$AO$231:'Результаты'!$AR$231)</f>
        <v>0</v>
      </c>
      <c r="N75" s="360">
        <f>SUM(Результаты!$AS$231:'Результаты'!$AV$231)</f>
        <v>0</v>
      </c>
      <c r="O75" s="361">
        <f>Результаты!$AX$231</f>
        <v>-4653264</v>
      </c>
    </row>
    <row r="76" spans="1:15" ht="12.95" customHeight="1" x14ac:dyDescent="0.2">
      <c r="A76" s="347" t="str">
        <f ca="1">Результаты!$A$232</f>
        <v>Дисконтированный денежный поток</v>
      </c>
      <c r="B76" s="350"/>
      <c r="C76" s="353" t="str">
        <f ca="1">Результаты!$C$232</f>
        <v>тыс. руб.</v>
      </c>
      <c r="D76" s="360">
        <f ca="1">SUM(Результаты!$G$232:'Результаты'!$H$232)</f>
        <v>74255.393845256578</v>
      </c>
      <c r="E76" s="360">
        <f ca="1">SUM(Результаты!$I$232:'Результаты'!$L$232)</f>
        <v>318950.91471971408</v>
      </c>
      <c r="F76" s="360">
        <f ca="1">SUM(Результаты!$M$232:'Результаты'!$P$232)</f>
        <v>348609.13800742244</v>
      </c>
      <c r="G76" s="360">
        <f ca="1">SUM(Результаты!$Q$232:'Результаты'!$T$232)</f>
        <v>383493.34961300856</v>
      </c>
      <c r="H76" s="360">
        <f ca="1">SUM(Результаты!$U$232:'Результаты'!$X$232)</f>
        <v>150921.26660831369</v>
      </c>
      <c r="I76" s="360">
        <f ca="1">SUM(Результаты!$Y$232:'Результаты'!$AB$232)</f>
        <v>124815.90225415792</v>
      </c>
      <c r="J76" s="360">
        <f ca="1">SUM(Результаты!$AC$232:'Результаты'!$AF$232)</f>
        <v>103694.70551853999</v>
      </c>
      <c r="K76" s="360">
        <f ca="1">SUM(Результаты!$AG$232:'Результаты'!$AJ$232)</f>
        <v>84468.643421430243</v>
      </c>
      <c r="L76" s="360">
        <f ca="1">SUM(Результаты!$AK$232:'Результаты'!$AN$232)</f>
        <v>167285.32510710499</v>
      </c>
      <c r="M76" s="360">
        <f ca="1">SUM(Результаты!$AO$232:'Результаты'!$AR$232)</f>
        <v>210789.70196951617</v>
      </c>
      <c r="N76" s="360">
        <f ca="1">SUM(Результаты!$AS$232:'Результаты'!$AV$232)</f>
        <v>169704.62086118635</v>
      </c>
      <c r="O76" s="361">
        <f ca="1">Результаты!$AX$232</f>
        <v>2136988.9619256509</v>
      </c>
    </row>
    <row r="77" spans="1:15" ht="12.95" customHeight="1" x14ac:dyDescent="0.2">
      <c r="A77" s="347" t="str">
        <f ca="1">Результаты!$A$233</f>
        <v>Дисконтированный поток нарастающим итогом</v>
      </c>
      <c r="B77" s="350"/>
      <c r="C77" s="353" t="str">
        <f ca="1">Результаты!$C$233</f>
        <v>тыс. руб.</v>
      </c>
      <c r="D77" s="360">
        <f ca="1">Результаты!$H$233</f>
        <v>74255.393845256578</v>
      </c>
      <c r="E77" s="360">
        <f ca="1">Результаты!$L$233</f>
        <v>393206.30856497068</v>
      </c>
      <c r="F77" s="360">
        <f ca="1">Результаты!$P$233</f>
        <v>741815.44657239306</v>
      </c>
      <c r="G77" s="360">
        <f ca="1">Результаты!$T$233</f>
        <v>1125308.7961854017</v>
      </c>
      <c r="H77" s="360">
        <f ca="1">Результаты!$X$233</f>
        <v>1276230.0627937154</v>
      </c>
      <c r="I77" s="360">
        <f ca="1">Результаты!$AB$233</f>
        <v>1401045.9650478733</v>
      </c>
      <c r="J77" s="360">
        <f ca="1">Результаты!$AF$233</f>
        <v>1504740.6705664131</v>
      </c>
      <c r="K77" s="360">
        <f ca="1">Результаты!$AJ$233</f>
        <v>1589209.3139878432</v>
      </c>
      <c r="L77" s="360">
        <f ca="1">Результаты!$AN$233</f>
        <v>1756494.6390949481</v>
      </c>
      <c r="M77" s="360">
        <f ca="1">Результаты!$AR$233</f>
        <v>1967284.3410644643</v>
      </c>
      <c r="N77" s="360">
        <f ca="1">Результаты!$AV$233</f>
        <v>2136988.9619256509</v>
      </c>
      <c r="O77" s="361"/>
    </row>
    <row r="78" spans="1:15" ht="12.95" customHeight="1" x14ac:dyDescent="0.2">
      <c r="A78" s="347" t="str">
        <f ca="1">Результаты!$A$234</f>
        <v>Чистая приведенная стоимость потоков проекта</v>
      </c>
      <c r="B78" s="215">
        <f ca="1">Результаты!$B$234</f>
        <v>2136988.9619256509</v>
      </c>
      <c r="C78" s="353" t="str">
        <f ca="1">Результаты!$C$234</f>
        <v>тыс. руб.</v>
      </c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56"/>
    </row>
    <row r="79" spans="1:15" ht="12.95" customHeight="1" x14ac:dyDescent="0.2">
      <c r="A79" s="347"/>
      <c r="B79" s="215"/>
      <c r="C79" s="353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56"/>
    </row>
    <row r="80" spans="1:15" ht="12.95" customHeight="1" x14ac:dyDescent="0.2">
      <c r="A80" s="347" t="str">
        <f ca="1">Результаты!$A$236</f>
        <v>Учет активов начального баланса</v>
      </c>
      <c r="B80" s="215" t="str">
        <f ca="1">Результаты!$B$236</f>
        <v>Да</v>
      </c>
      <c r="C80" s="353" t="str">
        <f ca="1">Результаты!$C$236</f>
        <v>тыс. руб.</v>
      </c>
      <c r="D80" s="360">
        <f>SUM(Результаты!$G$236:'Результаты'!$H$236)</f>
        <v>-877894</v>
      </c>
      <c r="E80" s="360">
        <f>SUM(Результаты!$I$236:'Результаты'!$L$236)</f>
        <v>0</v>
      </c>
      <c r="F80" s="360">
        <f>SUM(Результаты!$M$236:'Результаты'!$P$236)</f>
        <v>0</v>
      </c>
      <c r="G80" s="360">
        <f>SUM(Результаты!$Q$236:'Результаты'!$T$236)</f>
        <v>0</v>
      </c>
      <c r="H80" s="360">
        <f>SUM(Результаты!$U$236:'Результаты'!$X$236)</f>
        <v>0</v>
      </c>
      <c r="I80" s="360">
        <f>SUM(Результаты!$Y$236:'Результаты'!$AB$236)</f>
        <v>0</v>
      </c>
      <c r="J80" s="360">
        <f>SUM(Результаты!$AC$236:'Результаты'!$AF$236)</f>
        <v>0</v>
      </c>
      <c r="K80" s="360">
        <f>SUM(Результаты!$AG$236:'Результаты'!$AJ$236)</f>
        <v>0</v>
      </c>
      <c r="L80" s="360">
        <f>SUM(Результаты!$AK$236:'Результаты'!$AN$236)</f>
        <v>0</v>
      </c>
      <c r="M80" s="360">
        <f>SUM(Результаты!$AO$236:'Результаты'!$AR$236)</f>
        <v>0</v>
      </c>
      <c r="N80" s="360">
        <f>SUM(Результаты!$AS$236:'Результаты'!$AV$236)</f>
        <v>0</v>
      </c>
      <c r="O80" s="361">
        <f>Результаты!$AX$236</f>
        <v>-877894</v>
      </c>
    </row>
    <row r="81" spans="1:15" ht="12.95" customHeight="1" x14ac:dyDescent="0.2">
      <c r="A81" s="347" t="str">
        <f ca="1">Результаты!$A$237</f>
        <v>Учет продленной стоимости</v>
      </c>
      <c r="B81" s="215" t="str">
        <f ca="1">Результаты!$B$237</f>
        <v>Нет</v>
      </c>
      <c r="C81" s="353" t="str">
        <f ca="1">Результаты!$C$237</f>
        <v>тыс. руб.</v>
      </c>
      <c r="D81" s="360">
        <f ca="1">SUM(Результаты!$G$237:'Результаты'!$H$237)</f>
        <v>0</v>
      </c>
      <c r="E81" s="360">
        <f ca="1">SUM(Результаты!$I$237:'Результаты'!$L$237)</f>
        <v>0</v>
      </c>
      <c r="F81" s="360">
        <f ca="1">SUM(Результаты!$M$237:'Результаты'!$P$237)</f>
        <v>0</v>
      </c>
      <c r="G81" s="360">
        <f ca="1">SUM(Результаты!$Q$237:'Результаты'!$T$237)</f>
        <v>0</v>
      </c>
      <c r="H81" s="360">
        <f ca="1">SUM(Результаты!$U$237:'Результаты'!$X$237)</f>
        <v>0</v>
      </c>
      <c r="I81" s="360">
        <f ca="1">SUM(Результаты!$Y$237:'Результаты'!$AB$237)</f>
        <v>0</v>
      </c>
      <c r="J81" s="360">
        <f ca="1">SUM(Результаты!$AC$237:'Результаты'!$AF$237)</f>
        <v>0</v>
      </c>
      <c r="K81" s="360">
        <f ca="1">SUM(Результаты!$AG$237:'Результаты'!$AJ$237)</f>
        <v>0</v>
      </c>
      <c r="L81" s="360">
        <f ca="1">SUM(Результаты!$AK$237:'Результаты'!$AN$237)</f>
        <v>0</v>
      </c>
      <c r="M81" s="360">
        <f ca="1">SUM(Результаты!$AO$237:'Результаты'!$AR$237)</f>
        <v>0</v>
      </c>
      <c r="N81" s="360">
        <f ca="1">SUM(Результаты!$AS$237:'Результаты'!$AV$237)</f>
        <v>6481698.2668591393</v>
      </c>
      <c r="O81" s="361">
        <f ca="1">Результаты!$AX$237</f>
        <v>6481698.2668591393</v>
      </c>
    </row>
    <row r="82" spans="1:15" ht="12.95" customHeight="1" x14ac:dyDescent="0.2">
      <c r="A82" s="363" t="str">
        <f ca="1">Результаты!$A$239</f>
        <v>Денежный поток для расчета эффективности</v>
      </c>
      <c r="B82" s="271"/>
      <c r="C82" s="346" t="str">
        <f ca="1">Результаты!$C$239</f>
        <v>тыс. руб.</v>
      </c>
      <c r="D82" s="364">
        <f ca="1">SUM(Результаты!$G$239:'Результаты'!$H$239)</f>
        <v>-803957.88906041859</v>
      </c>
      <c r="E82" s="364">
        <f ca="1">SUM(Результаты!$I$239:'Результаты'!$L$239)</f>
        <v>381075.79254571034</v>
      </c>
      <c r="F82" s="364">
        <f ca="1">SUM(Результаты!$M$239:'Результаты'!$P$239)</f>
        <v>502149.06674178992</v>
      </c>
      <c r="G82" s="364">
        <f ca="1">SUM(Результаты!$Q$239:'Результаты'!$T$239)</f>
        <v>657586.39757522952</v>
      </c>
      <c r="H82" s="364">
        <f ca="1">SUM(Результаты!$U$239:'Результаты'!$X$239)</f>
        <v>308663.00519139692</v>
      </c>
      <c r="I82" s="364">
        <f ca="1">SUM(Результаты!$Y$239:'Результаты'!$AB$239)</f>
        <v>306171.61681357224</v>
      </c>
      <c r="J82" s="364">
        <f ca="1">SUM(Результаты!$AC$239:'Результаты'!$AF$239)</f>
        <v>305452.4313485754</v>
      </c>
      <c r="K82" s="364">
        <f ca="1">SUM(Результаты!$AG$239:'Результаты'!$AJ$239)</f>
        <v>298774.6153415257</v>
      </c>
      <c r="L82" s="364">
        <f ca="1">SUM(Результаты!$AK$239:'Результаты'!$AN$239)</f>
        <v>725750.50389222323</v>
      </c>
      <c r="M82" s="364">
        <f ca="1">SUM(Результаты!$AO$239:'Результаты'!$AR$239)</f>
        <v>1076418.1158840256</v>
      </c>
      <c r="N82" s="364">
        <f ca="1">SUM(Результаты!$AS$239:'Результаты'!$AV$239)</f>
        <v>1040665.4130175953</v>
      </c>
      <c r="O82" s="364">
        <f ca="1">Результаты!$AX$239</f>
        <v>4798749.0692912247</v>
      </c>
    </row>
    <row r="83" spans="1:15" ht="12.95" customHeight="1" x14ac:dyDescent="0.2">
      <c r="A83" s="347" t="str">
        <f ca="1">Результаты!$A$240</f>
        <v>Дисконтированный денежный поток</v>
      </c>
      <c r="B83" s="215"/>
      <c r="C83" s="353" t="str">
        <f ca="1">Результаты!$C$240</f>
        <v>тыс. руб.</v>
      </c>
      <c r="D83" s="360">
        <f ca="1">SUM(Результаты!$G$240:'Результаты'!$H$240)</f>
        <v>-803638.60615474335</v>
      </c>
      <c r="E83" s="360">
        <f ca="1">SUM(Результаты!$I$240:'Результаты'!$L$240)</f>
        <v>318950.91471971408</v>
      </c>
      <c r="F83" s="360">
        <f ca="1">SUM(Результаты!$M$240:'Результаты'!$P$240)</f>
        <v>348609.13800742244</v>
      </c>
      <c r="G83" s="360">
        <f ca="1">SUM(Результаты!$Q$240:'Результаты'!$T$240)</f>
        <v>383493.34961300856</v>
      </c>
      <c r="H83" s="360">
        <f ca="1">SUM(Результаты!$U$240:'Результаты'!$X$240)</f>
        <v>150921.26660831369</v>
      </c>
      <c r="I83" s="360">
        <f ca="1">SUM(Результаты!$Y$240:'Результаты'!$AB$240)</f>
        <v>124815.90225415792</v>
      </c>
      <c r="J83" s="360">
        <f ca="1">SUM(Результаты!$AC$240:'Результаты'!$AF$240)</f>
        <v>103694.70551853999</v>
      </c>
      <c r="K83" s="360">
        <f ca="1">SUM(Результаты!$AG$240:'Результаты'!$AJ$240)</f>
        <v>84468.643421430243</v>
      </c>
      <c r="L83" s="360">
        <f ca="1">SUM(Результаты!$AK$240:'Результаты'!$AN$240)</f>
        <v>167285.32510710499</v>
      </c>
      <c r="M83" s="360">
        <f ca="1">SUM(Результаты!$AO$240:'Результаты'!$AR$240)</f>
        <v>210789.70196951617</v>
      </c>
      <c r="N83" s="360">
        <f ca="1">SUM(Результаты!$AS$240:'Результаты'!$AV$240)</f>
        <v>169704.62086118635</v>
      </c>
      <c r="O83" s="361">
        <f ca="1">Результаты!$AX$240</f>
        <v>1259094.9619256512</v>
      </c>
    </row>
    <row r="84" spans="1:15" ht="12.95" customHeight="1" x14ac:dyDescent="0.2">
      <c r="A84" s="347" t="str">
        <f ca="1">Результаты!$A$241</f>
        <v>Дисконтированный поток нарастающим итогом</v>
      </c>
      <c r="B84" s="215"/>
      <c r="C84" s="353" t="str">
        <f ca="1">Результаты!$C$241</f>
        <v>тыс. руб.</v>
      </c>
      <c r="D84" s="360">
        <f ca="1">Результаты!$H$241</f>
        <v>-803638.60615474335</v>
      </c>
      <c r="E84" s="360">
        <f ca="1">Результаты!$L$241</f>
        <v>-484687.69143502926</v>
      </c>
      <c r="F84" s="360">
        <f ca="1">Результаты!$P$241</f>
        <v>-136078.55342760688</v>
      </c>
      <c r="G84" s="360">
        <f ca="1">Результаты!$T$241</f>
        <v>247414.79618540168</v>
      </c>
      <c r="H84" s="360">
        <f ca="1">Результаты!$X$241</f>
        <v>398336.06279371539</v>
      </c>
      <c r="I84" s="360">
        <f ca="1">Результаты!$AB$241</f>
        <v>523151.96504787332</v>
      </c>
      <c r="J84" s="360">
        <f ca="1">Результаты!$AF$241</f>
        <v>626846.67056641344</v>
      </c>
      <c r="K84" s="360">
        <f ca="1">Результаты!$AJ$241</f>
        <v>711315.31398784358</v>
      </c>
      <c r="L84" s="360">
        <f ca="1">Результаты!$AN$241</f>
        <v>878600.63909494854</v>
      </c>
      <c r="M84" s="360">
        <f ca="1">Результаты!$AR$241</f>
        <v>1089390.3410644648</v>
      </c>
      <c r="N84" s="360">
        <f ca="1">Результаты!$AV$241</f>
        <v>1259094.9619256512</v>
      </c>
      <c r="O84" s="356"/>
    </row>
    <row r="85" spans="1:15" ht="12.95" customHeight="1" x14ac:dyDescent="0.2">
      <c r="A85" s="362"/>
      <c r="B85" s="215"/>
      <c r="C85" s="353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56"/>
    </row>
    <row r="86" spans="1:15" ht="12.95" customHeight="1" x14ac:dyDescent="0.2">
      <c r="A86" s="363" t="str">
        <f ca="1">Результаты!$A$243</f>
        <v>Чистая приведенная стоимость, NPV</v>
      </c>
      <c r="B86" s="271">
        <f ca="1">Результаты!$B$243</f>
        <v>1259094.9619256512</v>
      </c>
      <c r="C86" s="353" t="str">
        <f ca="1">Результаты!$C$243</f>
        <v>тыс. руб.</v>
      </c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56"/>
    </row>
    <row r="87" spans="1:15" ht="12.95" customHeight="1" x14ac:dyDescent="0.2">
      <c r="A87" s="347"/>
      <c r="B87" s="350"/>
      <c r="C87" s="353"/>
      <c r="D87" s="360"/>
      <c r="E87" s="360"/>
      <c r="F87" s="360"/>
      <c r="G87" s="360"/>
      <c r="H87" s="360"/>
      <c r="I87" s="360"/>
      <c r="J87" s="360"/>
      <c r="K87" s="360"/>
      <c r="L87" s="360"/>
      <c r="M87" s="360"/>
      <c r="N87" s="360"/>
      <c r="O87" s="356"/>
    </row>
    <row r="88" spans="1:15" ht="12.95" customHeight="1" x14ac:dyDescent="0.2">
      <c r="A88" s="363" t="str">
        <f ca="1">Результаты!$A$245</f>
        <v>Внутренняя норма рентабельности, IRR</v>
      </c>
      <c r="B88" s="379">
        <f ca="1">Результаты!$B$245</f>
        <v>0.56423889549121919</v>
      </c>
      <c r="C88" s="353" t="str">
        <f>Результаты!$C$245</f>
        <v>%</v>
      </c>
      <c r="D88" s="380" t="str">
        <f ca="1">Результаты!$G$245</f>
        <v>(с учетом инфляции, номинальная)</v>
      </c>
      <c r="E88" s="356"/>
      <c r="F88" s="356"/>
      <c r="G88" s="356"/>
      <c r="H88" s="356"/>
      <c r="I88" s="356"/>
      <c r="J88" s="356"/>
      <c r="K88" s="356"/>
      <c r="L88" s="356"/>
      <c r="M88" s="356"/>
      <c r="N88" s="356"/>
      <c r="O88" s="356"/>
    </row>
    <row r="89" spans="1:15" ht="12.95" customHeight="1" x14ac:dyDescent="0.2">
      <c r="A89" s="363"/>
      <c r="B89" s="379"/>
      <c r="C89" s="353"/>
      <c r="D89" s="380"/>
      <c r="E89" s="356"/>
      <c r="F89" s="356"/>
      <c r="G89" s="356"/>
      <c r="H89" s="356"/>
      <c r="I89" s="356"/>
      <c r="J89" s="356"/>
      <c r="K89" s="356"/>
      <c r="L89" s="356"/>
      <c r="M89" s="356"/>
      <c r="N89" s="356"/>
      <c r="O89" s="356"/>
    </row>
    <row r="90" spans="1:15" ht="12.95" customHeight="1" x14ac:dyDescent="0.2">
      <c r="A90" s="347" t="str">
        <f ca="1">Результаты!$A$250</f>
        <v>Модифицированная IRR, MIRR</v>
      </c>
      <c r="B90" s="381">
        <f ca="1">Результаты!$B$250</f>
        <v>0.31559128223573785</v>
      </c>
      <c r="C90" s="353" t="str">
        <f>Результаты!$C$250</f>
        <v>%</v>
      </c>
      <c r="D90" s="380" t="str">
        <f ca="1">Результаты!$G$250</f>
        <v>(с учетом инфляции, номинальная)</v>
      </c>
      <c r="E90" s="356"/>
      <c r="F90" s="356"/>
      <c r="G90" s="356"/>
      <c r="H90" s="356"/>
      <c r="I90" s="356"/>
      <c r="J90" s="356"/>
      <c r="K90" s="356"/>
      <c r="L90" s="356"/>
      <c r="M90" s="356"/>
      <c r="N90" s="356"/>
      <c r="O90" s="356"/>
    </row>
    <row r="91" spans="1:15" ht="12.95" customHeight="1" x14ac:dyDescent="0.2">
      <c r="A91" s="347"/>
      <c r="B91" s="350"/>
      <c r="C91" s="353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</row>
    <row r="92" spans="1:15" ht="12.95" customHeight="1" x14ac:dyDescent="0.2">
      <c r="A92" s="363" t="str">
        <f ca="1">Результаты!$A$254</f>
        <v>Дисконтированный срок окупаемости, PBP</v>
      </c>
      <c r="B92" s="276">
        <f ca="1">Результаты!$B$254</f>
        <v>3.0086844368229078</v>
      </c>
      <c r="C92" s="353" t="str">
        <f ca="1">Результаты!$C$254</f>
        <v>лет</v>
      </c>
      <c r="D92" s="35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356"/>
    </row>
    <row r="93" spans="1:15" ht="12.95" customHeight="1" x14ac:dyDescent="0.2">
      <c r="A93" s="347"/>
      <c r="B93" s="280"/>
      <c r="C93" s="353"/>
      <c r="D93" s="382"/>
      <c r="E93" s="382"/>
      <c r="F93" s="382"/>
      <c r="G93" s="382"/>
      <c r="H93" s="382"/>
      <c r="I93" s="382"/>
      <c r="J93" s="382"/>
      <c r="K93" s="382"/>
      <c r="L93" s="382"/>
      <c r="M93" s="382"/>
      <c r="N93" s="382"/>
      <c r="O93" s="361"/>
    </row>
    <row r="94" spans="1:15" ht="12.95" customHeight="1" x14ac:dyDescent="0.2">
      <c r="A94" s="347" t="str">
        <f ca="1">Результаты!$A$258</f>
        <v>Простой срок окупаемости</v>
      </c>
      <c r="B94" s="276">
        <f ca="1">Результаты!$B$258</f>
        <v>2.3875799137667117</v>
      </c>
      <c r="C94" s="353" t="str">
        <f ca="1">Результаты!$C$258</f>
        <v>лет</v>
      </c>
      <c r="D94" s="356"/>
      <c r="E94" s="356"/>
      <c r="F94" s="356"/>
      <c r="G94" s="356"/>
      <c r="H94" s="356"/>
      <c r="I94" s="356"/>
      <c r="J94" s="356"/>
      <c r="K94" s="356"/>
      <c r="L94" s="356"/>
      <c r="M94" s="356"/>
      <c r="N94" s="356"/>
      <c r="O94" s="356"/>
    </row>
    <row r="95" spans="1:15" ht="12.95" customHeight="1" x14ac:dyDescent="0.2">
      <c r="A95" s="347"/>
      <c r="B95" s="280"/>
      <c r="C95" s="353"/>
      <c r="D95" s="382"/>
      <c r="E95" s="382"/>
      <c r="F95" s="382"/>
      <c r="G95" s="382"/>
      <c r="H95" s="382"/>
      <c r="I95" s="382"/>
      <c r="J95" s="382"/>
      <c r="K95" s="382"/>
      <c r="L95" s="382"/>
      <c r="M95" s="382"/>
      <c r="N95" s="382"/>
      <c r="O95" s="383"/>
    </row>
    <row r="96" spans="1:15" ht="12.95" customHeight="1" x14ac:dyDescent="0.2">
      <c r="A96" s="347" t="str">
        <f ca="1">Результаты!$A$263</f>
        <v>Норма доходности дисконтированных затрат (PI)</v>
      </c>
      <c r="B96" s="280">
        <f ca="1">Результаты!$B$263</f>
        <v>2.5667427526287949</v>
      </c>
      <c r="C96" s="353" t="str">
        <f ca="1">Результаты!$C$263</f>
        <v>раз</v>
      </c>
      <c r="D96" s="360"/>
      <c r="E96" s="360"/>
      <c r="F96" s="360"/>
      <c r="G96" s="360"/>
      <c r="H96" s="360"/>
      <c r="I96" s="360"/>
      <c r="J96" s="360"/>
      <c r="K96" s="360"/>
      <c r="L96" s="360"/>
      <c r="M96" s="360"/>
      <c r="N96" s="360"/>
      <c r="O96" s="383"/>
    </row>
    <row r="97" spans="1:15" ht="12.95" customHeight="1" x14ac:dyDescent="0.2">
      <c r="A97" s="375"/>
      <c r="B97" s="376"/>
      <c r="C97" s="377"/>
      <c r="D97" s="378"/>
      <c r="E97" s="378"/>
      <c r="F97" s="378"/>
      <c r="G97" s="378"/>
      <c r="H97" s="378"/>
      <c r="I97" s="378"/>
      <c r="J97" s="378"/>
      <c r="K97" s="378"/>
      <c r="L97" s="378"/>
      <c r="M97" s="378"/>
      <c r="N97" s="378"/>
      <c r="O97" s="378"/>
    </row>
  </sheetData>
  <pageMargins left="0.39370078740157483" right="0.19685039370078741" top="0.39370078740157483" bottom="0.39370078740157483" header="0.19685039370078741" footer="0.19685039370078741"/>
  <pageSetup paperSize="9" pageOrder="overThenDown" orientation="landscape" r:id="rId1"/>
  <headerFooter>
    <oddHeader>&amp;LАльт-Инвест&amp;R&amp;D &amp;T</oddHeader>
    <oddFooter>&amp;L&amp;Z&amp;F&amp;RСтр. &amp;P из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outlinePr summaryBelow="0" summaryRight="0"/>
  </sheetPr>
  <dimension ref="A1:D1458"/>
  <sheetViews>
    <sheetView topLeftCell="A1297" workbookViewId="0">
      <selection activeCell="C1338" sqref="C1338"/>
    </sheetView>
  </sheetViews>
  <sheetFormatPr defaultRowHeight="12.75" x14ac:dyDescent="0.2"/>
  <cols>
    <col min="1" max="4" width="50.7109375" customWidth="1"/>
  </cols>
  <sheetData>
    <row r="1" spans="1:4" x14ac:dyDescent="0.2">
      <c r="A1" s="13" t="s">
        <v>951</v>
      </c>
      <c r="B1" s="7">
        <v>1049</v>
      </c>
      <c r="C1" s="7">
        <v>1033</v>
      </c>
      <c r="D1" s="7">
        <v>0</v>
      </c>
    </row>
    <row r="2" spans="1:4" x14ac:dyDescent="0.2">
      <c r="A2" s="13" t="s">
        <v>113</v>
      </c>
      <c r="B2" s="5" t="s">
        <v>15</v>
      </c>
      <c r="C2" s="5" t="s">
        <v>37</v>
      </c>
      <c r="D2" s="5" t="s">
        <v>38</v>
      </c>
    </row>
    <row r="3" spans="1:4" x14ac:dyDescent="0.2">
      <c r="A3" s="4" t="s">
        <v>108</v>
      </c>
      <c r="B3" s="4"/>
      <c r="C3" s="4"/>
      <c r="D3" s="4"/>
    </row>
    <row r="4" spans="1:4" x14ac:dyDescent="0.2">
      <c r="A4" t="str">
        <f t="shared" ref="A4:A67" ca="1" si="0">OFFSET(A4,0,Prj_Language)</f>
        <v>Альт-Инвест</v>
      </c>
      <c r="B4" t="s">
        <v>51</v>
      </c>
      <c r="C4" t="s">
        <v>143</v>
      </c>
    </row>
    <row r="5" spans="1:4" x14ac:dyDescent="0.2">
      <c r="A5" t="str">
        <f t="shared" ca="1" si="0"/>
        <v xml:space="preserve"> Демо</v>
      </c>
      <c r="B5" t="s">
        <v>1535</v>
      </c>
      <c r="C5" t="s">
        <v>1536</v>
      </c>
    </row>
    <row r="6" spans="1:4" x14ac:dyDescent="0.2">
      <c r="A6" s="24" t="str">
        <f t="shared" ca="1" si="0"/>
        <v>Русский</v>
      </c>
      <c r="B6" s="2" t="s">
        <v>15</v>
      </c>
      <c r="C6" t="s">
        <v>148</v>
      </c>
    </row>
    <row r="7" spans="1:4" x14ac:dyDescent="0.2">
      <c r="A7" t="str">
        <f t="shared" ca="1" si="0"/>
        <v>Английский</v>
      </c>
      <c r="B7" s="2" t="s">
        <v>106</v>
      </c>
      <c r="C7" t="s">
        <v>37</v>
      </c>
    </row>
    <row r="8" spans="1:4" x14ac:dyDescent="0.2">
      <c r="A8" t="str">
        <f t="shared" ca="1" si="0"/>
        <v>Немецкий</v>
      </c>
      <c r="B8" s="2" t="s">
        <v>107</v>
      </c>
      <c r="C8" t="s">
        <v>149</v>
      </c>
    </row>
    <row r="9" spans="1:4" x14ac:dyDescent="0.2">
      <c r="A9">
        <f t="shared" ca="1" si="0"/>
        <v>0</v>
      </c>
      <c r="B9" s="2"/>
    </row>
    <row r="10" spans="1:4" x14ac:dyDescent="0.2">
      <c r="A10">
        <f t="shared" ca="1" si="0"/>
        <v>0</v>
      </c>
      <c r="B10" s="2"/>
    </row>
    <row r="11" spans="1:4" x14ac:dyDescent="0.2">
      <c r="A11">
        <f t="shared" ca="1" si="0"/>
        <v>0</v>
      </c>
      <c r="B11" s="2"/>
    </row>
    <row r="12" spans="1:4" x14ac:dyDescent="0.2">
      <c r="A12">
        <f ca="1">OFFSET(A12,0,Prj_Language)</f>
        <v>0</v>
      </c>
    </row>
    <row r="13" spans="1:4" x14ac:dyDescent="0.2">
      <c r="A13">
        <f t="shared" ca="1" si="0"/>
        <v>0</v>
      </c>
      <c r="B13" s="2"/>
    </row>
    <row r="14" spans="1:4" x14ac:dyDescent="0.2">
      <c r="A14">
        <f t="shared" ca="1" si="0"/>
        <v>0</v>
      </c>
      <c r="B14" s="2"/>
    </row>
    <row r="15" spans="1:4" x14ac:dyDescent="0.2">
      <c r="A15" s="24" t="str">
        <f t="shared" ca="1" si="0"/>
        <v>Параметры</v>
      </c>
      <c r="B15" t="s">
        <v>87</v>
      </c>
      <c r="C15" t="s">
        <v>118</v>
      </c>
    </row>
    <row r="16" spans="1:4" x14ac:dyDescent="0.2">
      <c r="A16" t="str">
        <f t="shared" ca="1" si="0"/>
        <v>Старт</v>
      </c>
      <c r="B16" t="s">
        <v>88</v>
      </c>
      <c r="C16" t="s">
        <v>119</v>
      </c>
    </row>
    <row r="17" spans="1:3" x14ac:dyDescent="0.2">
      <c r="A17" t="str">
        <f t="shared" ca="1" si="0"/>
        <v>Проект</v>
      </c>
      <c r="B17" t="s">
        <v>948</v>
      </c>
      <c r="C17" t="s">
        <v>120</v>
      </c>
    </row>
    <row r="18" spans="1:3" x14ac:dyDescent="0.2">
      <c r="A18" t="str">
        <f t="shared" ca="1" si="0"/>
        <v>Результаты</v>
      </c>
      <c r="B18" t="s">
        <v>89</v>
      </c>
      <c r="C18" t="s">
        <v>121</v>
      </c>
    </row>
    <row r="19" spans="1:3" x14ac:dyDescent="0.2">
      <c r="A19" t="str">
        <f t="shared" ca="1" si="0"/>
        <v>Сценарии</v>
      </c>
      <c r="B19" t="s">
        <v>90</v>
      </c>
      <c r="C19" t="s">
        <v>1387</v>
      </c>
    </row>
    <row r="20" spans="1:3" x14ac:dyDescent="0.2">
      <c r="A20" t="str">
        <f t="shared" ca="1" si="0"/>
        <v>Графики</v>
      </c>
      <c r="B20" t="s">
        <v>91</v>
      </c>
      <c r="C20" t="s">
        <v>122</v>
      </c>
    </row>
    <row r="21" spans="1:3" x14ac:dyDescent="0.2">
      <c r="A21" t="str">
        <f t="shared" ca="1" si="0"/>
        <v>Отчет</v>
      </c>
      <c r="B21" t="s">
        <v>92</v>
      </c>
      <c r="C21" t="s">
        <v>123</v>
      </c>
    </row>
    <row r="22" spans="1:3" x14ac:dyDescent="0.2">
      <c r="A22">
        <f t="shared" ca="1" si="0"/>
        <v>0</v>
      </c>
      <c r="B22" s="2"/>
    </row>
    <row r="23" spans="1:3" x14ac:dyDescent="0.2">
      <c r="A23">
        <f t="shared" ca="1" si="0"/>
        <v>0</v>
      </c>
    </row>
    <row r="24" spans="1:3" x14ac:dyDescent="0.2">
      <c r="A24">
        <f t="shared" ca="1" si="0"/>
        <v>0</v>
      </c>
    </row>
    <row r="25" spans="1:3" x14ac:dyDescent="0.2">
      <c r="A25" s="24" t="str">
        <f t="shared" ca="1" si="0"/>
        <v>Изменить</v>
      </c>
      <c r="B25" t="s">
        <v>124</v>
      </c>
      <c r="C25" t="s">
        <v>125</v>
      </c>
    </row>
    <row r="26" spans="1:3" x14ac:dyDescent="0.2">
      <c r="A26" t="str">
        <f t="shared" ca="1" si="0"/>
        <v>Настроить</v>
      </c>
      <c r="B26" t="s">
        <v>880</v>
      </c>
      <c r="C26" t="s">
        <v>881</v>
      </c>
    </row>
    <row r="27" spans="1:3" x14ac:dyDescent="0.2">
      <c r="A27" t="str">
        <f t="shared" ca="1" si="0"/>
        <v>Пересчитать</v>
      </c>
      <c r="B27" t="s">
        <v>855</v>
      </c>
      <c r="C27" t="s">
        <v>882</v>
      </c>
    </row>
    <row r="28" spans="1:3" x14ac:dyDescent="0.2">
      <c r="A28" t="str">
        <f t="shared" ca="1" si="0"/>
        <v>Составить отчет…</v>
      </c>
      <c r="B28" t="s">
        <v>277</v>
      </c>
      <c r="C28" t="s">
        <v>380</v>
      </c>
    </row>
    <row r="29" spans="1:3" x14ac:dyDescent="0.2">
      <c r="A29" t="str">
        <f t="shared" ca="1" si="0"/>
        <v>Печать…</v>
      </c>
      <c r="B29" t="s">
        <v>278</v>
      </c>
      <c r="C29" t="s">
        <v>381</v>
      </c>
    </row>
    <row r="30" spans="1:3" x14ac:dyDescent="0.2">
      <c r="A30" t="str">
        <f t="shared" ca="1" si="0"/>
        <v>Экспорт в новый файл MS Excel…</v>
      </c>
      <c r="B30" t="s">
        <v>279</v>
      </c>
      <c r="C30" t="s">
        <v>468</v>
      </c>
    </row>
    <row r="31" spans="1:3" x14ac:dyDescent="0.2">
      <c r="A31">
        <f t="shared" ca="1" si="0"/>
        <v>0</v>
      </c>
    </row>
    <row r="32" spans="1:3" x14ac:dyDescent="0.2">
      <c r="A32">
        <f t="shared" ca="1" si="0"/>
        <v>0</v>
      </c>
    </row>
    <row r="33" spans="1:3" x14ac:dyDescent="0.2">
      <c r="A33">
        <f t="shared" ca="1" si="0"/>
        <v>0</v>
      </c>
    </row>
    <row r="34" spans="1:3" x14ac:dyDescent="0.2">
      <c r="A34">
        <f t="shared" ca="1" si="0"/>
        <v>0</v>
      </c>
    </row>
    <row r="35" spans="1:3" x14ac:dyDescent="0.2">
      <c r="A35">
        <f t="shared" ca="1" si="0"/>
        <v>0</v>
      </c>
    </row>
    <row r="36" spans="1:3" x14ac:dyDescent="0.2">
      <c r="A36">
        <f t="shared" ca="1" si="0"/>
        <v>0</v>
      </c>
    </row>
    <row r="37" spans="1:3" x14ac:dyDescent="0.2">
      <c r="A37">
        <f t="shared" ca="1" si="0"/>
        <v>0</v>
      </c>
    </row>
    <row r="38" spans="1:3" x14ac:dyDescent="0.2">
      <c r="A38">
        <f t="shared" ca="1" si="0"/>
        <v>0</v>
      </c>
    </row>
    <row r="39" spans="1:3" x14ac:dyDescent="0.2">
      <c r="A39">
        <f t="shared" ca="1" si="0"/>
        <v>0</v>
      </c>
    </row>
    <row r="40" spans="1:3" x14ac:dyDescent="0.2">
      <c r="A40">
        <f t="shared" ca="1" si="0"/>
        <v>0</v>
      </c>
    </row>
    <row r="41" spans="1:3" x14ac:dyDescent="0.2">
      <c r="A41" s="24" t="str">
        <f t="shared" ca="1" si="0"/>
        <v>день</v>
      </c>
      <c r="B41" t="s">
        <v>800</v>
      </c>
      <c r="C41" t="s">
        <v>801</v>
      </c>
    </row>
    <row r="42" spans="1:3" x14ac:dyDescent="0.2">
      <c r="A42" t="str">
        <f t="shared" ca="1" si="0"/>
        <v>месяц</v>
      </c>
      <c r="B42" t="s">
        <v>543</v>
      </c>
      <c r="C42" t="s">
        <v>546</v>
      </c>
    </row>
    <row r="43" spans="1:3" x14ac:dyDescent="0.2">
      <c r="A43" t="str">
        <f t="shared" ca="1" si="0"/>
        <v>квартал</v>
      </c>
      <c r="B43" t="s">
        <v>544</v>
      </c>
      <c r="C43" t="s">
        <v>547</v>
      </c>
    </row>
    <row r="44" spans="1:3" x14ac:dyDescent="0.2">
      <c r="A44" t="str">
        <f t="shared" ca="1" si="0"/>
        <v>год</v>
      </c>
      <c r="B44" t="s">
        <v>545</v>
      </c>
      <c r="C44" t="s">
        <v>548</v>
      </c>
    </row>
    <row r="45" spans="1:3" x14ac:dyDescent="0.2">
      <c r="A45" t="str">
        <f t="shared" ca="1" si="0"/>
        <v>дн.</v>
      </c>
      <c r="B45" t="s">
        <v>168</v>
      </c>
      <c r="C45" t="s">
        <v>385</v>
      </c>
    </row>
    <row r="46" spans="1:3" x14ac:dyDescent="0.2">
      <c r="A46" t="str">
        <f t="shared" ca="1" si="0"/>
        <v>мес.</v>
      </c>
      <c r="B46" t="s">
        <v>56</v>
      </c>
      <c r="C46" t="s">
        <v>382</v>
      </c>
    </row>
    <row r="47" spans="1:3" x14ac:dyDescent="0.2">
      <c r="A47" t="str">
        <f t="shared" ca="1" si="0"/>
        <v>кв.</v>
      </c>
      <c r="B47" t="s">
        <v>167</v>
      </c>
      <c r="C47" t="s">
        <v>383</v>
      </c>
    </row>
    <row r="48" spans="1:3" x14ac:dyDescent="0.2">
      <c r="A48" t="str">
        <f t="shared" ca="1" si="0"/>
        <v>лет</v>
      </c>
      <c r="B48" t="s">
        <v>2</v>
      </c>
      <c r="C48" t="s">
        <v>384</v>
      </c>
    </row>
    <row r="49" spans="1:3" x14ac:dyDescent="0.2">
      <c r="A49">
        <f t="shared" ca="1" si="0"/>
        <v>0</v>
      </c>
    </row>
    <row r="50" spans="1:3" x14ac:dyDescent="0.2">
      <c r="A50">
        <f t="shared" ca="1" si="0"/>
        <v>0</v>
      </c>
    </row>
    <row r="51" spans="1:3" x14ac:dyDescent="0.2">
      <c r="A51" s="24" t="str">
        <f t="shared" ca="1" si="0"/>
        <v>Январь</v>
      </c>
      <c r="B51" t="s">
        <v>127</v>
      </c>
      <c r="C51" t="s">
        <v>150</v>
      </c>
    </row>
    <row r="52" spans="1:3" x14ac:dyDescent="0.2">
      <c r="A52" t="str">
        <f t="shared" ca="1" si="0"/>
        <v>Февраль</v>
      </c>
      <c r="B52" t="s">
        <v>128</v>
      </c>
      <c r="C52" t="s">
        <v>151</v>
      </c>
    </row>
    <row r="53" spans="1:3" x14ac:dyDescent="0.2">
      <c r="A53" t="str">
        <f t="shared" ca="1" si="0"/>
        <v>Март</v>
      </c>
      <c r="B53" t="s">
        <v>129</v>
      </c>
      <c r="C53" t="s">
        <v>152</v>
      </c>
    </row>
    <row r="54" spans="1:3" x14ac:dyDescent="0.2">
      <c r="A54" t="str">
        <f t="shared" ca="1" si="0"/>
        <v>Апрель</v>
      </c>
      <c r="B54" t="s">
        <v>130</v>
      </c>
      <c r="C54" t="s">
        <v>153</v>
      </c>
    </row>
    <row r="55" spans="1:3" x14ac:dyDescent="0.2">
      <c r="A55" t="str">
        <f t="shared" ca="1" si="0"/>
        <v>Май</v>
      </c>
      <c r="B55" t="s">
        <v>131</v>
      </c>
      <c r="C55" t="s">
        <v>154</v>
      </c>
    </row>
    <row r="56" spans="1:3" x14ac:dyDescent="0.2">
      <c r="A56" t="str">
        <f t="shared" ca="1" si="0"/>
        <v>Июнь</v>
      </c>
      <c r="B56" t="s">
        <v>132</v>
      </c>
      <c r="C56" t="s">
        <v>155</v>
      </c>
    </row>
    <row r="57" spans="1:3" x14ac:dyDescent="0.2">
      <c r="A57" t="str">
        <f t="shared" ca="1" si="0"/>
        <v>Июль</v>
      </c>
      <c r="B57" t="s">
        <v>133</v>
      </c>
      <c r="C57" t="s">
        <v>156</v>
      </c>
    </row>
    <row r="58" spans="1:3" x14ac:dyDescent="0.2">
      <c r="A58" t="str">
        <f t="shared" ca="1" si="0"/>
        <v>Август</v>
      </c>
      <c r="B58" t="s">
        <v>134</v>
      </c>
      <c r="C58" t="s">
        <v>157</v>
      </c>
    </row>
    <row r="59" spans="1:3" x14ac:dyDescent="0.2">
      <c r="A59" t="str">
        <f t="shared" ca="1" si="0"/>
        <v>Сентябрь</v>
      </c>
      <c r="B59" t="s">
        <v>135</v>
      </c>
      <c r="C59" t="s">
        <v>158</v>
      </c>
    </row>
    <row r="60" spans="1:3" x14ac:dyDescent="0.2">
      <c r="A60" t="str">
        <f t="shared" ca="1" si="0"/>
        <v>Октябрь</v>
      </c>
      <c r="B60" t="s">
        <v>136</v>
      </c>
      <c r="C60" t="s">
        <v>159</v>
      </c>
    </row>
    <row r="61" spans="1:3" x14ac:dyDescent="0.2">
      <c r="A61" t="str">
        <f t="shared" ca="1" si="0"/>
        <v>Ноябрь</v>
      </c>
      <c r="B61" t="s">
        <v>137</v>
      </c>
      <c r="C61" t="s">
        <v>160</v>
      </c>
    </row>
    <row r="62" spans="1:3" x14ac:dyDescent="0.2">
      <c r="A62" t="str">
        <f t="shared" ca="1" si="0"/>
        <v>Декабрь</v>
      </c>
      <c r="B62" t="s">
        <v>138</v>
      </c>
      <c r="C62" t="s">
        <v>161</v>
      </c>
    </row>
    <row r="63" spans="1:3" x14ac:dyDescent="0.2">
      <c r="A63" t="str">
        <f t="shared" ca="1" si="0"/>
        <v>янв</v>
      </c>
      <c r="B63" t="s">
        <v>171</v>
      </c>
      <c r="C63" t="s">
        <v>484</v>
      </c>
    </row>
    <row r="64" spans="1:3" x14ac:dyDescent="0.2">
      <c r="A64" t="str">
        <f t="shared" ca="1" si="0"/>
        <v>фев</v>
      </c>
      <c r="B64" t="s">
        <v>172</v>
      </c>
      <c r="C64" t="s">
        <v>485</v>
      </c>
    </row>
    <row r="65" spans="1:3" x14ac:dyDescent="0.2">
      <c r="A65" t="str">
        <f t="shared" ca="1" si="0"/>
        <v>мар</v>
      </c>
      <c r="B65" t="s">
        <v>173</v>
      </c>
      <c r="C65" t="s">
        <v>486</v>
      </c>
    </row>
    <row r="66" spans="1:3" x14ac:dyDescent="0.2">
      <c r="A66" t="str">
        <f t="shared" ca="1" si="0"/>
        <v>апр</v>
      </c>
      <c r="B66" t="s">
        <v>174</v>
      </c>
      <c r="C66" t="s">
        <v>487</v>
      </c>
    </row>
    <row r="67" spans="1:3" x14ac:dyDescent="0.2">
      <c r="A67" t="str">
        <f t="shared" ca="1" si="0"/>
        <v>май</v>
      </c>
      <c r="B67" t="s">
        <v>175</v>
      </c>
      <c r="C67" t="s">
        <v>154</v>
      </c>
    </row>
    <row r="68" spans="1:3" x14ac:dyDescent="0.2">
      <c r="A68" t="str">
        <f t="shared" ref="A68:A131" ca="1" si="1">OFFSET(A68,0,Prj_Language)</f>
        <v>июн</v>
      </c>
      <c r="B68" t="s">
        <v>176</v>
      </c>
      <c r="C68" t="s">
        <v>488</v>
      </c>
    </row>
    <row r="69" spans="1:3" x14ac:dyDescent="0.2">
      <c r="A69" t="str">
        <f t="shared" ca="1" si="1"/>
        <v>июл</v>
      </c>
      <c r="B69" t="s">
        <v>177</v>
      </c>
      <c r="C69" t="s">
        <v>489</v>
      </c>
    </row>
    <row r="70" spans="1:3" x14ac:dyDescent="0.2">
      <c r="A70" t="str">
        <f t="shared" ca="1" si="1"/>
        <v>авг</v>
      </c>
      <c r="B70" t="s">
        <v>178</v>
      </c>
      <c r="C70" t="s">
        <v>490</v>
      </c>
    </row>
    <row r="71" spans="1:3" x14ac:dyDescent="0.2">
      <c r="A71" t="str">
        <f t="shared" ca="1" si="1"/>
        <v>сен</v>
      </c>
      <c r="B71" t="s">
        <v>179</v>
      </c>
      <c r="C71" t="s">
        <v>491</v>
      </c>
    </row>
    <row r="72" spans="1:3" x14ac:dyDescent="0.2">
      <c r="A72" t="str">
        <f t="shared" ca="1" si="1"/>
        <v>окт</v>
      </c>
      <c r="B72" t="s">
        <v>180</v>
      </c>
      <c r="C72" t="s">
        <v>492</v>
      </c>
    </row>
    <row r="73" spans="1:3" x14ac:dyDescent="0.2">
      <c r="A73" t="str">
        <f t="shared" ca="1" si="1"/>
        <v>ноя</v>
      </c>
      <c r="B73" t="s">
        <v>181</v>
      </c>
      <c r="C73" t="s">
        <v>493</v>
      </c>
    </row>
    <row r="74" spans="1:3" x14ac:dyDescent="0.2">
      <c r="A74" t="str">
        <f t="shared" ca="1" si="1"/>
        <v>дек</v>
      </c>
      <c r="B74" t="s">
        <v>182</v>
      </c>
      <c r="C74" t="s">
        <v>494</v>
      </c>
    </row>
    <row r="75" spans="1:3" x14ac:dyDescent="0.2">
      <c r="A75" s="24" t="str">
        <f t="shared" ca="1" si="1"/>
        <v>Австралийские доллары</v>
      </c>
      <c r="B75" t="s">
        <v>184</v>
      </c>
      <c r="C75" t="s">
        <v>387</v>
      </c>
    </row>
    <row r="76" spans="1:3" x14ac:dyDescent="0.2">
      <c r="A76" t="str">
        <f t="shared" ca="1" si="1"/>
        <v>Венгерский форинт</v>
      </c>
      <c r="B76" t="s">
        <v>202</v>
      </c>
      <c r="C76" t="s">
        <v>388</v>
      </c>
    </row>
    <row r="77" spans="1:3" x14ac:dyDescent="0.2">
      <c r="A77" t="str">
        <f t="shared" ca="1" si="1"/>
        <v>Датские кроны</v>
      </c>
      <c r="B77" t="s">
        <v>185</v>
      </c>
      <c r="C77" t="s">
        <v>389</v>
      </c>
    </row>
    <row r="78" spans="1:3" x14ac:dyDescent="0.2">
      <c r="A78" t="str">
        <f t="shared" ca="1" si="1"/>
        <v>Доллары США</v>
      </c>
      <c r="B78" t="s">
        <v>186</v>
      </c>
      <c r="C78" t="s">
        <v>390</v>
      </c>
    </row>
    <row r="79" spans="1:3" x14ac:dyDescent="0.2">
      <c r="A79" t="str">
        <f t="shared" ca="1" si="1"/>
        <v>Евро</v>
      </c>
      <c r="B79" t="s">
        <v>183</v>
      </c>
      <c r="C79" t="s">
        <v>391</v>
      </c>
    </row>
    <row r="80" spans="1:3" x14ac:dyDescent="0.2">
      <c r="A80" t="str">
        <f t="shared" ca="1" si="1"/>
        <v>Индийские рупии</v>
      </c>
      <c r="B80" t="s">
        <v>187</v>
      </c>
      <c r="C80" t="s">
        <v>392</v>
      </c>
    </row>
    <row r="81" spans="1:3" x14ac:dyDescent="0.2">
      <c r="A81" t="str">
        <f t="shared" ca="1" si="1"/>
        <v>Казахские тенге</v>
      </c>
      <c r="B81" t="s">
        <v>188</v>
      </c>
      <c r="C81" t="s">
        <v>393</v>
      </c>
    </row>
    <row r="82" spans="1:3" x14ac:dyDescent="0.2">
      <c r="A82" t="str">
        <f t="shared" ca="1" si="1"/>
        <v>Канадские доллары</v>
      </c>
      <c r="B82" t="s">
        <v>189</v>
      </c>
      <c r="C82" t="s">
        <v>394</v>
      </c>
    </row>
    <row r="83" spans="1:3" x14ac:dyDescent="0.2">
      <c r="A83" t="str">
        <f t="shared" ca="1" si="1"/>
        <v>Китайские юани</v>
      </c>
      <c r="B83" t="s">
        <v>190</v>
      </c>
      <c r="C83" t="s">
        <v>395</v>
      </c>
    </row>
    <row r="84" spans="1:3" x14ac:dyDescent="0.2">
      <c r="A84" t="str">
        <f t="shared" ca="1" si="1"/>
        <v>Молдавские леи</v>
      </c>
      <c r="B84" t="s">
        <v>191</v>
      </c>
      <c r="C84" t="s">
        <v>396</v>
      </c>
    </row>
    <row r="85" spans="1:3" x14ac:dyDescent="0.2">
      <c r="A85" t="str">
        <f t="shared" ca="1" si="1"/>
        <v>Норвежские кроны</v>
      </c>
      <c r="B85" t="s">
        <v>192</v>
      </c>
      <c r="C85" t="s">
        <v>397</v>
      </c>
    </row>
    <row r="86" spans="1:3" x14ac:dyDescent="0.2">
      <c r="A86" t="str">
        <f t="shared" ca="1" si="1"/>
        <v>Польские злотые</v>
      </c>
      <c r="B86" t="s">
        <v>193</v>
      </c>
      <c r="C86" t="s">
        <v>398</v>
      </c>
    </row>
    <row r="87" spans="1:3" x14ac:dyDescent="0.2">
      <c r="A87" t="str">
        <f t="shared" ca="1" si="1"/>
        <v>Российские рубли</v>
      </c>
      <c r="B87" t="s">
        <v>200</v>
      </c>
      <c r="C87" t="s">
        <v>399</v>
      </c>
    </row>
    <row r="88" spans="1:3" x14ac:dyDescent="0.2">
      <c r="A88" t="str">
        <f t="shared" ca="1" si="1"/>
        <v>Румынский лей</v>
      </c>
      <c r="B88" t="s">
        <v>203</v>
      </c>
      <c r="C88" t="s">
        <v>400</v>
      </c>
    </row>
    <row r="89" spans="1:3" x14ac:dyDescent="0.2">
      <c r="A89" t="str">
        <f t="shared" ca="1" si="1"/>
        <v>Турецкие лиры</v>
      </c>
      <c r="B89" t="s">
        <v>194</v>
      </c>
      <c r="C89" t="s">
        <v>401</v>
      </c>
    </row>
    <row r="90" spans="1:3" x14ac:dyDescent="0.2">
      <c r="A90" t="str">
        <f t="shared" ca="1" si="1"/>
        <v>Украинские гривны</v>
      </c>
      <c r="B90" t="s">
        <v>195</v>
      </c>
      <c r="C90" t="s">
        <v>402</v>
      </c>
    </row>
    <row r="91" spans="1:3" x14ac:dyDescent="0.2">
      <c r="A91" t="str">
        <f t="shared" ca="1" si="1"/>
        <v>Фунты стерлингов</v>
      </c>
      <c r="B91" t="s">
        <v>196</v>
      </c>
      <c r="C91" t="s">
        <v>403</v>
      </c>
    </row>
    <row r="92" spans="1:3" x14ac:dyDescent="0.2">
      <c r="A92" t="str">
        <f t="shared" ca="1" si="1"/>
        <v>Чешские кроны</v>
      </c>
      <c r="B92" t="s">
        <v>197</v>
      </c>
      <c r="C92" t="s">
        <v>404</v>
      </c>
    </row>
    <row r="93" spans="1:3" x14ac:dyDescent="0.2">
      <c r="A93" t="str">
        <f t="shared" ca="1" si="1"/>
        <v>Швейцарские франки</v>
      </c>
      <c r="B93" t="s">
        <v>198</v>
      </c>
      <c r="C93" t="s">
        <v>405</v>
      </c>
    </row>
    <row r="94" spans="1:3" x14ac:dyDescent="0.2">
      <c r="A94" t="str">
        <f t="shared" ca="1" si="1"/>
        <v>Японские йены</v>
      </c>
      <c r="B94" t="s">
        <v>199</v>
      </c>
      <c r="C94" t="s">
        <v>406</v>
      </c>
    </row>
    <row r="95" spans="1:3" x14ac:dyDescent="0.2">
      <c r="A95" t="str">
        <f t="shared" ca="1" si="1"/>
        <v>AUD</v>
      </c>
      <c r="B95" t="s">
        <v>211</v>
      </c>
      <c r="C95" t="s">
        <v>211</v>
      </c>
    </row>
    <row r="96" spans="1:3" x14ac:dyDescent="0.2">
      <c r="A96" t="str">
        <f t="shared" ca="1" si="1"/>
        <v>HUF</v>
      </c>
      <c r="B96" t="s">
        <v>212</v>
      </c>
      <c r="C96" t="s">
        <v>212</v>
      </c>
    </row>
    <row r="97" spans="1:3" x14ac:dyDescent="0.2">
      <c r="A97" t="str">
        <f t="shared" ca="1" si="1"/>
        <v>DKK</v>
      </c>
      <c r="B97" t="s">
        <v>213</v>
      </c>
      <c r="C97" t="s">
        <v>213</v>
      </c>
    </row>
    <row r="98" spans="1:3" x14ac:dyDescent="0.2">
      <c r="A98" t="str">
        <f t="shared" ca="1" si="1"/>
        <v>$</v>
      </c>
      <c r="B98" t="s">
        <v>16</v>
      </c>
      <c r="C98" t="s">
        <v>16</v>
      </c>
    </row>
    <row r="99" spans="1:3" x14ac:dyDescent="0.2">
      <c r="A99" t="str">
        <f t="shared" ca="1" si="1"/>
        <v>EUR</v>
      </c>
      <c r="B99" t="s">
        <v>17</v>
      </c>
      <c r="C99" t="s">
        <v>17</v>
      </c>
    </row>
    <row r="100" spans="1:3" x14ac:dyDescent="0.2">
      <c r="A100" t="str">
        <f t="shared" ca="1" si="1"/>
        <v>INR</v>
      </c>
      <c r="B100" t="s">
        <v>214</v>
      </c>
      <c r="C100" t="s">
        <v>214</v>
      </c>
    </row>
    <row r="101" spans="1:3" x14ac:dyDescent="0.2">
      <c r="A101" t="str">
        <f t="shared" ca="1" si="1"/>
        <v>KZT</v>
      </c>
      <c r="B101" t="s">
        <v>215</v>
      </c>
      <c r="C101" t="s">
        <v>215</v>
      </c>
    </row>
    <row r="102" spans="1:3" x14ac:dyDescent="0.2">
      <c r="A102" t="str">
        <f t="shared" ca="1" si="1"/>
        <v>CAD</v>
      </c>
      <c r="B102" t="s">
        <v>216</v>
      </c>
      <c r="C102" t="s">
        <v>216</v>
      </c>
    </row>
    <row r="103" spans="1:3" x14ac:dyDescent="0.2">
      <c r="A103" t="str">
        <f t="shared" ca="1" si="1"/>
        <v>CNY</v>
      </c>
      <c r="B103" t="s">
        <v>217</v>
      </c>
      <c r="C103" t="s">
        <v>217</v>
      </c>
    </row>
    <row r="104" spans="1:3" x14ac:dyDescent="0.2">
      <c r="A104" t="str">
        <f t="shared" ca="1" si="1"/>
        <v>MDL</v>
      </c>
      <c r="B104" t="s">
        <v>218</v>
      </c>
      <c r="C104" t="s">
        <v>218</v>
      </c>
    </row>
    <row r="105" spans="1:3" x14ac:dyDescent="0.2">
      <c r="A105" t="str">
        <f t="shared" ca="1" si="1"/>
        <v>NOK</v>
      </c>
      <c r="B105" t="s">
        <v>219</v>
      </c>
      <c r="C105" t="s">
        <v>219</v>
      </c>
    </row>
    <row r="106" spans="1:3" x14ac:dyDescent="0.2">
      <c r="A106" t="str">
        <f t="shared" ca="1" si="1"/>
        <v>PLN</v>
      </c>
      <c r="B106" t="s">
        <v>220</v>
      </c>
      <c r="C106" t="s">
        <v>220</v>
      </c>
    </row>
    <row r="107" spans="1:3" x14ac:dyDescent="0.2">
      <c r="A107" t="str">
        <f t="shared" ca="1" si="1"/>
        <v>руб.</v>
      </c>
      <c r="B107" t="s">
        <v>221</v>
      </c>
      <c r="C107" t="s">
        <v>415</v>
      </c>
    </row>
    <row r="108" spans="1:3" x14ac:dyDescent="0.2">
      <c r="A108" t="str">
        <f t="shared" ca="1" si="1"/>
        <v>RON</v>
      </c>
      <c r="B108" t="s">
        <v>222</v>
      </c>
      <c r="C108" t="s">
        <v>222</v>
      </c>
    </row>
    <row r="109" spans="1:3" x14ac:dyDescent="0.2">
      <c r="A109" t="str">
        <f t="shared" ca="1" si="1"/>
        <v>TRY</v>
      </c>
      <c r="B109" t="s">
        <v>223</v>
      </c>
      <c r="C109" t="s">
        <v>223</v>
      </c>
    </row>
    <row r="110" spans="1:3" x14ac:dyDescent="0.2">
      <c r="A110" t="str">
        <f t="shared" ca="1" si="1"/>
        <v>грн.</v>
      </c>
      <c r="B110" t="s">
        <v>224</v>
      </c>
      <c r="C110" t="s">
        <v>419</v>
      </c>
    </row>
    <row r="111" spans="1:3" x14ac:dyDescent="0.2">
      <c r="A111" t="str">
        <f t="shared" ca="1" si="1"/>
        <v>GBP</v>
      </c>
      <c r="B111" t="s">
        <v>225</v>
      </c>
      <c r="C111" t="s">
        <v>225</v>
      </c>
    </row>
    <row r="112" spans="1:3" x14ac:dyDescent="0.2">
      <c r="A112" t="str">
        <f t="shared" ca="1" si="1"/>
        <v>CZK</v>
      </c>
      <c r="B112" t="s">
        <v>226</v>
      </c>
      <c r="C112" t="s">
        <v>226</v>
      </c>
    </row>
    <row r="113" spans="1:3" x14ac:dyDescent="0.2">
      <c r="A113" t="str">
        <f t="shared" ca="1" si="1"/>
        <v>CHF</v>
      </c>
      <c r="B113" t="s">
        <v>227</v>
      </c>
      <c r="C113" t="s">
        <v>227</v>
      </c>
    </row>
    <row r="114" spans="1:3" x14ac:dyDescent="0.2">
      <c r="A114" t="str">
        <f t="shared" ca="1" si="1"/>
        <v>JPY</v>
      </c>
      <c r="B114" t="s">
        <v>228</v>
      </c>
      <c r="C114" t="s">
        <v>228</v>
      </c>
    </row>
    <row r="115" spans="1:3" x14ac:dyDescent="0.2">
      <c r="A115" t="str">
        <f t="shared" ca="1" si="1"/>
        <v>тыс. ***</v>
      </c>
      <c r="B115" t="s">
        <v>229</v>
      </c>
      <c r="C115" t="s">
        <v>413</v>
      </c>
    </row>
    <row r="116" spans="1:3" x14ac:dyDescent="0.2">
      <c r="A116" t="str">
        <f t="shared" ca="1" si="1"/>
        <v>млн. ***</v>
      </c>
      <c r="B116" t="s">
        <v>230</v>
      </c>
      <c r="C116" t="s">
        <v>414</v>
      </c>
    </row>
    <row r="117" spans="1:3" x14ac:dyDescent="0.2">
      <c r="A117">
        <f t="shared" ca="1" si="1"/>
        <v>0</v>
      </c>
    </row>
    <row r="118" spans="1:3" x14ac:dyDescent="0.2">
      <c r="A118">
        <f t="shared" ca="1" si="1"/>
        <v>0</v>
      </c>
    </row>
    <row r="119" spans="1:3" x14ac:dyDescent="0.2">
      <c r="A119" t="str">
        <f t="shared" ca="1" si="1"/>
        <v>Закрыть</v>
      </c>
      <c r="B119" t="s">
        <v>256</v>
      </c>
      <c r="C119" t="s">
        <v>436</v>
      </c>
    </row>
    <row r="120" spans="1:3" x14ac:dyDescent="0.2">
      <c r="A120" t="str">
        <f t="shared" ca="1" si="1"/>
        <v>Отмена</v>
      </c>
      <c r="B120" t="s">
        <v>103</v>
      </c>
      <c r="C120" t="s">
        <v>144</v>
      </c>
    </row>
    <row r="121" spans="1:3" x14ac:dyDescent="0.2">
      <c r="A121" s="24" t="str">
        <f t="shared" ca="1" si="1"/>
        <v>Внешний вид модели</v>
      </c>
      <c r="B121" t="s">
        <v>109</v>
      </c>
      <c r="C121" t="s">
        <v>364</v>
      </c>
    </row>
    <row r="122" spans="1:3" x14ac:dyDescent="0.2">
      <c r="A122" t="str">
        <f t="shared" ca="1" si="1"/>
        <v>Язык интерфейса и отчетных форм</v>
      </c>
      <c r="B122" t="s">
        <v>110</v>
      </c>
      <c r="C122" t="s">
        <v>365</v>
      </c>
    </row>
    <row r="123" spans="1:3" x14ac:dyDescent="0.2">
      <c r="A123" t="str">
        <f t="shared" ca="1" si="1"/>
        <v>Цвета, используемые в модели</v>
      </c>
      <c r="B123" t="s">
        <v>111</v>
      </c>
      <c r="C123" t="s">
        <v>366</v>
      </c>
    </row>
    <row r="124" spans="1:3" x14ac:dyDescent="0.2">
      <c r="A124" t="str">
        <f t="shared" ca="1" si="1"/>
        <v>Загрузить готовый стиль оформления:</v>
      </c>
      <c r="B124" t="s">
        <v>115</v>
      </c>
      <c r="C124" t="s">
        <v>367</v>
      </c>
    </row>
    <row r="125" spans="1:3" x14ac:dyDescent="0.2">
      <c r="A125" t="str">
        <f t="shared" ca="1" si="1"/>
        <v>Цвет заголовков таблиц</v>
      </c>
      <c r="B125" t="s">
        <v>234</v>
      </c>
      <c r="C125" t="s">
        <v>368</v>
      </c>
    </row>
    <row r="126" spans="1:3" x14ac:dyDescent="0.2">
      <c r="A126" t="str">
        <f t="shared" ca="1" si="1"/>
        <v>Цвет заголовков таблиц (для инвестиционного периода)</v>
      </c>
      <c r="B126" t="s">
        <v>235</v>
      </c>
      <c r="C126" t="s">
        <v>422</v>
      </c>
    </row>
    <row r="127" spans="1:3" x14ac:dyDescent="0.2">
      <c r="A127" t="str">
        <f t="shared" ca="1" si="1"/>
        <v>Цвет редактируемых ячеек</v>
      </c>
      <c r="B127" t="s">
        <v>622</v>
      </c>
      <c r="C127" t="s">
        <v>369</v>
      </c>
    </row>
    <row r="128" spans="1:3" x14ac:dyDescent="0.2">
      <c r="A128" t="str">
        <f t="shared" ca="1" si="1"/>
        <v>Защитить модель от изменения…</v>
      </c>
      <c r="B128" t="s">
        <v>624</v>
      </c>
      <c r="C128" t="s">
        <v>1278</v>
      </c>
    </row>
    <row r="129" spans="1:3" x14ac:dyDescent="0.2">
      <c r="A129" t="str">
        <f t="shared" ca="1" si="1"/>
        <v>Снять защиту модели…</v>
      </c>
      <c r="B129" t="s">
        <v>625</v>
      </c>
      <c r="C129" t="s">
        <v>1279</v>
      </c>
    </row>
    <row r="130" spans="1:3" x14ac:dyDescent="0.2">
      <c r="A130" t="str">
        <f t="shared" ca="1" si="1"/>
        <v>Удалить из проекта макросы и формулы...</v>
      </c>
      <c r="B130" t="s">
        <v>112</v>
      </c>
      <c r="C130" t="s">
        <v>370</v>
      </c>
    </row>
    <row r="131" spans="1:3" x14ac:dyDescent="0.2">
      <c r="A131" t="str">
        <f t="shared" ca="1" si="1"/>
        <v>Стандартный</v>
      </c>
      <c r="B131" t="s">
        <v>116</v>
      </c>
      <c r="C131" t="s">
        <v>371</v>
      </c>
    </row>
    <row r="132" spans="1:3" x14ac:dyDescent="0.2">
      <c r="A132" t="str">
        <f t="shared" ref="A132:A195" ca="1" si="2">OFFSET(A132,0,Prj_Language)</f>
        <v>Синие заголовки, зеленые ячейки</v>
      </c>
      <c r="B132" t="s">
        <v>350</v>
      </c>
      <c r="C132" t="s">
        <v>372</v>
      </c>
    </row>
    <row r="133" spans="1:3" x14ac:dyDescent="0.2">
      <c r="A133" t="str">
        <f t="shared" ca="1" si="2"/>
        <v>Оттенки серого</v>
      </c>
      <c r="B133" t="s">
        <v>94</v>
      </c>
      <c r="C133" t="s">
        <v>373</v>
      </c>
    </row>
    <row r="134" spans="1:3" x14ac:dyDescent="0.2">
      <c r="A134" t="str">
        <f t="shared" ca="1" si="2"/>
        <v>Красные заголовки и розовые ячейки</v>
      </c>
      <c r="B134" t="s">
        <v>351</v>
      </c>
      <c r="C134" t="s">
        <v>374</v>
      </c>
    </row>
    <row r="135" spans="1:3" x14ac:dyDescent="0.2">
      <c r="A135" t="str">
        <f t="shared" ca="1" si="2"/>
        <v>Зеленые заголовки, выделить инвестиционную фазу</v>
      </c>
      <c r="B135" t="s">
        <v>623</v>
      </c>
      <c r="C135" t="s">
        <v>375</v>
      </c>
    </row>
    <row r="136" spans="1:3" x14ac:dyDescent="0.2">
      <c r="A136" t="str">
        <f t="shared" ca="1" si="2"/>
        <v>Синие заголовки, выделить инвестиционную фазу</v>
      </c>
      <c r="B136" t="s">
        <v>352</v>
      </c>
      <c r="C136" t="s">
        <v>376</v>
      </c>
    </row>
    <row r="137" spans="1:3" x14ac:dyDescent="0.2">
      <c r="A137" t="str">
        <f t="shared" ca="1" si="2"/>
        <v>Оттенки серого, выделить инвестиционную фазу</v>
      </c>
      <c r="B137" t="s">
        <v>353</v>
      </c>
      <c r="C137" t="s">
        <v>377</v>
      </c>
    </row>
    <row r="138" spans="1:3" x14ac:dyDescent="0.2">
      <c r="A138" t="str">
        <f t="shared" ca="1" si="2"/>
        <v>Красные заголовки, выделить инвестиционную фазу</v>
      </c>
      <c r="B138" t="s">
        <v>354</v>
      </c>
      <c r="C138" t="s">
        <v>378</v>
      </c>
    </row>
    <row r="139" spans="1:3" x14ac:dyDescent="0.2">
      <c r="A139" t="str">
        <f t="shared" ca="1" si="2"/>
        <v>Настройки пользователя</v>
      </c>
      <c r="B139" t="s">
        <v>114</v>
      </c>
      <c r="C139" t="s">
        <v>379</v>
      </c>
    </row>
    <row r="140" spans="1:3" x14ac:dyDescent="0.2">
      <c r="A140" t="str">
        <f t="shared" ca="1" si="2"/>
        <v>Установить защиту модели</v>
      </c>
      <c r="B140" t="s">
        <v>620</v>
      </c>
      <c r="C140" t="s">
        <v>1280</v>
      </c>
    </row>
    <row r="141" spans="1:3" x14ac:dyDescent="0.2">
      <c r="A141" t="str">
        <f t="shared" ca="1" si="2"/>
        <v>Снять защиту модели</v>
      </c>
      <c r="B141" t="s">
        <v>629</v>
      </c>
      <c r="C141" t="s">
        <v>1281</v>
      </c>
    </row>
    <row r="142" spans="1:3" x14ac:dyDescent="0.2">
      <c r="A142" t="str">
        <f t="shared" ca="1" si="2"/>
        <v>Пароль:</v>
      </c>
      <c r="B142" t="s">
        <v>104</v>
      </c>
      <c r="C142" t="s">
        <v>145</v>
      </c>
    </row>
    <row r="143" spans="1:3" x14ac:dyDescent="0.2">
      <c r="A143" t="str">
        <f t="shared" ca="1" si="2"/>
        <v>Подтверждение пароля:</v>
      </c>
      <c r="B143" t="s">
        <v>2168</v>
      </c>
      <c r="C143" t="s">
        <v>2167</v>
      </c>
    </row>
    <row r="144" spans="1:3" x14ac:dyDescent="0.2">
      <c r="A144" t="str">
        <f t="shared" ca="1" si="2"/>
        <v>Показывать вводимый текст</v>
      </c>
      <c r="B144" t="s">
        <v>105</v>
      </c>
      <c r="C144" t="s">
        <v>146</v>
      </c>
    </row>
    <row r="145" spans="1:3" x14ac:dyDescent="0.2">
      <c r="A145" t="str">
        <f t="shared" ca="1" si="2"/>
        <v>Не забудьте введенный пароль. Без него разблокировать модель будет невозможно!</v>
      </c>
      <c r="B145" s="22" t="s">
        <v>929</v>
      </c>
      <c r="C145" s="22" t="s">
        <v>147</v>
      </c>
    </row>
    <row r="146" spans="1:3" x14ac:dyDescent="0.2">
      <c r="A146" t="str">
        <f t="shared" ca="1" si="2"/>
        <v>Неправильный пароль.</v>
      </c>
      <c r="B146" t="s">
        <v>626</v>
      </c>
      <c r="C146" t="s">
        <v>627</v>
      </c>
    </row>
    <row r="147" spans="1:3" x14ac:dyDescent="0.2">
      <c r="A147" t="str">
        <f t="shared" ca="1" si="2"/>
        <v>Удалить макросы и формулы</v>
      </c>
      <c r="B147" t="s">
        <v>628</v>
      </c>
      <c r="C147" t="s">
        <v>927</v>
      </c>
    </row>
    <row r="148" spans="1:3" x14ac:dyDescent="0.2">
      <c r="A148" t="str">
        <f t="shared" ca="1" si="2"/>
        <v>Удалить все формулы</v>
      </c>
      <c r="B148" t="s">
        <v>126</v>
      </c>
      <c r="C148" t="s">
        <v>1282</v>
      </c>
    </row>
    <row r="149" spans="1:3" x14ac:dyDescent="0.2">
      <c r="A149" t="str">
        <f t="shared" ca="1" si="2"/>
        <v>Внимание! После нажатия ОК все макросы и кнопки будут удалены из модели. Вам будет предложено сохранить файл под новым именем.</v>
      </c>
      <c r="B149" t="s">
        <v>928</v>
      </c>
      <c r="C149" t="s">
        <v>1283</v>
      </c>
    </row>
    <row r="150" spans="1:3" x14ac:dyDescent="0.2">
      <c r="A150" t="str">
        <f t="shared" ca="1" si="2"/>
        <v>Внимание! Последние изменения в файле не сохранены. Мы рекомендуем Вам сначала сохранить рабочий файл, так как после нажатия ОК макросы и кнопки будут удалены.</v>
      </c>
      <c r="B150" t="s">
        <v>925</v>
      </c>
      <c r="C150" t="s">
        <v>1284</v>
      </c>
    </row>
    <row r="151" spans="1:3" x14ac:dyDescent="0.2">
      <c r="A151" t="str">
        <f t="shared" ca="1" si="2"/>
        <v>Сохранить проект как</v>
      </c>
      <c r="B151" t="s">
        <v>924</v>
      </c>
      <c r="C151" t="s">
        <v>1285</v>
      </c>
    </row>
    <row r="152" spans="1:3" x14ac:dyDescent="0.2">
      <c r="A152" t="str">
        <f t="shared" ca="1" si="2"/>
        <v>Книга Excel (*.xlsx),*.xlsx, Все файлы (*.*),*.*</v>
      </c>
      <c r="B152" t="s">
        <v>923</v>
      </c>
      <c r="C152" t="s">
        <v>1286</v>
      </c>
    </row>
    <row r="153" spans="1:3" x14ac:dyDescent="0.2">
      <c r="A153" t="str">
        <f t="shared" ca="1" si="2"/>
        <v>Файл не удалось сохранить, но все запрошенные данные были удалены из модели. Не сохраняйте ее под именем рабочей модели, так как это приведет к потере данных! Просто закройте модель без сохранения.</v>
      </c>
      <c r="B153" t="s">
        <v>926</v>
      </c>
    </row>
    <row r="154" spans="1:3" x14ac:dyDescent="0.2">
      <c r="A154" s="24" t="str">
        <f t="shared" ca="1" si="2"/>
        <v>Дата начала и длительность</v>
      </c>
      <c r="B154" t="s">
        <v>139</v>
      </c>
      <c r="C154" t="s">
        <v>162</v>
      </c>
    </row>
    <row r="155" spans="1:3" x14ac:dyDescent="0.2">
      <c r="A155" t="str">
        <f t="shared" ca="1" si="2"/>
        <v>Начало проекта</v>
      </c>
      <c r="B155" t="s">
        <v>140</v>
      </c>
      <c r="C155" t="s">
        <v>163</v>
      </c>
    </row>
    <row r="156" spans="1:3" x14ac:dyDescent="0.2">
      <c r="A156" t="str">
        <f ca="1">OFFSET(A156,0,Prj_Language)</f>
        <v>Длительность периода</v>
      </c>
      <c r="B156" t="s">
        <v>142</v>
      </c>
      <c r="C156" t="s">
        <v>165</v>
      </c>
    </row>
    <row r="157" spans="1:3" x14ac:dyDescent="0.2">
      <c r="A157" t="str">
        <f t="shared" ca="1" si="2"/>
        <v>Число периодов</v>
      </c>
      <c r="B157" t="s">
        <v>141</v>
      </c>
      <c r="C157" t="s">
        <v>164</v>
      </c>
    </row>
    <row r="158" spans="1:3" x14ac:dyDescent="0.2">
      <c r="A158" t="str">
        <f t="shared" ca="1" si="2"/>
        <v>Инвестиционная фаза</v>
      </c>
      <c r="B158" t="s">
        <v>231</v>
      </c>
      <c r="C158" t="s">
        <v>420</v>
      </c>
    </row>
    <row r="159" spans="1:3" x14ac:dyDescent="0.2">
      <c r="A159" t="str">
        <f t="shared" ca="1" si="2"/>
        <v>периодов</v>
      </c>
      <c r="B159" t="s">
        <v>64</v>
      </c>
      <c r="C159" t="s">
        <v>421</v>
      </c>
    </row>
    <row r="160" spans="1:3" x14ac:dyDescent="0.2">
      <c r="A160" t="str">
        <f t="shared" ca="1" si="2"/>
        <v>Первый период проекта будет иметь неполную длину.</v>
      </c>
      <c r="B160" t="s">
        <v>166</v>
      </c>
      <c r="C160" t="s">
        <v>386</v>
      </c>
    </row>
    <row r="161" spans="1:3" x14ac:dyDescent="0.2">
      <c r="A161" s="24" t="str">
        <f t="shared" ca="1" si="2"/>
        <v>Валюты и инфляция</v>
      </c>
      <c r="B161" t="s">
        <v>204</v>
      </c>
      <c r="C161" t="s">
        <v>408</v>
      </c>
    </row>
    <row r="162" spans="1:3" x14ac:dyDescent="0.2">
      <c r="A162" t="str">
        <f t="shared" ca="1" si="2"/>
        <v>Основная валюта</v>
      </c>
      <c r="B162" t="s">
        <v>205</v>
      </c>
      <c r="C162" t="s">
        <v>409</v>
      </c>
    </row>
    <row r="163" spans="1:3" x14ac:dyDescent="0.2">
      <c r="A163" t="str">
        <f t="shared" ca="1" si="2"/>
        <v>Вторая валюта</v>
      </c>
      <c r="B163" t="s">
        <v>11</v>
      </c>
      <c r="C163" t="s">
        <v>410</v>
      </c>
    </row>
    <row r="164" spans="1:3" x14ac:dyDescent="0.2">
      <c r="A164" t="str">
        <f t="shared" ca="1" si="2"/>
        <v>Третья валюта</v>
      </c>
      <c r="B164" t="s">
        <v>12</v>
      </c>
      <c r="C164" t="s">
        <v>411</v>
      </c>
    </row>
    <row r="165" spans="1:3" x14ac:dyDescent="0.2">
      <c r="A165" t="str">
        <f t="shared" ca="1" si="2"/>
        <v>Валюта отчетности</v>
      </c>
      <c r="B165" t="s">
        <v>206</v>
      </c>
      <c r="C165" t="s">
        <v>412</v>
      </c>
    </row>
    <row r="166" spans="1:3" x14ac:dyDescent="0.2">
      <c r="A166" t="str">
        <f t="shared" ca="1" si="2"/>
        <v>Учет инфляции в расчетах</v>
      </c>
      <c r="B166" t="s">
        <v>207</v>
      </c>
      <c r="C166" t="s">
        <v>416</v>
      </c>
    </row>
    <row r="167" spans="1:3" x14ac:dyDescent="0.2">
      <c r="A167" t="str">
        <f t="shared" ca="1" si="2"/>
        <v>Не учитывать (постоянные цены)</v>
      </c>
      <c r="B167" t="s">
        <v>209</v>
      </c>
      <c r="C167" t="s">
        <v>418</v>
      </c>
    </row>
    <row r="168" spans="1:3" x14ac:dyDescent="0.2">
      <c r="A168" t="str">
        <f t="shared" ca="1" si="2"/>
        <v>Учитывать (цены будут расти с инфляцией)</v>
      </c>
      <c r="B168" t="s">
        <v>208</v>
      </c>
      <c r="C168" t="s">
        <v>417</v>
      </c>
    </row>
    <row r="169" spans="1:3" x14ac:dyDescent="0.2">
      <c r="A169" t="str">
        <f t="shared" ca="1" si="2"/>
        <v>не использовать</v>
      </c>
      <c r="B169" t="s">
        <v>201</v>
      </c>
      <c r="C169" t="s">
        <v>407</v>
      </c>
    </row>
    <row r="170" spans="1:3" x14ac:dyDescent="0.2">
      <c r="A170" s="24" t="str">
        <f t="shared" ca="1" si="2"/>
        <v>Налоги</v>
      </c>
      <c r="B170" t="s">
        <v>236</v>
      </c>
      <c r="C170" t="s">
        <v>423</v>
      </c>
    </row>
    <row r="171" spans="1:3" x14ac:dyDescent="0.2">
      <c r="A171" t="str">
        <f t="shared" ca="1" si="2"/>
        <v>Планирование возврата переплаченного НДС</v>
      </c>
      <c r="B171" t="s">
        <v>237</v>
      </c>
      <c r="C171" t="s">
        <v>424</v>
      </c>
    </row>
    <row r="172" spans="1:3" x14ac:dyDescent="0.2">
      <c r="A172" t="str">
        <f t="shared" ca="1" si="2"/>
        <v>Зачитывать при будущих расчетах</v>
      </c>
      <c r="B172" t="s">
        <v>238</v>
      </c>
      <c r="C172" t="s">
        <v>425</v>
      </c>
    </row>
    <row r="173" spans="1:3" x14ac:dyDescent="0.2">
      <c r="A173" t="str">
        <f t="shared" ca="1" si="2"/>
        <v>Возврат переплаченных сумм из бюджета</v>
      </c>
      <c r="B173" t="s">
        <v>239</v>
      </c>
      <c r="C173" t="s">
        <v>426</v>
      </c>
    </row>
    <row r="174" spans="1:3" x14ac:dyDescent="0.2">
      <c r="A174" t="str">
        <f t="shared" ca="1" si="2"/>
        <v>Налог на добавленную стоимость</v>
      </c>
      <c r="B174" t="s">
        <v>240</v>
      </c>
      <c r="C174" t="s">
        <v>427</v>
      </c>
    </row>
    <row r="175" spans="1:3" x14ac:dyDescent="0.2">
      <c r="A175" t="str">
        <f t="shared" ca="1" si="2"/>
        <v>Налог на прибыль</v>
      </c>
      <c r="B175" t="s">
        <v>241</v>
      </c>
      <c r="C175" t="s">
        <v>428</v>
      </c>
    </row>
    <row r="176" spans="1:3" x14ac:dyDescent="0.2">
      <c r="A176" t="str">
        <f t="shared" ca="1" si="2"/>
        <v>Социальные взносы</v>
      </c>
      <c r="B176" t="s">
        <v>1445</v>
      </c>
      <c r="C176" t="s">
        <v>429</v>
      </c>
    </row>
    <row r="177" spans="1:3" x14ac:dyDescent="0.2">
      <c r="A177" t="str">
        <f t="shared" ca="1" si="2"/>
        <v>Налог на имущество</v>
      </c>
      <c r="B177" t="s">
        <v>242</v>
      </c>
      <c r="C177" t="s">
        <v>430</v>
      </c>
    </row>
    <row r="178" spans="1:3" x14ac:dyDescent="0.2">
      <c r="A178" t="str">
        <f t="shared" ca="1" si="2"/>
        <v>Налог с оборота (для упрощенной системы)</v>
      </c>
      <c r="B178" t="s">
        <v>243</v>
      </c>
      <c r="C178" t="s">
        <v>431</v>
      </c>
    </row>
    <row r="179" spans="1:3" x14ac:dyDescent="0.2">
      <c r="A179" t="str">
        <f t="shared" ca="1" si="2"/>
        <v>Налог с дохода, уменьшенного на расходы (УСН, ЕСХН)</v>
      </c>
      <c r="B179" t="s">
        <v>246</v>
      </c>
      <c r="C179" t="s">
        <v>432</v>
      </c>
    </row>
    <row r="180" spans="1:3" x14ac:dyDescent="0.2">
      <c r="A180" s="19">
        <f t="shared" ca="1" si="2"/>
        <v>0</v>
      </c>
    </row>
    <row r="181" spans="1:3" x14ac:dyDescent="0.2">
      <c r="A181">
        <f t="shared" ca="1" si="2"/>
        <v>0</v>
      </c>
    </row>
    <row r="182" spans="1:3" x14ac:dyDescent="0.2">
      <c r="A182" t="str">
        <f t="shared" ca="1" si="2"/>
        <v>Добавление периодов на листе "***" …</v>
      </c>
      <c r="B182" t="s">
        <v>1552</v>
      </c>
      <c r="C182" t="s">
        <v>2152</v>
      </c>
    </row>
    <row r="183" spans="1:3" x14ac:dyDescent="0.2">
      <c r="A183" t="str">
        <f t="shared" ca="1" si="2"/>
        <v>Удаление периодов на листе "***" …</v>
      </c>
      <c r="B183" t="s">
        <v>1553</v>
      </c>
      <c r="C183" t="s">
        <v>2153</v>
      </c>
    </row>
    <row r="184" spans="1:3" x14ac:dyDescent="0.2">
      <c r="A184" t="str">
        <f ca="1">OFFSET(A184,0,Prj_Language)</f>
        <v>Подождите пожалуйста. Идет пересчет формул…</v>
      </c>
      <c r="B184" t="s">
        <v>2165</v>
      </c>
      <c r="C184" t="s">
        <v>2166</v>
      </c>
    </row>
    <row r="185" spans="1:3" x14ac:dyDescent="0.2">
      <c r="A185" s="19" t="str">
        <f t="shared" ca="1" si="2"/>
        <v>В пробной версии эта возможность недоступна.</v>
      </c>
      <c r="B185" t="s">
        <v>2170</v>
      </c>
      <c r="C185" s="19" t="s">
        <v>2171</v>
      </c>
    </row>
    <row r="186" spans="1:3" x14ac:dyDescent="0.2">
      <c r="A186" s="19" t="str">
        <f t="shared" ca="1" si="2"/>
        <v>Вы используете пробную версию программы.</v>
      </c>
      <c r="B186" t="s">
        <v>2173</v>
      </c>
      <c r="C186" t="s">
        <v>2169</v>
      </c>
    </row>
    <row r="187" spans="1:3" x14ac:dyDescent="0.2">
      <c r="A187" s="19" t="str">
        <f t="shared" ca="1" si="2"/>
        <v>В демонстрационной версии эта возможность недоступна.</v>
      </c>
      <c r="B187" t="s">
        <v>1389</v>
      </c>
      <c r="C187" s="19" t="s">
        <v>2154</v>
      </c>
    </row>
    <row r="188" spans="1:3" x14ac:dyDescent="0.2">
      <c r="A188" s="19" t="str">
        <f t="shared" ca="1" si="2"/>
        <v>Вы используете демонстрационную версию программы. В ней работают почти все функции и промежуточные расчеты, но значения на листе Результаты не меняются.</v>
      </c>
      <c r="B188" t="s">
        <v>1390</v>
      </c>
      <c r="C188" s="19" t="s">
        <v>2155</v>
      </c>
    </row>
    <row r="189" spans="1:3" x14ac:dyDescent="0.2">
      <c r="A189" t="str">
        <f t="shared" ca="1" si="2"/>
        <v>Программа не активирована. Изменение параметров проекта невозможно.</v>
      </c>
      <c r="B189" t="s">
        <v>1047</v>
      </c>
      <c r="C189" t="s">
        <v>1287</v>
      </c>
    </row>
    <row r="190" spans="1:3" x14ac:dyDescent="0.2">
      <c r="A190" s="24" t="str">
        <f t="shared" ca="1" si="2"/>
        <v>Навигатор</v>
      </c>
      <c r="B190" t="s">
        <v>269</v>
      </c>
      <c r="C190" t="s">
        <v>453</v>
      </c>
    </row>
    <row r="191" spans="1:3" x14ac:dyDescent="0.2">
      <c r="A191" t="str">
        <f t="shared" ca="1" si="2"/>
        <v>Полный список всех разделов и таблиц:</v>
      </c>
      <c r="B191" t="s">
        <v>264</v>
      </c>
      <c r="C191" t="s">
        <v>449</v>
      </c>
    </row>
    <row r="192" spans="1:3" x14ac:dyDescent="0.2">
      <c r="A192" t="str">
        <f t="shared" ca="1" si="2"/>
        <v>Листы модели:</v>
      </c>
      <c r="B192" t="s">
        <v>265</v>
      </c>
      <c r="C192" t="s">
        <v>476</v>
      </c>
    </row>
    <row r="193" spans="1:3" x14ac:dyDescent="0.2">
      <c r="A193" t="str">
        <f t="shared" ca="1" si="2"/>
        <v>Версия модели:</v>
      </c>
      <c r="B193" t="s">
        <v>266</v>
      </c>
      <c r="C193" t="s">
        <v>450</v>
      </c>
    </row>
    <row r="194" spans="1:3" x14ac:dyDescent="0.2">
      <c r="A194" t="str">
        <f t="shared" ca="1" si="2"/>
        <v>Дата выпуска:</v>
      </c>
      <c r="B194" t="s">
        <v>267</v>
      </c>
      <c r="C194" t="s">
        <v>451</v>
      </c>
    </row>
    <row r="195" spans="1:3" x14ac:dyDescent="0.2">
      <c r="A195" t="str">
        <f t="shared" ca="1" si="2"/>
        <v>Номер лицензии:</v>
      </c>
      <c r="B195" t="s">
        <v>268</v>
      </c>
      <c r="C195" t="s">
        <v>452</v>
      </c>
    </row>
    <row r="196" spans="1:3" x14ac:dyDescent="0.2">
      <c r="A196">
        <f t="shared" ref="A196:A259" ca="1" si="3">OFFSET(A196,0,Prj_Language)</f>
        <v>0</v>
      </c>
    </row>
    <row r="197" spans="1:3" x14ac:dyDescent="0.2">
      <c r="A197">
        <f t="shared" ca="1" si="3"/>
        <v>0</v>
      </c>
    </row>
    <row r="198" spans="1:3" x14ac:dyDescent="0.2">
      <c r="A198">
        <f t="shared" ca="1" si="3"/>
        <v>0</v>
      </c>
    </row>
    <row r="199" spans="1:3" x14ac:dyDescent="0.2">
      <c r="A199">
        <f t="shared" ca="1" si="3"/>
        <v>0</v>
      </c>
    </row>
    <row r="200" spans="1:3" x14ac:dyDescent="0.2">
      <c r="A200" s="24" t="str">
        <f t="shared" ca="1" si="3"/>
        <v>Печать отчета</v>
      </c>
      <c r="B200" t="s">
        <v>280</v>
      </c>
      <c r="C200" t="s">
        <v>458</v>
      </c>
    </row>
    <row r="201" spans="1:3" x14ac:dyDescent="0.2">
      <c r="A201" t="str">
        <f t="shared" ca="1" si="3"/>
        <v>Верхний колонтитул</v>
      </c>
      <c r="B201" t="s">
        <v>709</v>
      </c>
      <c r="C201" t="s">
        <v>716</v>
      </c>
    </row>
    <row r="202" spans="1:3" x14ac:dyDescent="0.2">
      <c r="A202" t="str">
        <f t="shared" ca="1" si="3"/>
        <v>Нижний колонтитул</v>
      </c>
      <c r="B202" t="s">
        <v>710</v>
      </c>
      <c r="C202" t="s">
        <v>717</v>
      </c>
    </row>
    <row r="203" spans="1:3" x14ac:dyDescent="0.2">
      <c r="A203" t="str">
        <f t="shared" ca="1" si="3"/>
        <v>Слева</v>
      </c>
      <c r="B203" t="s">
        <v>711</v>
      </c>
      <c r="C203" t="s">
        <v>718</v>
      </c>
    </row>
    <row r="204" spans="1:3" x14ac:dyDescent="0.2">
      <c r="A204" t="str">
        <f t="shared" ca="1" si="3"/>
        <v>Справа</v>
      </c>
      <c r="B204" t="s">
        <v>712</v>
      </c>
      <c r="C204" t="s">
        <v>719</v>
      </c>
    </row>
    <row r="205" spans="1:3" x14ac:dyDescent="0.2">
      <c r="A205" t="str">
        <f t="shared" ca="1" si="3"/>
        <v>Повторять первую колонку на каждой странице</v>
      </c>
      <c r="B205" t="s">
        <v>281</v>
      </c>
      <c r="C205" t="s">
        <v>459</v>
      </c>
    </row>
    <row r="206" spans="1:3" x14ac:dyDescent="0.2">
      <c r="A206" t="str">
        <f t="shared" ca="1" si="3"/>
        <v>Просмотр</v>
      </c>
      <c r="B206" t="s">
        <v>282</v>
      </c>
      <c r="C206" t="s">
        <v>460</v>
      </c>
    </row>
    <row r="207" spans="1:3" x14ac:dyDescent="0.2">
      <c r="A207" t="str">
        <f t="shared" ca="1" si="3"/>
        <v>&lt;пусто&gt;</v>
      </c>
      <c r="B207" t="s">
        <v>283</v>
      </c>
      <c r="C207" t="s">
        <v>461</v>
      </c>
    </row>
    <row r="208" spans="1:3" x14ac:dyDescent="0.2">
      <c r="A208" t="str">
        <f t="shared" ca="1" si="3"/>
        <v>[Дата] [Время]</v>
      </c>
      <c r="B208" t="s">
        <v>713</v>
      </c>
      <c r="C208" t="s">
        <v>462</v>
      </c>
    </row>
    <row r="209" spans="1:3" x14ac:dyDescent="0.2">
      <c r="A209" t="str">
        <f t="shared" ca="1" si="3"/>
        <v>[Имя файла]</v>
      </c>
      <c r="B209" t="s">
        <v>284</v>
      </c>
      <c r="C209" t="s">
        <v>463</v>
      </c>
    </row>
    <row r="210" spans="1:3" x14ac:dyDescent="0.2">
      <c r="A210" t="str">
        <f t="shared" ca="1" si="3"/>
        <v>Стр. [# стр] из [Число стр.]</v>
      </c>
      <c r="B210" t="s">
        <v>2159</v>
      </c>
      <c r="C210" t="s">
        <v>465</v>
      </c>
    </row>
    <row r="211" spans="1:3" x14ac:dyDescent="0.2">
      <c r="A211" t="str">
        <f t="shared" ca="1" si="3"/>
        <v>Стр. &amp;P из &amp;N</v>
      </c>
      <c r="B211" t="s">
        <v>285</v>
      </c>
      <c r="C211" t="s">
        <v>464</v>
      </c>
    </row>
    <row r="212" spans="1:3" x14ac:dyDescent="0.2">
      <c r="A212" s="24" t="str">
        <f t="shared" ca="1" si="3"/>
        <v>Экспорт отчета в новый файл Excel</v>
      </c>
      <c r="B212" t="s">
        <v>714</v>
      </c>
      <c r="C212" t="s">
        <v>467</v>
      </c>
    </row>
    <row r="213" spans="1:3" x14ac:dyDescent="0.2">
      <c r="A213" t="str">
        <f t="shared" ca="1" si="3"/>
        <v>Отчет будет перенесен в новый файл Excel</v>
      </c>
      <c r="B213" t="s">
        <v>715</v>
      </c>
      <c r="C213" t="s">
        <v>466</v>
      </c>
    </row>
    <row r="214" spans="1:3" x14ac:dyDescent="0.2">
      <c r="A214" t="str">
        <f t="shared" ca="1" si="3"/>
        <v>Сохранить ссылки на файл проекта</v>
      </c>
      <c r="B214" t="s">
        <v>286</v>
      </c>
      <c r="C214" t="s">
        <v>469</v>
      </c>
    </row>
    <row r="215" spans="1:3" x14ac:dyDescent="0.2">
      <c r="A215" s="24" t="str">
        <f t="shared" ca="1" si="3"/>
        <v>Добавить данные в отчет</v>
      </c>
      <c r="B215" t="s">
        <v>287</v>
      </c>
      <c r="C215" t="s">
        <v>470</v>
      </c>
    </row>
    <row r="216" spans="1:3" x14ac:dyDescent="0.2">
      <c r="A216" t="str">
        <f t="shared" ca="1" si="3"/>
        <v>Выберите разделы и таблицы, которые надо добавить в отчет:</v>
      </c>
      <c r="B216" t="s">
        <v>293</v>
      </c>
      <c r="C216" t="s">
        <v>471</v>
      </c>
    </row>
    <row r="217" spans="1:3" x14ac:dyDescent="0.2">
      <c r="A217" t="str">
        <f t="shared" ca="1" si="3"/>
        <v>Добавить</v>
      </c>
      <c r="B217" t="s">
        <v>258</v>
      </c>
      <c r="C217" t="s">
        <v>439</v>
      </c>
    </row>
    <row r="218" spans="1:3" x14ac:dyDescent="0.2">
      <c r="A218" t="str">
        <f t="shared" ca="1" si="3"/>
        <v>Очистить лист</v>
      </c>
      <c r="B218" t="s">
        <v>288</v>
      </c>
      <c r="C218" t="s">
        <v>472</v>
      </c>
    </row>
    <row r="219" spans="1:3" x14ac:dyDescent="0.2">
      <c r="A219" t="str">
        <f t="shared" ca="1" si="3"/>
        <v>Сжать интервалы данных:</v>
      </c>
      <c r="B219" t="s">
        <v>289</v>
      </c>
      <c r="C219" t="s">
        <v>473</v>
      </c>
    </row>
    <row r="220" spans="1:3" x14ac:dyDescent="0.2">
      <c r="A220" t="str">
        <f t="shared" ca="1" si="3"/>
        <v>по кварталам с</v>
      </c>
      <c r="B220" t="s">
        <v>290</v>
      </c>
      <c r="C220" t="s">
        <v>475</v>
      </c>
    </row>
    <row r="221" spans="1:3" x14ac:dyDescent="0.2">
      <c r="A221" t="str">
        <f t="shared" ca="1" si="3"/>
        <v>по годам с</v>
      </c>
      <c r="B221" t="s">
        <v>292</v>
      </c>
      <c r="C221" t="s">
        <v>474</v>
      </c>
    </row>
    <row r="222" spans="1:3" x14ac:dyDescent="0.2">
      <c r="A222" t="str">
        <f t="shared" ca="1" si="3"/>
        <v>г.</v>
      </c>
      <c r="B222" t="s">
        <v>291</v>
      </c>
      <c r="C222" t="s">
        <v>827</v>
      </c>
    </row>
    <row r="223" spans="1:3" x14ac:dyDescent="0.2">
      <c r="A223">
        <f t="shared" ca="1" si="3"/>
        <v>0</v>
      </c>
    </row>
    <row r="224" spans="1:3" x14ac:dyDescent="0.2">
      <c r="A224">
        <f t="shared" ca="1" si="3"/>
        <v>0</v>
      </c>
    </row>
    <row r="225" spans="1:3" x14ac:dyDescent="0.2">
      <c r="A225">
        <f t="shared" ca="1" si="3"/>
        <v>0</v>
      </c>
    </row>
    <row r="226" spans="1:3" x14ac:dyDescent="0.2">
      <c r="A226">
        <f t="shared" ca="1" si="3"/>
        <v>0</v>
      </c>
    </row>
    <row r="227" spans="1:3" x14ac:dyDescent="0.2">
      <c r="A227">
        <f t="shared" ca="1" si="3"/>
        <v>0</v>
      </c>
    </row>
    <row r="228" spans="1:3" x14ac:dyDescent="0.2">
      <c r="A228">
        <f t="shared" ca="1" si="3"/>
        <v>0</v>
      </c>
    </row>
    <row r="229" spans="1:3" x14ac:dyDescent="0.2">
      <c r="A229">
        <f t="shared" ca="1" si="3"/>
        <v>0</v>
      </c>
    </row>
    <row r="230" spans="1:3" x14ac:dyDescent="0.2">
      <c r="A230" s="24" t="str">
        <f t="shared" ca="1" si="3"/>
        <v>Список</v>
      </c>
      <c r="B230" t="s">
        <v>802</v>
      </c>
      <c r="C230" t="s">
        <v>803</v>
      </c>
    </row>
    <row r="231" spans="1:3" x14ac:dyDescent="0.2">
      <c r="A231" t="str">
        <f t="shared" ca="1" si="3"/>
        <v>Наименование</v>
      </c>
      <c r="B231" t="s">
        <v>577</v>
      </c>
      <c r="C231" t="s">
        <v>437</v>
      </c>
    </row>
    <row r="232" spans="1:3" x14ac:dyDescent="0.2">
      <c r="A232" t="str">
        <f t="shared" ca="1" si="3"/>
        <v>Валюта</v>
      </c>
      <c r="B232" t="s">
        <v>257</v>
      </c>
      <c r="C232" t="s">
        <v>438</v>
      </c>
    </row>
    <row r="233" spans="1:3" x14ac:dyDescent="0.2">
      <c r="A233" t="str">
        <f t="shared" ca="1" si="3"/>
        <v>Добавить...</v>
      </c>
      <c r="B233" t="s">
        <v>254</v>
      </c>
      <c r="C233" t="s">
        <v>433</v>
      </c>
    </row>
    <row r="234" spans="1:3" x14ac:dyDescent="0.2">
      <c r="A234" t="str">
        <f t="shared" ca="1" si="3"/>
        <v>Добавить из списка…</v>
      </c>
      <c r="B234" t="s">
        <v>455</v>
      </c>
      <c r="C234" t="s">
        <v>454</v>
      </c>
    </row>
    <row r="235" spans="1:3" x14ac:dyDescent="0.2">
      <c r="A235" t="str">
        <f t="shared" ca="1" si="3"/>
        <v>Разделитель</v>
      </c>
      <c r="B235" t="s">
        <v>804</v>
      </c>
      <c r="C235" t="s">
        <v>434</v>
      </c>
    </row>
    <row r="236" spans="1:3" x14ac:dyDescent="0.2">
      <c r="A236" t="str">
        <f t="shared" ca="1" si="3"/>
        <v>Удалить</v>
      </c>
      <c r="B236" t="s">
        <v>255</v>
      </c>
      <c r="C236" t="s">
        <v>435</v>
      </c>
    </row>
    <row r="237" spans="1:3" x14ac:dyDescent="0.2">
      <c r="A237" t="str">
        <f t="shared" ca="1" si="3"/>
        <v>В списке нет ни одного пункта.</v>
      </c>
      <c r="B237" t="s">
        <v>911</v>
      </c>
      <c r="C237" t="s">
        <v>446</v>
      </c>
    </row>
    <row r="238" spans="1:3" x14ac:dyDescent="0.2">
      <c r="A238" t="str">
        <f t="shared" ca="1" si="3"/>
        <v>Необходимо выбрать пункты для удаления.</v>
      </c>
      <c r="B238" t="s">
        <v>744</v>
      </c>
      <c r="C238" t="s">
        <v>447</v>
      </c>
    </row>
    <row r="239" spans="1:3" x14ac:dyDescent="0.2">
      <c r="A239" t="str">
        <f t="shared" ca="1" si="3"/>
        <v>Вы действительно хотите удалить выделенные пункты?</v>
      </c>
      <c r="B239" t="s">
        <v>263</v>
      </c>
      <c r="C239" t="s">
        <v>448</v>
      </c>
    </row>
    <row r="240" spans="1:3" x14ac:dyDescent="0.2">
      <c r="A240" t="str">
        <f t="shared" ca="1" si="3"/>
        <v>Необходимо указать наименование пункта.</v>
      </c>
      <c r="B240" t="s">
        <v>808</v>
      </c>
      <c r="C240" t="s">
        <v>1288</v>
      </c>
    </row>
    <row r="241" spans="1:3" x14ac:dyDescent="0.2">
      <c r="A241" t="str">
        <f t="shared" ca="1" si="3"/>
        <v>Продукты…</v>
      </c>
      <c r="B241" t="s">
        <v>909</v>
      </c>
      <c r="C241" t="s">
        <v>1289</v>
      </c>
    </row>
    <row r="242" spans="1:3" x14ac:dyDescent="0.2">
      <c r="A242" t="str">
        <f t="shared" ca="1" si="3"/>
        <v>Необходимо выбрать материал!</v>
      </c>
      <c r="B242" t="s">
        <v>910</v>
      </c>
      <c r="C242" t="s">
        <v>1290</v>
      </c>
    </row>
    <row r="243" spans="1:3" x14ac:dyDescent="0.2">
      <c r="A243" t="str">
        <f t="shared" ca="1" si="3"/>
        <v>Подобрать кредит...</v>
      </c>
      <c r="B243" t="s">
        <v>606</v>
      </c>
      <c r="C243" t="s">
        <v>1291</v>
      </c>
    </row>
    <row r="244" spans="1:3" x14ac:dyDescent="0.2">
      <c r="A244" t="str">
        <f t="shared" ca="1" si="3"/>
        <v>Необходимо выбрать кредит для подбора графика.</v>
      </c>
      <c r="B244" t="s">
        <v>814</v>
      </c>
      <c r="C244" t="s">
        <v>1292</v>
      </c>
    </row>
    <row r="245" spans="1:3" x14ac:dyDescent="0.2">
      <c r="A245" s="19" t="str">
        <f t="shared" ca="1" si="3"/>
        <v>Подбор кредита... Период № ***</v>
      </c>
      <c r="B245" t="s">
        <v>1464</v>
      </c>
      <c r="C245" t="s">
        <v>2156</v>
      </c>
    </row>
    <row r="246" spans="1:3" x14ac:dyDescent="0.2">
      <c r="A246" s="19" t="str">
        <f t="shared" ca="1" si="3"/>
        <v>Обратите внимание! При заданных параметрах платежей кредит не будет возвращен к концу расчетного периода.</v>
      </c>
      <c r="B246" t="s">
        <v>1465</v>
      </c>
      <c r="C246" t="s">
        <v>2157</v>
      </c>
    </row>
    <row r="247" spans="1:3" x14ac:dyDescent="0.2">
      <c r="A247">
        <f t="shared" ca="1" si="3"/>
        <v>0</v>
      </c>
    </row>
    <row r="248" spans="1:3" x14ac:dyDescent="0.2">
      <c r="A248">
        <f t="shared" ca="1" si="3"/>
        <v>0</v>
      </c>
    </row>
    <row r="249" spans="1:3" x14ac:dyDescent="0.2">
      <c r="A249">
        <f t="shared" ca="1" si="3"/>
        <v>0</v>
      </c>
    </row>
    <row r="250" spans="1:3" x14ac:dyDescent="0.2">
      <c r="A250" s="24" t="str">
        <f t="shared" ca="1" si="3"/>
        <v>Добавить</v>
      </c>
      <c r="B250" t="s">
        <v>258</v>
      </c>
      <c r="C250" t="s">
        <v>805</v>
      </c>
    </row>
    <row r="251" spans="1:3" x14ac:dyDescent="0.2">
      <c r="A251" t="str">
        <f t="shared" ca="1" si="3"/>
        <v>Наименование:</v>
      </c>
      <c r="B251" t="s">
        <v>815</v>
      </c>
      <c r="C251" t="s">
        <v>440</v>
      </c>
    </row>
    <row r="252" spans="1:3" x14ac:dyDescent="0.2">
      <c r="A252" t="str">
        <f t="shared" ca="1" si="3"/>
        <v>&lt;название&gt;</v>
      </c>
      <c r="B252" t="s">
        <v>806</v>
      </c>
      <c r="C252" t="s">
        <v>807</v>
      </c>
    </row>
    <row r="253" spans="1:3" x14ac:dyDescent="0.2">
      <c r="A253" t="str">
        <f t="shared" ca="1" si="3"/>
        <v>Валюта:</v>
      </c>
      <c r="B253" t="s">
        <v>262</v>
      </c>
      <c r="C253" t="s">
        <v>445</v>
      </c>
    </row>
    <row r="254" spans="1:3" x14ac:dyDescent="0.2">
      <c r="A254" t="str">
        <f t="shared" ca="1" si="3"/>
        <v>Массовое добавление:</v>
      </c>
      <c r="B254" t="s">
        <v>259</v>
      </c>
      <c r="C254" t="s">
        <v>441</v>
      </c>
    </row>
    <row r="255" spans="1:3" x14ac:dyDescent="0.2">
      <c r="A255" t="str">
        <f t="shared" ca="1" si="3"/>
        <v>элементов</v>
      </c>
      <c r="B255" t="s">
        <v>260</v>
      </c>
      <c r="C255" t="s">
        <v>442</v>
      </c>
    </row>
    <row r="256" spans="1:3" x14ac:dyDescent="0.2">
      <c r="A256" t="str">
        <f t="shared" ca="1" si="3"/>
        <v>Название единицы измерения:</v>
      </c>
      <c r="B256" t="s">
        <v>261</v>
      </c>
      <c r="C256" t="s">
        <v>444</v>
      </c>
    </row>
    <row r="257" spans="1:3" x14ac:dyDescent="0.2">
      <c r="A257" t="str">
        <f t="shared" ca="1" si="3"/>
        <v>ед.</v>
      </c>
      <c r="B257" t="s">
        <v>531</v>
      </c>
      <c r="C257" t="s">
        <v>913</v>
      </c>
    </row>
    <row r="258" spans="1:3" x14ac:dyDescent="0.2">
      <c r="A258" t="str">
        <f t="shared" ca="1" si="3"/>
        <v>Известна только стоимость объекта и процентные ставки лизинга</v>
      </c>
      <c r="B258" t="s">
        <v>637</v>
      </c>
      <c r="C258" t="s">
        <v>1293</v>
      </c>
    </row>
    <row r="259" spans="1:3" x14ac:dyDescent="0.2">
      <c r="A259" t="str">
        <f t="shared" ca="1" si="3"/>
        <v>Известен плановый график платежей по лизингу</v>
      </c>
      <c r="B259" t="s">
        <v>541</v>
      </c>
      <c r="C259" t="s">
        <v>1294</v>
      </c>
    </row>
    <row r="260" spans="1:3" x14ac:dyDescent="0.2">
      <c r="A260" t="str">
        <f t="shared" ref="A260:A323" ca="1" si="4">OFFSET(A260,0,Prj_Language)</f>
        <v>Использовать детализацию "физический объем * цена"</v>
      </c>
      <c r="B260" t="s">
        <v>809</v>
      </c>
      <c r="C260" t="s">
        <v>443</v>
      </c>
    </row>
    <row r="261" spans="1:3" x14ac:dyDescent="0.2">
      <c r="A261" t="str">
        <f t="shared" ca="1" si="4"/>
        <v>Использовать детализацию "численность * оклад"</v>
      </c>
      <c r="B261" t="s">
        <v>810</v>
      </c>
      <c r="C261" t="s">
        <v>1295</v>
      </c>
    </row>
    <row r="262" spans="1:3" x14ac:dyDescent="0.2">
      <c r="A262" t="str">
        <f t="shared" ca="1" si="4"/>
        <v>Привязать объем расхода к производству продуктов:</v>
      </c>
      <c r="B262" t="s">
        <v>852</v>
      </c>
      <c r="C262" t="s">
        <v>1296</v>
      </c>
    </row>
    <row r="263" spans="1:3" x14ac:dyDescent="0.2">
      <c r="A263" s="19">
        <f t="shared" ca="1" si="4"/>
        <v>0</v>
      </c>
    </row>
    <row r="264" spans="1:3" x14ac:dyDescent="0.2">
      <c r="A264">
        <f t="shared" ca="1" si="4"/>
        <v>0</v>
      </c>
    </row>
    <row r="265" spans="1:3" x14ac:dyDescent="0.2">
      <c r="A265">
        <f t="shared" ca="1" si="4"/>
        <v>0</v>
      </c>
    </row>
    <row r="266" spans="1:3" x14ac:dyDescent="0.2">
      <c r="A266">
        <f t="shared" ca="1" si="4"/>
        <v>0</v>
      </c>
    </row>
    <row r="267" spans="1:3" x14ac:dyDescent="0.2">
      <c r="A267" s="19">
        <f t="shared" ca="1" si="4"/>
        <v>0</v>
      </c>
    </row>
    <row r="268" spans="1:3" x14ac:dyDescent="0.2">
      <c r="A268">
        <f t="shared" ca="1" si="4"/>
        <v>0</v>
      </c>
    </row>
    <row r="269" spans="1:3" x14ac:dyDescent="0.2">
      <c r="A269" t="str">
        <f t="shared" ca="1" si="4"/>
        <v>Расход материала</v>
      </c>
      <c r="B269" t="s">
        <v>914</v>
      </c>
      <c r="C269" t="s">
        <v>1297</v>
      </c>
    </row>
    <row r="270" spans="1:3" x14ac:dyDescent="0.2">
      <c r="A270" s="24" t="str">
        <f t="shared" ca="1" si="4"/>
        <v>Автоматический подбор кредита</v>
      </c>
      <c r="B270" t="s">
        <v>599</v>
      </c>
      <c r="C270" t="s">
        <v>1298</v>
      </c>
    </row>
    <row r="271" spans="1:3" x14ac:dyDescent="0.2">
      <c r="A271" t="str">
        <f t="shared" ca="1" si="4"/>
        <v>Подобрать график поступления и возврата кредитных средств для плановых периодов в интервале:</v>
      </c>
      <c r="B271" t="s">
        <v>600</v>
      </c>
      <c r="C271" t="s">
        <v>1299</v>
      </c>
    </row>
    <row r="272" spans="1:3" x14ac:dyDescent="0.2">
      <c r="A272" t="str">
        <f t="shared" ca="1" si="4"/>
        <v>от</v>
      </c>
      <c r="B272" t="s">
        <v>601</v>
      </c>
      <c r="C272" t="s">
        <v>1300</v>
      </c>
    </row>
    <row r="273" spans="1:3" x14ac:dyDescent="0.2">
      <c r="A273" t="str">
        <f t="shared" ca="1" si="4"/>
        <v>до</v>
      </c>
      <c r="B273" t="s">
        <v>602</v>
      </c>
      <c r="C273" t="s">
        <v>1301</v>
      </c>
    </row>
    <row r="274" spans="1:3" x14ac:dyDescent="0.2">
      <c r="A274" t="str">
        <f t="shared" ca="1" si="4"/>
        <v>периода</v>
      </c>
      <c r="B274" t="s">
        <v>603</v>
      </c>
      <c r="C274" t="s">
        <v>1302</v>
      </c>
    </row>
    <row r="275" spans="1:3" x14ac:dyDescent="0.2">
      <c r="A275" t="str">
        <f t="shared" ca="1" si="4"/>
        <v>Минимальный остаток на счете:</v>
      </c>
      <c r="B275" t="s">
        <v>604</v>
      </c>
      <c r="C275" t="s">
        <v>1303</v>
      </c>
    </row>
    <row r="276" spans="1:3" x14ac:dyDescent="0.2">
      <c r="A276" t="str">
        <f t="shared" ca="1" si="4"/>
        <v>При выплатах обеспечивать коэффициент покрытия долга не ниже, чем:</v>
      </c>
      <c r="B276" t="s">
        <v>605</v>
      </c>
      <c r="C276" t="s">
        <v>1304</v>
      </c>
    </row>
    <row r="277" spans="1:3" x14ac:dyDescent="0.2">
      <c r="A277">
        <f t="shared" ca="1" si="4"/>
        <v>0</v>
      </c>
    </row>
    <row r="278" spans="1:3" x14ac:dyDescent="0.2">
      <c r="A278">
        <f t="shared" ca="1" si="4"/>
        <v>0</v>
      </c>
    </row>
    <row r="279" spans="1:3" x14ac:dyDescent="0.2">
      <c r="A279">
        <f t="shared" ca="1" si="4"/>
        <v>0</v>
      </c>
    </row>
    <row r="280" spans="1:3" x14ac:dyDescent="0.2">
      <c r="A280" s="24" t="str">
        <f t="shared" ca="1" si="4"/>
        <v>Добавить из списка</v>
      </c>
      <c r="B280" t="s">
        <v>273</v>
      </c>
      <c r="C280" t="s">
        <v>454</v>
      </c>
    </row>
    <row r="281" spans="1:3" x14ac:dyDescent="0.2">
      <c r="A281" t="str">
        <f t="shared" ca="1" si="4"/>
        <v>Выберите стандартные статьи, которые Вы хотите добавить в проект</v>
      </c>
      <c r="B281" t="s">
        <v>812</v>
      </c>
      <c r="C281" t="s">
        <v>456</v>
      </c>
    </row>
    <row r="282" spans="1:3" x14ac:dyDescent="0.2">
      <c r="A282" t="str">
        <f t="shared" ca="1" si="4"/>
        <v>Наименование статьи</v>
      </c>
      <c r="B282" t="s">
        <v>811</v>
      </c>
      <c r="C282" t="s">
        <v>437</v>
      </c>
    </row>
    <row r="283" spans="1:3" x14ac:dyDescent="0.2">
      <c r="A283" t="str">
        <f t="shared" ca="1" si="4"/>
        <v>Раздел</v>
      </c>
      <c r="B283" t="s">
        <v>275</v>
      </c>
      <c r="C283" t="s">
        <v>457</v>
      </c>
    </row>
    <row r="284" spans="1:3" x14ac:dyDescent="0.2">
      <c r="A284" t="str">
        <f t="shared" ca="1" si="4"/>
        <v>Земельный участок</v>
      </c>
      <c r="B284" t="s">
        <v>333</v>
      </c>
      <c r="C284" t="s">
        <v>1305</v>
      </c>
    </row>
    <row r="285" spans="1:3" x14ac:dyDescent="0.2">
      <c r="A285" t="str">
        <f t="shared" ca="1" si="4"/>
        <v>Подготовка территории строительства</v>
      </c>
      <c r="B285" t="s">
        <v>334</v>
      </c>
      <c r="C285" t="s">
        <v>1306</v>
      </c>
    </row>
    <row r="286" spans="1:3" x14ac:dyDescent="0.2">
      <c r="A286" t="str">
        <f t="shared" ca="1" si="4"/>
        <v>Проектирование здания</v>
      </c>
      <c r="B286" t="s">
        <v>335</v>
      </c>
      <c r="C286" t="s">
        <v>1307</v>
      </c>
    </row>
    <row r="287" spans="1:3" x14ac:dyDescent="0.2">
      <c r="A287" t="str">
        <f t="shared" ca="1" si="4"/>
        <v>Строительство здания</v>
      </c>
      <c r="B287" t="s">
        <v>336</v>
      </c>
      <c r="C287" t="s">
        <v>1308</v>
      </c>
    </row>
    <row r="288" spans="1:3" x14ac:dyDescent="0.2">
      <c r="A288" t="str">
        <f t="shared" ca="1" si="4"/>
        <v>Внутренняя отделка здания</v>
      </c>
      <c r="B288" t="s">
        <v>337</v>
      </c>
      <c r="C288" t="s">
        <v>1309</v>
      </c>
    </row>
    <row r="289" spans="1:3" x14ac:dyDescent="0.2">
      <c r="A289" t="str">
        <f t="shared" ca="1" si="4"/>
        <v>Коммуникации</v>
      </c>
      <c r="B289" t="s">
        <v>338</v>
      </c>
      <c r="C289" t="s">
        <v>1310</v>
      </c>
    </row>
    <row r="290" spans="1:3" x14ac:dyDescent="0.2">
      <c r="A290" t="str">
        <f t="shared" ca="1" si="4"/>
        <v>Благоустройство территории</v>
      </c>
      <c r="B290" t="s">
        <v>339</v>
      </c>
      <c r="C290" t="s">
        <v>1311</v>
      </c>
    </row>
    <row r="291" spans="1:3" x14ac:dyDescent="0.2">
      <c r="A291" t="str">
        <f t="shared" ca="1" si="4"/>
        <v>Основное оборудование</v>
      </c>
      <c r="B291" t="s">
        <v>340</v>
      </c>
      <c r="C291" t="s">
        <v>1312</v>
      </c>
    </row>
    <row r="292" spans="1:3" x14ac:dyDescent="0.2">
      <c r="A292" t="str">
        <f t="shared" ca="1" si="4"/>
        <v>Вспомогательное оборудование</v>
      </c>
      <c r="B292" t="s">
        <v>341</v>
      </c>
      <c r="C292" t="s">
        <v>1313</v>
      </c>
    </row>
    <row r="293" spans="1:3" x14ac:dyDescent="0.2">
      <c r="A293" t="str">
        <f t="shared" ca="1" si="4"/>
        <v>Оборудование склада</v>
      </c>
      <c r="B293" t="s">
        <v>342</v>
      </c>
      <c r="C293" t="s">
        <v>1314</v>
      </c>
    </row>
    <row r="294" spans="1:3" x14ac:dyDescent="0.2">
      <c r="A294" t="str">
        <f t="shared" ca="1" si="4"/>
        <v>Транспорт</v>
      </c>
      <c r="B294" t="s">
        <v>343</v>
      </c>
      <c r="C294" t="s">
        <v>1315</v>
      </c>
    </row>
    <row r="295" spans="1:3" x14ac:dyDescent="0.2">
      <c r="A295" t="str">
        <f t="shared" ca="1" si="4"/>
        <v>Офисная мебель, компьютеры, оргтехника</v>
      </c>
      <c r="B295" t="s">
        <v>344</v>
      </c>
      <c r="C295" t="s">
        <v>1316</v>
      </c>
    </row>
    <row r="296" spans="1:3" x14ac:dyDescent="0.2">
      <c r="A296" t="str">
        <f t="shared" ca="1" si="4"/>
        <v>Получение лицензии</v>
      </c>
      <c r="B296" t="s">
        <v>345</v>
      </c>
      <c r="C296" t="s">
        <v>1317</v>
      </c>
    </row>
    <row r="297" spans="1:3" x14ac:dyDescent="0.2">
      <c r="A297" t="str">
        <f t="shared" ca="1" si="4"/>
        <v>Разработка сайта</v>
      </c>
      <c r="B297" t="s">
        <v>346</v>
      </c>
      <c r="C297" t="s">
        <v>1318</v>
      </c>
    </row>
    <row r="298" spans="1:3" x14ac:dyDescent="0.2">
      <c r="A298" t="str">
        <f t="shared" ca="1" si="4"/>
        <v>Система бухгалтерского учета</v>
      </c>
      <c r="B298" t="s">
        <v>347</v>
      </c>
      <c r="C298" t="s">
        <v>1319</v>
      </c>
    </row>
    <row r="299" spans="1:3" x14ac:dyDescent="0.2">
      <c r="A299" t="str">
        <f t="shared" ca="1" si="4"/>
        <v>Система взаимодействия с клиентами (CRM)</v>
      </c>
      <c r="B299" t="s">
        <v>348</v>
      </c>
      <c r="C299" t="s">
        <v>1320</v>
      </c>
    </row>
    <row r="300" spans="1:3" x14ac:dyDescent="0.2">
      <c r="A300" t="str">
        <f t="shared" ca="1" si="4"/>
        <v>Программы для рабочих мест сотрудников</v>
      </c>
      <c r="B300" t="s">
        <v>349</v>
      </c>
      <c r="C300" t="s">
        <v>1321</v>
      </c>
    </row>
    <row r="301" spans="1:3" x14ac:dyDescent="0.2">
      <c r="A301" t="str">
        <f t="shared" ca="1" si="4"/>
        <v>Аренда производственного помещения</v>
      </c>
      <c r="B301" t="s">
        <v>1355</v>
      </c>
      <c r="C301" t="s">
        <v>1356</v>
      </c>
    </row>
    <row r="302" spans="1:3" x14ac:dyDescent="0.2">
      <c r="A302" t="str">
        <f t="shared" ca="1" si="4"/>
        <v>Коммунальные расходы</v>
      </c>
      <c r="B302" t="s">
        <v>1357</v>
      </c>
      <c r="C302" t="s">
        <v>1358</v>
      </c>
    </row>
    <row r="303" spans="1:3" x14ac:dyDescent="0.2">
      <c r="A303" t="str">
        <f t="shared" ca="1" si="4"/>
        <v>Содержание оборудования</v>
      </c>
      <c r="B303" t="s">
        <v>1359</v>
      </c>
      <c r="C303" t="s">
        <v>1360</v>
      </c>
    </row>
    <row r="304" spans="1:3" x14ac:dyDescent="0.2">
      <c r="A304" t="str">
        <f t="shared" ca="1" si="4"/>
        <v>Охрана и безопасность</v>
      </c>
      <c r="B304" t="s">
        <v>1361</v>
      </c>
      <c r="C304" t="s">
        <v>1362</v>
      </c>
    </row>
    <row r="305" spans="1:3" x14ac:dyDescent="0.2">
      <c r="A305" t="str">
        <f t="shared" ca="1" si="4"/>
        <v>Уборка и содержание территории</v>
      </c>
      <c r="B305" t="s">
        <v>1363</v>
      </c>
      <c r="C305" t="s">
        <v>1364</v>
      </c>
    </row>
    <row r="306" spans="1:3" x14ac:dyDescent="0.2">
      <c r="A306" t="str">
        <f t="shared" ca="1" si="4"/>
        <v>Транспортные расходы</v>
      </c>
      <c r="B306" t="s">
        <v>1365</v>
      </c>
      <c r="C306" t="s">
        <v>1366</v>
      </c>
    </row>
    <row r="307" spans="1:3" x14ac:dyDescent="0.2">
      <c r="A307" t="str">
        <f t="shared" ca="1" si="4"/>
        <v>Аренда офиса</v>
      </c>
      <c r="B307" t="s">
        <v>1367</v>
      </c>
      <c r="C307" t="s">
        <v>1368</v>
      </c>
    </row>
    <row r="308" spans="1:3" x14ac:dyDescent="0.2">
      <c r="A308" t="str">
        <f t="shared" ca="1" si="4"/>
        <v>Офисные расходы</v>
      </c>
      <c r="B308" t="s">
        <v>1369</v>
      </c>
      <c r="C308" t="s">
        <v>1370</v>
      </c>
    </row>
    <row r="309" spans="1:3" x14ac:dyDescent="0.2">
      <c r="A309" t="str">
        <f t="shared" ca="1" si="4"/>
        <v>Телекоммуникации</v>
      </c>
      <c r="B309" t="s">
        <v>1371</v>
      </c>
      <c r="C309" t="s">
        <v>1372</v>
      </c>
    </row>
    <row r="310" spans="1:3" x14ac:dyDescent="0.2">
      <c r="A310" t="str">
        <f t="shared" ca="1" si="4"/>
        <v>IT расходы</v>
      </c>
      <c r="B310" t="s">
        <v>1373</v>
      </c>
      <c r="C310" t="s">
        <v>1374</v>
      </c>
    </row>
    <row r="311" spans="1:3" x14ac:dyDescent="0.2">
      <c r="A311" t="str">
        <f t="shared" ca="1" si="4"/>
        <v>Командировки</v>
      </c>
      <c r="B311" t="s">
        <v>1375</v>
      </c>
      <c r="C311" t="s">
        <v>1376</v>
      </c>
    </row>
    <row r="312" spans="1:3" x14ac:dyDescent="0.2">
      <c r="A312" t="str">
        <f t="shared" ca="1" si="4"/>
        <v>Услуги юристов и консультантов</v>
      </c>
      <c r="B312" t="s">
        <v>1377</v>
      </c>
      <c r="C312" t="s">
        <v>1378</v>
      </c>
    </row>
    <row r="313" spans="1:3" x14ac:dyDescent="0.2">
      <c r="A313" t="str">
        <f t="shared" ca="1" si="4"/>
        <v>Реклама в прессе и интернете</v>
      </c>
      <c r="B313" t="s">
        <v>1379</v>
      </c>
      <c r="C313" t="s">
        <v>1380</v>
      </c>
    </row>
    <row r="314" spans="1:3" x14ac:dyDescent="0.2">
      <c r="A314" t="str">
        <f t="shared" ca="1" si="4"/>
        <v>Рекламные мероприятия</v>
      </c>
      <c r="B314" t="s">
        <v>1381</v>
      </c>
      <c r="C314" t="s">
        <v>1382</v>
      </c>
    </row>
    <row r="315" spans="1:3" x14ac:dyDescent="0.2">
      <c r="A315" t="str">
        <f t="shared" ca="1" si="4"/>
        <v>Маркетинговые материалы</v>
      </c>
      <c r="B315" t="s">
        <v>1383</v>
      </c>
      <c r="C315" t="s">
        <v>1384</v>
      </c>
    </row>
    <row r="316" spans="1:3" x14ac:dyDescent="0.2">
      <c r="A316" t="str">
        <f t="shared" ca="1" si="4"/>
        <v>Участие в выставках и конференциях</v>
      </c>
      <c r="B316" t="s">
        <v>1385</v>
      </c>
      <c r="C316" t="s">
        <v>1386</v>
      </c>
    </row>
    <row r="317" spans="1:3" x14ac:dyDescent="0.2">
      <c r="A317">
        <f t="shared" ca="1" si="4"/>
        <v>0</v>
      </c>
    </row>
    <row r="318" spans="1:3" x14ac:dyDescent="0.2">
      <c r="A318">
        <f t="shared" ca="1" si="4"/>
        <v>0</v>
      </c>
    </row>
    <row r="319" spans="1:3" x14ac:dyDescent="0.2">
      <c r="A319">
        <f t="shared" ca="1" si="4"/>
        <v>0</v>
      </c>
    </row>
    <row r="320" spans="1:3" x14ac:dyDescent="0.2">
      <c r="A320" s="24" t="str">
        <f t="shared" ca="1" si="4"/>
        <v>Настройка анализа чувствительности</v>
      </c>
      <c r="B320" t="s">
        <v>912</v>
      </c>
      <c r="C320" t="s">
        <v>1322</v>
      </c>
    </row>
    <row r="321" spans="1:3" x14ac:dyDescent="0.2">
      <c r="A321" t="str">
        <f t="shared" ca="1" si="4"/>
        <v>Изменяемый параметр для столбцов:</v>
      </c>
      <c r="B321" t="s">
        <v>916</v>
      </c>
      <c r="C321" t="s">
        <v>1323</v>
      </c>
    </row>
    <row r="322" spans="1:3" x14ac:dyDescent="0.2">
      <c r="A322" t="str">
        <f t="shared" ca="1" si="4"/>
        <v>Изменяемый параметр для линий:</v>
      </c>
      <c r="B322" t="s">
        <v>917</v>
      </c>
      <c r="C322" t="s">
        <v>1324</v>
      </c>
    </row>
    <row r="323" spans="1:3" x14ac:dyDescent="0.2">
      <c r="A323" t="str">
        <f t="shared" ca="1" si="4"/>
        <v>Параметр, который будет использован как результат:</v>
      </c>
      <c r="B323" t="s">
        <v>918</v>
      </c>
      <c r="C323" t="s">
        <v>1325</v>
      </c>
    </row>
    <row r="324" spans="1:3" x14ac:dyDescent="0.2">
      <c r="A324" t="str">
        <f t="shared" ref="A324:A369" ca="1" si="5">OFFSET(A324,0,Prj_Language)</f>
        <v>Использовать несколько линий</v>
      </c>
      <c r="B324" t="s">
        <v>919</v>
      </c>
      <c r="C324" t="s">
        <v>1326</v>
      </c>
    </row>
    <row r="325" spans="1:3" x14ac:dyDescent="0.2">
      <c r="A325" t="str">
        <f t="shared" ca="1" si="5"/>
        <v>от</v>
      </c>
      <c r="B325" t="s">
        <v>601</v>
      </c>
      <c r="C325" t="s">
        <v>1300</v>
      </c>
    </row>
    <row r="326" spans="1:3" x14ac:dyDescent="0.2">
      <c r="A326" t="str">
        <f t="shared" ca="1" si="5"/>
        <v>с шагом</v>
      </c>
      <c r="B326" t="s">
        <v>859</v>
      </c>
      <c r="C326" t="s">
        <v>1327</v>
      </c>
    </row>
    <row r="327" spans="1:3" x14ac:dyDescent="0.2">
      <c r="A327" t="str">
        <f t="shared" ca="1" si="5"/>
        <v>Неправильные настройки изменяемого параметра для столбцов!</v>
      </c>
      <c r="B327" t="s">
        <v>920</v>
      </c>
      <c r="C327" t="s">
        <v>1328</v>
      </c>
    </row>
    <row r="328" spans="1:3" x14ac:dyDescent="0.2">
      <c r="A328" t="str">
        <f t="shared" ca="1" si="5"/>
        <v>Неправильные настройки изменяемого параметра для линий!</v>
      </c>
      <c r="B328" t="s">
        <v>921</v>
      </c>
      <c r="C328" t="s">
        <v>1329</v>
      </c>
    </row>
    <row r="329" spans="1:3" x14ac:dyDescent="0.2">
      <c r="A329" t="str">
        <f t="shared" ca="1" si="5"/>
        <v>Неправильные настройки результирующего параметра!</v>
      </c>
      <c r="B329" t="s">
        <v>922</v>
      </c>
      <c r="C329" t="s">
        <v>1330</v>
      </c>
    </row>
    <row r="330" spans="1:3" x14ac:dyDescent="0.2">
      <c r="A330" s="19" t="str">
        <f t="shared" ca="1" si="5"/>
        <v>Анализ чувствительности… Расчет № ***</v>
      </c>
      <c r="B330" t="s">
        <v>1529</v>
      </c>
      <c r="C330" t="s">
        <v>2158</v>
      </c>
    </row>
    <row r="331" spans="1:3" x14ac:dyDescent="0.2">
      <c r="A331">
        <f t="shared" ca="1" si="5"/>
        <v>0</v>
      </c>
    </row>
    <row r="332" spans="1:3" x14ac:dyDescent="0.2">
      <c r="A332">
        <f t="shared" ca="1" si="5"/>
        <v>0</v>
      </c>
    </row>
    <row r="333" spans="1:3" x14ac:dyDescent="0.2">
      <c r="A333">
        <f t="shared" ca="1" si="5"/>
        <v>0</v>
      </c>
    </row>
    <row r="334" spans="1:3" x14ac:dyDescent="0.2">
      <c r="A334">
        <f t="shared" ca="1" si="5"/>
        <v>0</v>
      </c>
    </row>
    <row r="335" spans="1:3" x14ac:dyDescent="0.2">
      <c r="A335">
        <f t="shared" ca="1" si="5"/>
        <v>0</v>
      </c>
    </row>
    <row r="336" spans="1:3" x14ac:dyDescent="0.2">
      <c r="A336">
        <f t="shared" ca="1" si="5"/>
        <v>0</v>
      </c>
    </row>
    <row r="337" spans="1:3" x14ac:dyDescent="0.2">
      <c r="A337">
        <f t="shared" ca="1" si="5"/>
        <v>0</v>
      </c>
    </row>
    <row r="338" spans="1:3" x14ac:dyDescent="0.2">
      <c r="A338">
        <f t="shared" ca="1" si="5"/>
        <v>0</v>
      </c>
    </row>
    <row r="339" spans="1:3" x14ac:dyDescent="0.2">
      <c r="A339">
        <f t="shared" ca="1" si="5"/>
        <v>0</v>
      </c>
    </row>
    <row r="340" spans="1:3" x14ac:dyDescent="0.2">
      <c r="A340" s="24" t="str">
        <f t="shared" ca="1" si="5"/>
        <v>Настройка сценариев</v>
      </c>
      <c r="B340" t="s">
        <v>818</v>
      </c>
      <c r="C340" t="s">
        <v>1331</v>
      </c>
    </row>
    <row r="341" spans="1:3" x14ac:dyDescent="0.2">
      <c r="A341" t="str">
        <f t="shared" ca="1" si="5"/>
        <v>Использовать несколько сценариев</v>
      </c>
      <c r="B341" t="s">
        <v>819</v>
      </c>
      <c r="C341" t="s">
        <v>1332</v>
      </c>
    </row>
    <row r="342" spans="1:3" x14ac:dyDescent="0.2">
      <c r="A342" t="str">
        <f t="shared" ca="1" si="5"/>
        <v>Количество сценариев:</v>
      </c>
      <c r="B342" t="s">
        <v>820</v>
      </c>
      <c r="C342" t="s">
        <v>1333</v>
      </c>
    </row>
    <row r="343" spans="1:3" x14ac:dyDescent="0.2">
      <c r="A343" t="str">
        <f t="shared" ca="1" si="5"/>
        <v>Параметры, которые устанавливаются для каждого сценария:</v>
      </c>
      <c r="B343" t="s">
        <v>843</v>
      </c>
      <c r="C343" t="s">
        <v>1334</v>
      </c>
    </row>
    <row r="344" spans="1:3" x14ac:dyDescent="0.2">
      <c r="A344" t="str">
        <f t="shared" ca="1" si="5"/>
        <v>Добавить...</v>
      </c>
      <c r="B344" t="s">
        <v>254</v>
      </c>
      <c r="C344" t="s">
        <v>433</v>
      </c>
    </row>
    <row r="345" spans="1:3" x14ac:dyDescent="0.2">
      <c r="A345" t="str">
        <f t="shared" ca="1" si="5"/>
        <v>Удалить</v>
      </c>
      <c r="B345" t="s">
        <v>255</v>
      </c>
      <c r="C345" t="s">
        <v>1335</v>
      </c>
    </row>
    <row r="346" spans="1:3" x14ac:dyDescent="0.2">
      <c r="A346" t="str">
        <f t="shared" ca="1" si="5"/>
        <v>Вариант</v>
      </c>
      <c r="B346" t="s">
        <v>841</v>
      </c>
      <c r="C346" t="s">
        <v>842</v>
      </c>
    </row>
    <row r="347" spans="1:3" x14ac:dyDescent="0.2">
      <c r="A347" t="str">
        <f t="shared" ca="1" si="5"/>
        <v>Необходимо выбрать хотя бы один параметр.</v>
      </c>
      <c r="B347" t="s">
        <v>821</v>
      </c>
      <c r="C347" t="s">
        <v>1336</v>
      </c>
    </row>
    <row r="348" spans="1:3" x14ac:dyDescent="0.2">
      <c r="A348" t="str">
        <f t="shared" ca="1" si="5"/>
        <v>Все параметры будут удалены?</v>
      </c>
      <c r="B348" t="s">
        <v>822</v>
      </c>
      <c r="C348" t="s">
        <v>1337</v>
      </c>
    </row>
    <row r="349" spans="1:3" x14ac:dyDescent="0.2">
      <c r="A349" t="str">
        <f t="shared" ca="1" si="5"/>
        <v>Слишком много параметров.</v>
      </c>
      <c r="B349" t="s">
        <v>823</v>
      </c>
      <c r="C349" t="s">
        <v>1338</v>
      </c>
    </row>
    <row r="350" spans="1:3" x14ac:dyDescent="0.2">
      <c r="A350" t="str">
        <f t="shared" ca="1" si="5"/>
        <v>Список параметров пуст.</v>
      </c>
      <c r="B350" t="s">
        <v>824</v>
      </c>
      <c r="C350" t="s">
        <v>1339</v>
      </c>
    </row>
    <row r="351" spans="1:3" x14ac:dyDescent="0.2">
      <c r="A351" t="str">
        <f t="shared" ca="1" si="5"/>
        <v>Необходимо выбрать параметры для удаления.</v>
      </c>
      <c r="B351" t="s">
        <v>825</v>
      </c>
      <c r="C351" t="s">
        <v>1340</v>
      </c>
    </row>
    <row r="352" spans="1:3" x14ac:dyDescent="0.2">
      <c r="A352" t="str">
        <f t="shared" ca="1" si="5"/>
        <v>Вы действительно хотите удалить выбранные параметры?</v>
      </c>
      <c r="B352" t="s">
        <v>826</v>
      </c>
      <c r="C352" t="s">
        <v>1341</v>
      </c>
    </row>
    <row r="353" spans="1:3" x14ac:dyDescent="0.2">
      <c r="A353" t="str">
        <f t="shared" ca="1" si="5"/>
        <v>Неправильная ссылка.</v>
      </c>
      <c r="B353" t="s">
        <v>835</v>
      </c>
      <c r="C353" t="s">
        <v>1342</v>
      </c>
    </row>
    <row r="354" spans="1:3" x14ac:dyDescent="0.2">
      <c r="A354" t="str">
        <f t="shared" ca="1" si="5"/>
        <v>Необходимо выбрать одну строку.</v>
      </c>
      <c r="B354" t="s">
        <v>836</v>
      </c>
      <c r="C354" t="s">
        <v>1343</v>
      </c>
    </row>
    <row r="355" spans="1:3" x14ac:dyDescent="0.2">
      <c r="A355" t="str">
        <f t="shared" ca="1" si="5"/>
        <v>Параметр не выбран.</v>
      </c>
      <c r="B355" t="s">
        <v>837</v>
      </c>
      <c r="C355" t="s">
        <v>1344</v>
      </c>
    </row>
    <row r="356" spans="1:3" x14ac:dyDescent="0.2">
      <c r="A356" t="str">
        <f t="shared" ca="1" si="5"/>
        <v>Необходимо указать название параметра.</v>
      </c>
      <c r="B356" t="s">
        <v>838</v>
      </c>
      <c r="C356" t="s">
        <v>1345</v>
      </c>
    </row>
    <row r="357" spans="1:3" x14ac:dyDescent="0.2">
      <c r="A357" t="str">
        <f t="shared" ca="1" si="5"/>
        <v>Выбранный параметр не является константой.</v>
      </c>
      <c r="B357" t="s">
        <v>839</v>
      </c>
      <c r="C357" t="s">
        <v>1346</v>
      </c>
    </row>
    <row r="358" spans="1:3" x14ac:dyDescent="0.2">
      <c r="A358" t="str">
        <f t="shared" ca="1" si="5"/>
        <v>Выбранный параметр не является рядом.</v>
      </c>
      <c r="B358" t="s">
        <v>840</v>
      </c>
      <c r="C358" t="s">
        <v>1347</v>
      </c>
    </row>
    <row r="359" spans="1:3" x14ac:dyDescent="0.2">
      <c r="A359">
        <f t="shared" ca="1" si="5"/>
        <v>0</v>
      </c>
    </row>
    <row r="360" spans="1:3" x14ac:dyDescent="0.2">
      <c r="A360" s="24" t="str">
        <f t="shared" ca="1" si="5"/>
        <v>Добавить параметр</v>
      </c>
      <c r="B360" t="s">
        <v>828</v>
      </c>
      <c r="C360" t="s">
        <v>1348</v>
      </c>
    </row>
    <row r="361" spans="1:3" x14ac:dyDescent="0.2">
      <c r="A361" t="str">
        <f t="shared" ca="1" si="5"/>
        <v>Где находится параметр:</v>
      </c>
      <c r="B361" t="s">
        <v>829</v>
      </c>
      <c r="C361" t="s">
        <v>1349</v>
      </c>
    </row>
    <row r="362" spans="1:3" x14ac:dyDescent="0.2">
      <c r="A362" t="str">
        <f t="shared" ca="1" si="5"/>
        <v>Название параметра:</v>
      </c>
      <c r="B362" t="s">
        <v>830</v>
      </c>
      <c r="C362" t="s">
        <v>1350</v>
      </c>
    </row>
    <row r="363" spans="1:3" x14ac:dyDescent="0.2">
      <c r="A363" t="str">
        <f t="shared" ca="1" si="5"/>
        <v>Тип параметра:</v>
      </c>
      <c r="B363" t="s">
        <v>831</v>
      </c>
      <c r="C363" t="s">
        <v>1351</v>
      </c>
    </row>
    <row r="364" spans="1:3" x14ac:dyDescent="0.2">
      <c r="A364" t="str">
        <f t="shared" ca="1" si="5"/>
        <v>Константа (значение в колонке B)</v>
      </c>
      <c r="B364" t="s">
        <v>832</v>
      </c>
      <c r="C364" t="s">
        <v>1352</v>
      </c>
    </row>
    <row r="365" spans="1:3" x14ac:dyDescent="0.2">
      <c r="A365" t="str">
        <f t="shared" ca="1" si="5"/>
        <v>Ряд (значения в колонках периодов)</v>
      </c>
      <c r="B365" t="s">
        <v>833</v>
      </c>
      <c r="C365" t="s">
        <v>1353</v>
      </c>
    </row>
    <row r="366" spans="1:3" x14ac:dyDescent="0.2">
      <c r="A366" t="str">
        <f t="shared" ca="1" si="5"/>
        <v>Выбранные Вами данные теперь будут редактироваться на листе Сценарии и для каждого сценария можно будет указать свое значение.</v>
      </c>
      <c r="B366" t="s">
        <v>834</v>
      </c>
      <c r="C366" t="s">
        <v>1354</v>
      </c>
    </row>
    <row r="367" spans="1:3" x14ac:dyDescent="0.2">
      <c r="A367">
        <f t="shared" ca="1" si="5"/>
        <v>0</v>
      </c>
    </row>
    <row r="368" spans="1:3" x14ac:dyDescent="0.2">
      <c r="A368">
        <f t="shared" ca="1" si="5"/>
        <v>0</v>
      </c>
    </row>
    <row r="369" spans="1:4" x14ac:dyDescent="0.2">
      <c r="A369">
        <f t="shared" ca="1" si="5"/>
        <v>0</v>
      </c>
    </row>
    <row r="370" spans="1:4" x14ac:dyDescent="0.2">
      <c r="A370" s="6" t="s">
        <v>117</v>
      </c>
      <c r="B370" s="6"/>
      <c r="C370" s="6"/>
      <c r="D370" s="6"/>
    </row>
    <row r="371" spans="1:4" x14ac:dyDescent="0.2">
      <c r="A371" t="str">
        <f t="shared" ref="A371:A434" ca="1" si="6">OFFSET(A371,0,Prj_Language)</f>
        <v>Выключена</v>
      </c>
      <c r="B371" t="s">
        <v>80</v>
      </c>
      <c r="C371" t="s">
        <v>483</v>
      </c>
    </row>
    <row r="372" spans="1:4" x14ac:dyDescent="0.2">
      <c r="A372" t="str">
        <f t="shared" ca="1" si="6"/>
        <v>Включена</v>
      </c>
      <c r="B372" t="s">
        <v>14</v>
      </c>
      <c r="C372" t="s">
        <v>482</v>
      </c>
    </row>
    <row r="373" spans="1:4" x14ac:dyDescent="0.2">
      <c r="A373" t="str">
        <f t="shared" ca="1" si="6"/>
        <v>Включена (с паролем)</v>
      </c>
      <c r="B373" t="s">
        <v>81</v>
      </c>
      <c r="C373" t="s">
        <v>481</v>
      </c>
    </row>
    <row r="374" spans="1:4" x14ac:dyDescent="0.2">
      <c r="A374" t="str">
        <f t="shared" ca="1" si="6"/>
        <v>зачитывать при будущих расчетах</v>
      </c>
      <c r="B374" t="s">
        <v>77</v>
      </c>
      <c r="C374" t="s">
        <v>495</v>
      </c>
    </row>
    <row r="375" spans="1:4" x14ac:dyDescent="0.2">
      <c r="A375" t="str">
        <f t="shared" ca="1" si="6"/>
        <v>возврат из бюджета</v>
      </c>
      <c r="B375" t="s">
        <v>247</v>
      </c>
      <c r="C375" t="s">
        <v>496</v>
      </c>
    </row>
    <row r="376" spans="1:4" x14ac:dyDescent="0.2">
      <c r="A376" t="str">
        <f t="shared" ca="1" si="6"/>
        <v>Название проекта</v>
      </c>
      <c r="B376" t="s">
        <v>39</v>
      </c>
      <c r="C376" t="s">
        <v>497</v>
      </c>
    </row>
    <row r="377" spans="1:4" x14ac:dyDescent="0.2">
      <c r="A377" t="str">
        <f t="shared" ca="1" si="6"/>
        <v>Проект без названия</v>
      </c>
      <c r="B377" t="s">
        <v>40</v>
      </c>
      <c r="C377" t="s">
        <v>498</v>
      </c>
    </row>
    <row r="378" spans="1:4" x14ac:dyDescent="0.2">
      <c r="A378" t="str">
        <f t="shared" ca="1" si="6"/>
        <v>НАСТРОЙКА ВИДА ТАБЛИЦ</v>
      </c>
      <c r="B378" t="s">
        <v>29</v>
      </c>
      <c r="C378" t="s">
        <v>499</v>
      </c>
    </row>
    <row r="379" spans="1:4" x14ac:dyDescent="0.2">
      <c r="A379" t="str">
        <f t="shared" ca="1" si="6"/>
        <v>Язык интерфейса и отчетности</v>
      </c>
      <c r="B379" t="s">
        <v>13</v>
      </c>
      <c r="C379" t="s">
        <v>500</v>
      </c>
    </row>
    <row r="380" spans="1:4" x14ac:dyDescent="0.2">
      <c r="A380" t="str">
        <f t="shared" ca="1" si="6"/>
        <v>Защита модели</v>
      </c>
      <c r="B380" t="s">
        <v>630</v>
      </c>
      <c r="C380" t="s">
        <v>501</v>
      </c>
    </row>
    <row r="381" spans="1:4" x14ac:dyDescent="0.2">
      <c r="A381" t="str">
        <f t="shared" ca="1" si="6"/>
        <v>Стиль оформления листов</v>
      </c>
      <c r="B381" t="s">
        <v>36</v>
      </c>
      <c r="C381" t="s">
        <v>502</v>
      </c>
    </row>
    <row r="382" spans="1:4" x14ac:dyDescent="0.2">
      <c r="A382" t="str">
        <f t="shared" ca="1" si="6"/>
        <v>ДАТА НАЧАЛА И ДЛИТЕЛЬНОСТЬ</v>
      </c>
      <c r="B382" t="s">
        <v>21</v>
      </c>
      <c r="C382" t="s">
        <v>503</v>
      </c>
    </row>
    <row r="383" spans="1:4" x14ac:dyDescent="0.2">
      <c r="A383" t="str">
        <f t="shared" ca="1" si="6"/>
        <v>Дата начала проекта</v>
      </c>
      <c r="B383" t="s">
        <v>7</v>
      </c>
      <c r="C383" t="s">
        <v>504</v>
      </c>
    </row>
    <row r="384" spans="1:4" x14ac:dyDescent="0.2">
      <c r="A384" t="str">
        <f t="shared" ca="1" si="6"/>
        <v>Горизонт планирования проекта</v>
      </c>
      <c r="B384" t="s">
        <v>210</v>
      </c>
      <c r="C384" t="s">
        <v>505</v>
      </c>
    </row>
    <row r="385" spans="1:3" x14ac:dyDescent="0.2">
      <c r="A385" t="str">
        <f t="shared" ca="1" si="6"/>
        <v>Инвестиционная фаза проекта</v>
      </c>
      <c r="B385" t="s">
        <v>232</v>
      </c>
      <c r="C385" t="s">
        <v>506</v>
      </c>
    </row>
    <row r="386" spans="1:3" x14ac:dyDescent="0.2">
      <c r="A386" t="str">
        <f t="shared" ca="1" si="6"/>
        <v>Шаг планирования</v>
      </c>
      <c r="B386" t="s">
        <v>8</v>
      </c>
      <c r="C386" t="s">
        <v>165</v>
      </c>
    </row>
    <row r="387" spans="1:3" x14ac:dyDescent="0.2">
      <c r="A387" t="str">
        <f t="shared" ca="1" si="6"/>
        <v>Длительность шага планирования</v>
      </c>
      <c r="B387" t="s">
        <v>9</v>
      </c>
      <c r="C387" t="s">
        <v>507</v>
      </c>
    </row>
    <row r="388" spans="1:3" x14ac:dyDescent="0.2">
      <c r="A388" t="str">
        <f t="shared" ca="1" si="6"/>
        <v>Год начала проекта</v>
      </c>
      <c r="B388" t="s">
        <v>18</v>
      </c>
      <c r="C388" t="s">
        <v>508</v>
      </c>
    </row>
    <row r="389" spans="1:3" x14ac:dyDescent="0.2">
      <c r="A389" t="str">
        <f t="shared" ca="1" si="6"/>
        <v>Месяц начала проекта</v>
      </c>
      <c r="B389" t="s">
        <v>19</v>
      </c>
      <c r="C389" t="s">
        <v>509</v>
      </c>
    </row>
    <row r="390" spans="1:3" x14ac:dyDescent="0.2">
      <c r="A390" t="str">
        <f t="shared" ca="1" si="6"/>
        <v>Номер периода</v>
      </c>
      <c r="B390" t="s">
        <v>24</v>
      </c>
      <c r="C390" t="s">
        <v>510</v>
      </c>
    </row>
    <row r="391" spans="1:3" x14ac:dyDescent="0.2">
      <c r="A391" t="str">
        <f t="shared" ca="1" si="6"/>
        <v>Дата начала периода</v>
      </c>
      <c r="B391" t="s">
        <v>20</v>
      </c>
      <c r="C391" t="s">
        <v>511</v>
      </c>
    </row>
    <row r="392" spans="1:3" x14ac:dyDescent="0.2">
      <c r="A392" t="str">
        <f t="shared" ca="1" si="6"/>
        <v>Дата конца периода</v>
      </c>
      <c r="B392" t="s">
        <v>170</v>
      </c>
      <c r="C392" t="s">
        <v>512</v>
      </c>
    </row>
    <row r="393" spans="1:3" x14ac:dyDescent="0.2">
      <c r="A393" t="str">
        <f t="shared" ca="1" si="6"/>
        <v>Год периода</v>
      </c>
      <c r="B393" t="s">
        <v>22</v>
      </c>
      <c r="C393" t="s">
        <v>513</v>
      </c>
    </row>
    <row r="394" spans="1:3" x14ac:dyDescent="0.2">
      <c r="A394" t="str">
        <f t="shared" ca="1" si="6"/>
        <v>Месяц начала периода</v>
      </c>
      <c r="B394" t="s">
        <v>23</v>
      </c>
      <c r="C394" t="s">
        <v>514</v>
      </c>
    </row>
    <row r="395" spans="1:3" x14ac:dyDescent="0.2">
      <c r="A395" t="str">
        <f t="shared" ca="1" si="6"/>
        <v>Длительность периода в днях</v>
      </c>
      <c r="B395" t="s">
        <v>25</v>
      </c>
      <c r="C395" t="s">
        <v>515</v>
      </c>
    </row>
    <row r="396" spans="1:3" x14ac:dyDescent="0.2">
      <c r="A396" t="str">
        <f t="shared" ca="1" si="6"/>
        <v>Длительность периода в месяцах</v>
      </c>
      <c r="B396" t="s">
        <v>169</v>
      </c>
      <c r="C396" t="s">
        <v>516</v>
      </c>
    </row>
    <row r="397" spans="1:3" x14ac:dyDescent="0.2">
      <c r="A397" t="str">
        <f t="shared" ca="1" si="6"/>
        <v>Неполный период (1 - да)?</v>
      </c>
      <c r="B397" t="s">
        <v>27</v>
      </c>
      <c r="C397" t="s">
        <v>517</v>
      </c>
    </row>
    <row r="398" spans="1:3" x14ac:dyDescent="0.2">
      <c r="A398" t="str">
        <f t="shared" ca="1" si="6"/>
        <v>Коэффициент для учета неполного периода</v>
      </c>
      <c r="B398" t="s">
        <v>28</v>
      </c>
      <c r="C398" t="s">
        <v>518</v>
      </c>
    </row>
    <row r="399" spans="1:3" x14ac:dyDescent="0.2">
      <c r="A399" t="str">
        <f t="shared" ca="1" si="6"/>
        <v>Название периода для заголовков таблиц</v>
      </c>
      <c r="B399" t="s">
        <v>26</v>
      </c>
      <c r="C399" t="s">
        <v>519</v>
      </c>
    </row>
    <row r="400" spans="1:3" x14ac:dyDescent="0.2">
      <c r="A400" t="str">
        <f t="shared" ca="1" si="6"/>
        <v>ВАЛЮТЫ, КУРСЫ, ИНФЛЯЦИЯ</v>
      </c>
      <c r="B400" t="s">
        <v>30</v>
      </c>
      <c r="C400" t="s">
        <v>1615</v>
      </c>
    </row>
    <row r="401" spans="1:3" x14ac:dyDescent="0.2">
      <c r="A401" t="str">
        <f t="shared" ca="1" si="6"/>
        <v>Учет инфляции при планировании цен</v>
      </c>
      <c r="B401" t="s">
        <v>50</v>
      </c>
      <c r="C401" t="s">
        <v>1616</v>
      </c>
    </row>
    <row r="402" spans="1:3" x14ac:dyDescent="0.2">
      <c r="A402" t="str">
        <f t="shared" ca="1" si="6"/>
        <v>Основная валюта расчетов</v>
      </c>
      <c r="B402" t="s">
        <v>10</v>
      </c>
      <c r="C402" t="s">
        <v>409</v>
      </c>
    </row>
    <row r="403" spans="1:3" x14ac:dyDescent="0.2">
      <c r="A403" t="str">
        <f t="shared" ca="1" si="6"/>
        <v>Темпы роста цен, базовые</v>
      </c>
      <c r="B403" t="s">
        <v>41</v>
      </c>
      <c r="C403" t="s">
        <v>1617</v>
      </c>
    </row>
    <row r="404" spans="1:3" x14ac:dyDescent="0.2">
      <c r="A404" t="str">
        <f t="shared" ca="1" si="6"/>
        <v>Детализация; темпы роста цен в отдельных категориях:</v>
      </c>
      <c r="B404" t="s">
        <v>49</v>
      </c>
      <c r="C404" t="s">
        <v>1618</v>
      </c>
    </row>
    <row r="405" spans="1:3" x14ac:dyDescent="0.2">
      <c r="A405" t="str">
        <f t="shared" ca="1" si="6"/>
        <v>Продажи</v>
      </c>
      <c r="B405" t="s">
        <v>42</v>
      </c>
      <c r="C405" t="s">
        <v>1619</v>
      </c>
    </row>
    <row r="406" spans="1:3" x14ac:dyDescent="0.2">
      <c r="A406" t="str">
        <f t="shared" ca="1" si="6"/>
        <v>Материалы и комплектующие</v>
      </c>
      <c r="B406" t="s">
        <v>43</v>
      </c>
      <c r="C406" t="s">
        <v>1620</v>
      </c>
    </row>
    <row r="407" spans="1:3" x14ac:dyDescent="0.2">
      <c r="A407" t="str">
        <f t="shared" ca="1" si="6"/>
        <v>Прочие переменные затраты</v>
      </c>
      <c r="B407" t="s">
        <v>44</v>
      </c>
      <c r="C407" t="s">
        <v>1621</v>
      </c>
    </row>
    <row r="408" spans="1:3" x14ac:dyDescent="0.2">
      <c r="A408" t="str">
        <f t="shared" ca="1" si="6"/>
        <v>Постоянные производственные издержки</v>
      </c>
      <c r="B408" t="s">
        <v>45</v>
      </c>
      <c r="C408" t="s">
        <v>1622</v>
      </c>
    </row>
    <row r="409" spans="1:3" x14ac:dyDescent="0.2">
      <c r="A409" t="str">
        <f t="shared" ca="1" si="6"/>
        <v>Постоянные административные издержки</v>
      </c>
      <c r="B409" t="s">
        <v>46</v>
      </c>
      <c r="C409" t="s">
        <v>1623</v>
      </c>
    </row>
    <row r="410" spans="1:3" x14ac:dyDescent="0.2">
      <c r="A410" t="str">
        <f t="shared" ca="1" si="6"/>
        <v>Постоянные маркетинговые издержки</v>
      </c>
      <c r="B410" t="s">
        <v>47</v>
      </c>
      <c r="C410" t="s">
        <v>1624</v>
      </c>
    </row>
    <row r="411" spans="1:3" x14ac:dyDescent="0.2">
      <c r="A411" t="str">
        <f t="shared" ca="1" si="6"/>
        <v>Персонал</v>
      </c>
      <c r="B411" t="s">
        <v>48</v>
      </c>
      <c r="C411" t="s">
        <v>1625</v>
      </c>
    </row>
    <row r="412" spans="1:3" x14ac:dyDescent="0.2">
      <c r="A412" t="str">
        <f t="shared" ca="1" si="6"/>
        <v>Валюта отчетности и ее курс к основной валюте</v>
      </c>
      <c r="B412" t="s">
        <v>776</v>
      </c>
      <c r="C412" t="s">
        <v>1626</v>
      </c>
    </row>
    <row r="413" spans="1:3" x14ac:dyDescent="0.2">
      <c r="A413" t="str">
        <f t="shared" ca="1" si="6"/>
        <v>Вторая валюта</v>
      </c>
      <c r="B413" t="s">
        <v>11</v>
      </c>
      <c r="C413" t="s">
        <v>410</v>
      </c>
    </row>
    <row r="414" spans="1:3" x14ac:dyDescent="0.2">
      <c r="A414" t="str">
        <f t="shared" ca="1" si="6"/>
        <v>Курс к основной валюте</v>
      </c>
      <c r="B414" t="s">
        <v>480</v>
      </c>
      <c r="C414" t="s">
        <v>1627</v>
      </c>
    </row>
    <row r="415" spans="1:3" x14ac:dyDescent="0.2">
      <c r="A415" t="str">
        <f t="shared" ca="1" si="6"/>
        <v>Темпы роста курса к основной валюте</v>
      </c>
      <c r="B415" t="s">
        <v>34</v>
      </c>
      <c r="C415" t="s">
        <v>1628</v>
      </c>
    </row>
    <row r="416" spans="1:3" x14ac:dyDescent="0.2">
      <c r="A416" t="str">
        <f t="shared" ca="1" si="6"/>
        <v>То же, в пересчете на период, равный шагу проекта</v>
      </c>
      <c r="B416" t="s">
        <v>32</v>
      </c>
      <c r="C416" t="s">
        <v>1629</v>
      </c>
    </row>
    <row r="417" spans="1:3" x14ac:dyDescent="0.2">
      <c r="A417" t="str">
        <f t="shared" ca="1" si="6"/>
        <v>Предполагаемый темп годового роста цен</v>
      </c>
      <c r="B417" t="s">
        <v>31</v>
      </c>
      <c r="C417" t="s">
        <v>1630</v>
      </c>
    </row>
    <row r="418" spans="1:3" x14ac:dyDescent="0.2">
      <c r="A418" t="str">
        <f t="shared" ca="1" si="6"/>
        <v>Третья валюта</v>
      </c>
      <c r="B418" t="s">
        <v>12</v>
      </c>
      <c r="C418" t="s">
        <v>411</v>
      </c>
    </row>
    <row r="419" spans="1:3" x14ac:dyDescent="0.2">
      <c r="A419" t="str">
        <f t="shared" ca="1" si="6"/>
        <v>ПАРАМЕТРЫ НАЛОГОВ</v>
      </c>
      <c r="B419" t="s">
        <v>52</v>
      </c>
      <c r="C419" t="s">
        <v>1631</v>
      </c>
    </row>
    <row r="420" spans="1:3" x14ac:dyDescent="0.2">
      <c r="A420" t="str">
        <f t="shared" ca="1" si="6"/>
        <v>НАЛОГ НА ДОБАВЛЕННУЮ СТОИМОСТЬ</v>
      </c>
      <c r="B420" t="s">
        <v>63</v>
      </c>
      <c r="C420" t="s">
        <v>1632</v>
      </c>
    </row>
    <row r="421" spans="1:3" x14ac:dyDescent="0.2">
      <c r="A421" t="str">
        <f t="shared" ca="1" si="6"/>
        <v>Стандартная ставка налога</v>
      </c>
      <c r="B421" t="s">
        <v>62</v>
      </c>
      <c r="C421" t="s">
        <v>1633</v>
      </c>
    </row>
    <row r="422" spans="1:3" x14ac:dyDescent="0.2">
      <c r="A422" t="str">
        <f t="shared" ca="1" si="6"/>
        <v>Периодичность выплаты налога, месяцев</v>
      </c>
      <c r="B422" t="s">
        <v>244</v>
      </c>
      <c r="C422" t="s">
        <v>1634</v>
      </c>
    </row>
    <row r="423" spans="1:3" x14ac:dyDescent="0.2">
      <c r="A423" t="str">
        <f t="shared" ca="1" si="6"/>
        <v>Способ зачета переплаченного НДС:</v>
      </c>
      <c r="B423" t="s">
        <v>67</v>
      </c>
      <c r="C423" t="s">
        <v>424</v>
      </c>
    </row>
    <row r="424" spans="1:3" x14ac:dyDescent="0.2">
      <c r="A424" t="str">
        <f t="shared" ca="1" si="6"/>
        <v>прямое возмещение через</v>
      </c>
      <c r="B424" t="s">
        <v>66</v>
      </c>
      <c r="C424" t="s">
        <v>1635</v>
      </c>
    </row>
    <row r="425" spans="1:3" x14ac:dyDescent="0.2">
      <c r="A425" t="str">
        <f t="shared" ca="1" si="6"/>
        <v>НАЛОГ НА ПРИБЫЛЬ</v>
      </c>
      <c r="B425" t="s">
        <v>57</v>
      </c>
      <c r="C425" t="s">
        <v>1636</v>
      </c>
    </row>
    <row r="426" spans="1:3" x14ac:dyDescent="0.2">
      <c r="A426" t="str">
        <f t="shared" ca="1" si="6"/>
        <v>Ставка налога, федеральная составляющая</v>
      </c>
      <c r="B426" t="s">
        <v>53</v>
      </c>
      <c r="C426" t="s">
        <v>1637</v>
      </c>
    </row>
    <row r="427" spans="1:3" x14ac:dyDescent="0.2">
      <c r="A427" t="str">
        <f t="shared" ca="1" si="6"/>
        <v>Ставка налога, местная составляющая</v>
      </c>
      <c r="B427" t="s">
        <v>54</v>
      </c>
      <c r="C427" t="s">
        <v>1638</v>
      </c>
    </row>
    <row r="428" spans="1:3" x14ac:dyDescent="0.2">
      <c r="A428" t="str">
        <f t="shared" ca="1" si="6"/>
        <v>Суммарная ставка налога на прибыль</v>
      </c>
      <c r="B428" t="s">
        <v>55</v>
      </c>
      <c r="C428" t="s">
        <v>1639</v>
      </c>
    </row>
    <row r="429" spans="1:3" x14ac:dyDescent="0.2">
      <c r="A429" t="str">
        <f t="shared" ca="1" si="6"/>
        <v>Периодичность выплаты налога, месяцев</v>
      </c>
      <c r="B429" t="s">
        <v>244</v>
      </c>
      <c r="C429" t="s">
        <v>1634</v>
      </c>
    </row>
    <row r="430" spans="1:3" x14ac:dyDescent="0.2">
      <c r="A430" t="str">
        <f t="shared" ca="1" si="6"/>
        <v>СОЦИАЛЬНЫЕ ВЗНОСЫ</v>
      </c>
      <c r="B430" t="s">
        <v>1207</v>
      </c>
      <c r="C430" t="s">
        <v>1640</v>
      </c>
    </row>
    <row r="431" spans="1:3" x14ac:dyDescent="0.2">
      <c r="A431" t="str">
        <f t="shared" ca="1" si="6"/>
        <v>Ставка взносов в пенсионный фонд</v>
      </c>
      <c r="B431" t="s">
        <v>1208</v>
      </c>
      <c r="C431" t="s">
        <v>1641</v>
      </c>
    </row>
    <row r="432" spans="1:3" x14ac:dyDescent="0.2">
      <c r="A432" t="str">
        <f t="shared" ca="1" si="6"/>
        <v>Ставка взносов на медицинское страхование</v>
      </c>
      <c r="B432" t="s">
        <v>1209</v>
      </c>
      <c r="C432" t="s">
        <v>1642</v>
      </c>
    </row>
    <row r="433" spans="1:3" x14ac:dyDescent="0.2">
      <c r="A433" t="str">
        <f t="shared" ca="1" si="6"/>
        <v>Ставка взносов в фонд социального страхования</v>
      </c>
      <c r="B433" t="s">
        <v>1210</v>
      </c>
      <c r="C433" t="s">
        <v>1643</v>
      </c>
    </row>
    <row r="434" spans="1:3" x14ac:dyDescent="0.2">
      <c r="A434" t="str">
        <f t="shared" ca="1" si="6"/>
        <v>Ставка страхования от несчастных случаев</v>
      </c>
      <c r="B434" t="s">
        <v>65</v>
      </c>
      <c r="C434" s="37" t="s">
        <v>1644</v>
      </c>
    </row>
    <row r="435" spans="1:3" x14ac:dyDescent="0.2">
      <c r="A435" t="str">
        <f t="shared" ref="A435:A500" ca="1" si="7">OFFSET(A435,0,Prj_Language)</f>
        <v>Ставка других социальных взносов</v>
      </c>
      <c r="B435" t="s">
        <v>1211</v>
      </c>
      <c r="C435" s="37" t="s">
        <v>1645</v>
      </c>
    </row>
    <row r="436" spans="1:3" x14ac:dyDescent="0.2">
      <c r="A436" t="str">
        <f t="shared" ca="1" si="7"/>
        <v>Суммарная ставка социальных взносов</v>
      </c>
      <c r="B436" t="s">
        <v>1212</v>
      </c>
      <c r="C436" t="s">
        <v>1646</v>
      </c>
    </row>
    <row r="437" spans="1:3" x14ac:dyDescent="0.2">
      <c r="A437" t="str">
        <f t="shared" ca="1" si="7"/>
        <v>Периодичность выплаты налога, месяцев</v>
      </c>
      <c r="B437" t="s">
        <v>244</v>
      </c>
      <c r="C437" t="s">
        <v>1634</v>
      </c>
    </row>
    <row r="438" spans="1:3" x14ac:dyDescent="0.2">
      <c r="A438" t="str">
        <f t="shared" ca="1" si="7"/>
        <v>НАЛОГ НА ИМУЩЕСТВО</v>
      </c>
      <c r="B438" t="s">
        <v>58</v>
      </c>
      <c r="C438" t="s">
        <v>1647</v>
      </c>
    </row>
    <row r="439" spans="1:3" x14ac:dyDescent="0.2">
      <c r="A439" t="str">
        <f t="shared" ca="1" si="7"/>
        <v>Ставка налога для недвижимости</v>
      </c>
      <c r="B439" t="s">
        <v>59</v>
      </c>
      <c r="C439" t="s">
        <v>1648</v>
      </c>
    </row>
    <row r="440" spans="1:3" x14ac:dyDescent="0.2">
      <c r="A440" t="str">
        <f t="shared" ca="1" si="7"/>
        <v>Ставка налога для оборудования</v>
      </c>
      <c r="B440" t="s">
        <v>60</v>
      </c>
      <c r="C440" t="s">
        <v>1649</v>
      </c>
    </row>
    <row r="441" spans="1:3" x14ac:dyDescent="0.2">
      <c r="A441" t="str">
        <f t="shared" ca="1" si="7"/>
        <v>Периодичность выплаты налога, месяцев</v>
      </c>
      <c r="B441" t="s">
        <v>244</v>
      </c>
      <c r="C441" t="s">
        <v>1634</v>
      </c>
    </row>
    <row r="442" spans="1:3" x14ac:dyDescent="0.2">
      <c r="A442" t="str">
        <f t="shared" ca="1" si="7"/>
        <v>НАЛОГ С ОБОРОТА (УСН)</v>
      </c>
      <c r="B442" t="s">
        <v>61</v>
      </c>
      <c r="C442" t="s">
        <v>1650</v>
      </c>
    </row>
    <row r="443" spans="1:3" x14ac:dyDescent="0.2">
      <c r="A443" t="str">
        <f t="shared" ca="1" si="7"/>
        <v>Ставка налога</v>
      </c>
      <c r="B443" t="s">
        <v>245</v>
      </c>
      <c r="C443" t="s">
        <v>1651</v>
      </c>
    </row>
    <row r="444" spans="1:3" x14ac:dyDescent="0.2">
      <c r="A444" t="str">
        <f t="shared" ca="1" si="7"/>
        <v>Периодичность выплаты налога, месяцев</v>
      </c>
      <c r="B444" t="s">
        <v>244</v>
      </c>
      <c r="C444" t="s">
        <v>1634</v>
      </c>
    </row>
    <row r="445" spans="1:3" x14ac:dyDescent="0.2">
      <c r="A445" t="str">
        <f t="shared" ca="1" si="7"/>
        <v>НАЛОГ С ДОХОДА, УМЕНЬШЕННОГО НА РАСХОДЫ (УСН, ЕСХН)</v>
      </c>
      <c r="B445" t="s">
        <v>68</v>
      </c>
      <c r="C445" t="s">
        <v>1652</v>
      </c>
    </row>
    <row r="446" spans="1:3" x14ac:dyDescent="0.2">
      <c r="A446" t="str">
        <f t="shared" ca="1" si="7"/>
        <v>Ставка налога</v>
      </c>
      <c r="B446" t="s">
        <v>245</v>
      </c>
      <c r="C446" t="s">
        <v>1651</v>
      </c>
    </row>
    <row r="447" spans="1:3" x14ac:dyDescent="0.2">
      <c r="A447" t="str">
        <f t="shared" ca="1" si="7"/>
        <v>Периодичность выплаты налога, месяцев</v>
      </c>
      <c r="B447" t="s">
        <v>244</v>
      </c>
      <c r="C447" t="s">
        <v>1634</v>
      </c>
    </row>
    <row r="448" spans="1:3" x14ac:dyDescent="0.2">
      <c r="A448" t="str">
        <f t="shared" ca="1" si="7"/>
        <v>СТАВКИ ДИСКОНТИРОВАНИЯ</v>
      </c>
      <c r="B448" t="s">
        <v>69</v>
      </c>
      <c r="C448" t="s">
        <v>1653</v>
      </c>
    </row>
    <row r="449" spans="1:3" x14ac:dyDescent="0.2">
      <c r="A449" t="str">
        <f t="shared" ca="1" si="7"/>
        <v>Валюта, используемая при расчете эффективности</v>
      </c>
      <c r="B449" t="s">
        <v>78</v>
      </c>
      <c r="C449" t="s">
        <v>1654</v>
      </c>
    </row>
    <row r="450" spans="1:3" x14ac:dyDescent="0.2">
      <c r="A450" t="str">
        <f t="shared" ca="1" si="7"/>
        <v>В расчете используются реальные ставки (без инфляции)</v>
      </c>
      <c r="B450" t="s">
        <v>1170</v>
      </c>
      <c r="C450" t="s">
        <v>1671</v>
      </c>
    </row>
    <row r="451" spans="1:3" x14ac:dyDescent="0.2">
      <c r="A451" t="str">
        <f t="shared" ca="1" si="7"/>
        <v>Расчет выполняется в номинальных ценах</v>
      </c>
      <c r="B451" t="s">
        <v>1169</v>
      </c>
      <c r="C451" t="s">
        <v>1655</v>
      </c>
    </row>
    <row r="452" spans="1:3" x14ac:dyDescent="0.2">
      <c r="A452" t="str">
        <f t="shared" ca="1" si="7"/>
        <v>Ставка для собственного капитала, Re</v>
      </c>
      <c r="B452" t="s">
        <v>75</v>
      </c>
      <c r="C452" t="s">
        <v>1656</v>
      </c>
    </row>
    <row r="453" spans="1:3" x14ac:dyDescent="0.2">
      <c r="A453" t="str">
        <f t="shared" ca="1" si="7"/>
        <v>ставка на расчетный период</v>
      </c>
      <c r="B453" t="s">
        <v>478</v>
      </c>
      <c r="C453" t="s">
        <v>1657</v>
      </c>
    </row>
    <row r="454" spans="1:3" x14ac:dyDescent="0.2">
      <c r="A454" t="str">
        <f t="shared" ca="1" si="7"/>
        <v>коэффициент дисконта на начало периода</v>
      </c>
      <c r="B454" t="s">
        <v>1249</v>
      </c>
      <c r="C454" t="s">
        <v>1658</v>
      </c>
    </row>
    <row r="455" spans="1:3" x14ac:dyDescent="0.2">
      <c r="A455" t="str">
        <f t="shared" ca="1" si="7"/>
        <v>Ставка для заемного капитала, Rd</v>
      </c>
      <c r="B455" t="s">
        <v>1889</v>
      </c>
      <c r="C455" t="s">
        <v>1659</v>
      </c>
    </row>
    <row r="456" spans="1:3" x14ac:dyDescent="0.2">
      <c r="A456" t="str">
        <f t="shared" ca="1" si="7"/>
        <v>Расчет средневзвешенной ставки:</v>
      </c>
      <c r="B456" t="s">
        <v>70</v>
      </c>
      <c r="C456" t="s">
        <v>1660</v>
      </c>
    </row>
    <row r="457" spans="1:3" x14ac:dyDescent="0.2">
      <c r="A457" t="str">
        <f t="shared" ca="1" si="7"/>
        <v>Ставка налога на прибыль, T</v>
      </c>
      <c r="B457" t="s">
        <v>74</v>
      </c>
      <c r="C457" t="s">
        <v>1661</v>
      </c>
    </row>
    <row r="458" spans="1:3" x14ac:dyDescent="0.2">
      <c r="A458" t="str">
        <f t="shared" ca="1" si="7"/>
        <v>Доля заемного капитала в расчете ставки, Wd</v>
      </c>
      <c r="B458" t="s">
        <v>73</v>
      </c>
      <c r="C458" t="s">
        <v>1662</v>
      </c>
    </row>
    <row r="459" spans="1:3" x14ac:dyDescent="0.2">
      <c r="A459" t="str">
        <f t="shared" ca="1" si="7"/>
        <v>Доля собственного капитала в расчете ставки, We</v>
      </c>
      <c r="B459" t="s">
        <v>72</v>
      </c>
      <c r="C459" t="s">
        <v>1663</v>
      </c>
    </row>
    <row r="460" spans="1:3" x14ac:dyDescent="0.2">
      <c r="A460" t="str">
        <f t="shared" ca="1" si="7"/>
        <v xml:space="preserve">WACC = Re * We + Rd * Wd * (1-T) = </v>
      </c>
      <c r="B460" t="s">
        <v>71</v>
      </c>
      <c r="C460" t="s">
        <v>71</v>
      </c>
    </row>
    <row r="461" spans="1:3" x14ac:dyDescent="0.2">
      <c r="A461" t="str">
        <f t="shared" ca="1" si="7"/>
        <v>Учитывать рыночную стоимость начальных активов?</v>
      </c>
      <c r="B461" t="s">
        <v>746</v>
      </c>
      <c r="C461" t="s">
        <v>1664</v>
      </c>
    </row>
    <row r="462" spans="1:3" x14ac:dyDescent="0.2">
      <c r="A462" t="str">
        <f t="shared" ca="1" si="7"/>
        <v>Учитывать продленную стоимость?</v>
      </c>
      <c r="B462" t="s">
        <v>747</v>
      </c>
      <c r="C462" t="s">
        <v>1665</v>
      </c>
    </row>
    <row r="463" spans="1:3" x14ac:dyDescent="0.2">
      <c r="A463" t="str">
        <f t="shared" ca="1" si="7"/>
        <v>Долгосрочные темпы роста в постпрогнозный период</v>
      </c>
      <c r="B463" t="s">
        <v>76</v>
      </c>
      <c r="C463" t="s">
        <v>1666</v>
      </c>
    </row>
    <row r="464" spans="1:3" x14ac:dyDescent="0.2">
      <c r="A464" t="str">
        <f t="shared" ca="1" si="7"/>
        <v>в пересчете на шаг планирования</v>
      </c>
      <c r="B464" t="s">
        <v>1539</v>
      </c>
      <c r="C464" t="s">
        <v>1657</v>
      </c>
    </row>
    <row r="465" spans="1:3" x14ac:dyDescent="0.2">
      <c r="A465" t="str">
        <f t="shared" ca="1" si="7"/>
        <v>Ставка реинвестирования доходов (для расчета MIRR)</v>
      </c>
      <c r="B465" t="s">
        <v>79</v>
      </c>
      <c r="C465" t="s">
        <v>1667</v>
      </c>
    </row>
    <row r="466" spans="1:3" x14ac:dyDescent="0.2">
      <c r="A466" t="str">
        <f t="shared" ca="1" si="7"/>
        <v>коэффициент реинвестирования</v>
      </c>
      <c r="B466" t="s">
        <v>2184</v>
      </c>
      <c r="C466" t="s">
        <v>2185</v>
      </c>
    </row>
    <row r="467" spans="1:3" x14ac:dyDescent="0.2">
      <c r="A467" t="str">
        <f t="shared" ca="1" si="7"/>
        <v>Модифицированный денежный поток</v>
      </c>
      <c r="B467" t="s">
        <v>2187</v>
      </c>
      <c r="C467" t="s">
        <v>2186</v>
      </c>
    </row>
    <row r="468" spans="1:3" x14ac:dyDescent="0.2">
      <c r="A468" t="str">
        <f t="shared" ca="1" si="7"/>
        <v>Ставка дисконтирования для бюджетной эффективности</v>
      </c>
      <c r="B468" t="s">
        <v>1560</v>
      </c>
      <c r="C468" t="s">
        <v>1744</v>
      </c>
    </row>
    <row r="469" spans="1:3" x14ac:dyDescent="0.2">
      <c r="A469" t="str">
        <f t="shared" ca="1" si="7"/>
        <v>Не учитывать</v>
      </c>
      <c r="B469" t="s">
        <v>479</v>
      </c>
      <c r="C469" t="s">
        <v>1668</v>
      </c>
    </row>
    <row r="470" spans="1:3" x14ac:dyDescent="0.2">
      <c r="A470" t="str">
        <f t="shared" ca="1" si="7"/>
        <v>Учитывать</v>
      </c>
      <c r="B470" t="s">
        <v>33</v>
      </c>
      <c r="C470" t="s">
        <v>1669</v>
      </c>
    </row>
    <row r="471" spans="1:3" x14ac:dyDescent="0.2">
      <c r="A471" t="str">
        <f t="shared" ca="1" si="7"/>
        <v>% в год</v>
      </c>
      <c r="B471" t="s">
        <v>35</v>
      </c>
      <c r="C471" t="s">
        <v>1670</v>
      </c>
    </row>
    <row r="472" spans="1:3" x14ac:dyDescent="0.2">
      <c r="A472" s="19" t="str">
        <f t="shared" ca="1" si="7"/>
        <v>Начальный баланс</v>
      </c>
      <c r="B472" t="s">
        <v>1391</v>
      </c>
      <c r="C472" t="s">
        <v>1672</v>
      </c>
    </row>
    <row r="473" spans="1:3" x14ac:dyDescent="0.2">
      <c r="A473" s="24" t="str">
        <f t="shared" ca="1" si="7"/>
        <v>СТАРТОВЫЙ БАЛАНС</v>
      </c>
      <c r="B473" t="s">
        <v>1244</v>
      </c>
      <c r="C473" t="s">
        <v>1673</v>
      </c>
    </row>
    <row r="474" spans="1:3" x14ac:dyDescent="0.2">
      <c r="A474" t="str">
        <f t="shared" ca="1" si="7"/>
        <v>Денежные средства</v>
      </c>
      <c r="B474" t="s">
        <v>1392</v>
      </c>
      <c r="C474" t="s">
        <v>1674</v>
      </c>
    </row>
    <row r="475" spans="1:3" x14ac:dyDescent="0.2">
      <c r="A475" t="str">
        <f t="shared" ca="1" si="7"/>
        <v>Дебиторская задолженность</v>
      </c>
      <c r="B475" t="s">
        <v>985</v>
      </c>
      <c r="C475" t="s">
        <v>1675</v>
      </c>
    </row>
    <row r="476" spans="1:3" x14ac:dyDescent="0.2">
      <c r="A476" t="str">
        <f t="shared" ca="1" si="7"/>
        <v>Авансы уплаченные поставщикам</v>
      </c>
      <c r="B476" t="s">
        <v>1393</v>
      </c>
      <c r="C476" t="s">
        <v>1676</v>
      </c>
    </row>
    <row r="477" spans="1:3" x14ac:dyDescent="0.2">
      <c r="A477" t="str">
        <f t="shared" ca="1" si="7"/>
        <v>Готовая продукция на складе</v>
      </c>
      <c r="B477" t="s">
        <v>1394</v>
      </c>
      <c r="C477" t="s">
        <v>1677</v>
      </c>
    </row>
    <row r="478" spans="1:3" x14ac:dyDescent="0.2">
      <c r="A478" t="str">
        <f t="shared" ca="1" si="7"/>
        <v>Незавершенное производство</v>
      </c>
      <c r="B478" t="s">
        <v>1004</v>
      </c>
      <c r="C478" t="s">
        <v>1678</v>
      </c>
    </row>
    <row r="479" spans="1:3" x14ac:dyDescent="0.2">
      <c r="A479" t="str">
        <f t="shared" ca="1" si="7"/>
        <v>Запасы материалов и комплектующих</v>
      </c>
      <c r="B479" t="s">
        <v>1019</v>
      </c>
      <c r="C479" t="s">
        <v>1620</v>
      </c>
    </row>
    <row r="480" spans="1:3" x14ac:dyDescent="0.2">
      <c r="A480" t="str">
        <f t="shared" ca="1" si="7"/>
        <v>НДС на приобретенные товары</v>
      </c>
      <c r="B480" t="s">
        <v>1395</v>
      </c>
      <c r="C480" t="s">
        <v>1679</v>
      </c>
    </row>
    <row r="481" spans="1:3" x14ac:dyDescent="0.2">
      <c r="A481" t="str">
        <f t="shared" ca="1" si="7"/>
        <v>Краткосрочные финансовые вложения</v>
      </c>
      <c r="B481" t="s">
        <v>1274</v>
      </c>
      <c r="C481" t="s">
        <v>1680</v>
      </c>
    </row>
    <row r="482" spans="1:3" x14ac:dyDescent="0.2">
      <c r="A482" t="str">
        <f t="shared" ca="1" si="7"/>
        <v>Прочие оборотные активы</v>
      </c>
      <c r="B482" t="s">
        <v>1396</v>
      </c>
      <c r="C482" t="s">
        <v>1681</v>
      </c>
    </row>
    <row r="483" spans="1:3" x14ac:dyDescent="0.2">
      <c r="A483" t="str">
        <f t="shared" ca="1" si="7"/>
        <v>Суммарные оборотные активы</v>
      </c>
      <c r="B483" t="s">
        <v>675</v>
      </c>
      <c r="C483" t="s">
        <v>1682</v>
      </c>
    </row>
    <row r="484" spans="1:3" x14ac:dyDescent="0.2">
      <c r="A484" t="str">
        <f t="shared" ca="1" si="7"/>
        <v>Земельные участки</v>
      </c>
      <c r="B484" t="s">
        <v>936</v>
      </c>
      <c r="C484" t="s">
        <v>1683</v>
      </c>
    </row>
    <row r="485" spans="1:3" x14ac:dyDescent="0.2">
      <c r="A485" t="str">
        <f t="shared" ca="1" si="7"/>
        <v>Здания и сооружения</v>
      </c>
      <c r="B485" t="s">
        <v>250</v>
      </c>
      <c r="C485" t="s">
        <v>1684</v>
      </c>
    </row>
    <row r="486" spans="1:3" x14ac:dyDescent="0.2">
      <c r="A486" t="str">
        <f t="shared" ca="1" si="7"/>
        <v>Оборудование и прочие активы</v>
      </c>
      <c r="B486" t="s">
        <v>938</v>
      </c>
      <c r="C486" t="s">
        <v>1685</v>
      </c>
    </row>
    <row r="487" spans="1:3" x14ac:dyDescent="0.2">
      <c r="A487" t="str">
        <f t="shared" ca="1" si="7"/>
        <v>Нематериальные активы</v>
      </c>
      <c r="B487" t="s">
        <v>252</v>
      </c>
      <c r="C487" t="s">
        <v>1686</v>
      </c>
    </row>
    <row r="488" spans="1:3" x14ac:dyDescent="0.2">
      <c r="A488" t="str">
        <f t="shared" ca="1" si="7"/>
        <v>Долгосрочные финансовые вложения</v>
      </c>
      <c r="B488" t="s">
        <v>939</v>
      </c>
      <c r="C488" t="s">
        <v>1687</v>
      </c>
    </row>
    <row r="489" spans="1:3" x14ac:dyDescent="0.2">
      <c r="A489" t="str">
        <f t="shared" ca="1" si="7"/>
        <v>Незавершенные капиталовложения</v>
      </c>
      <c r="B489" t="s">
        <v>1397</v>
      </c>
      <c r="C489" t="s">
        <v>1688</v>
      </c>
    </row>
    <row r="490" spans="1:3" x14ac:dyDescent="0.2">
      <c r="A490" t="str">
        <f t="shared" ca="1" si="7"/>
        <v>Прочие внеоборотные активы</v>
      </c>
      <c r="B490" t="s">
        <v>1398</v>
      </c>
      <c r="C490" t="s">
        <v>1689</v>
      </c>
    </row>
    <row r="491" spans="1:3" x14ac:dyDescent="0.2">
      <c r="A491" t="str">
        <f t="shared" ca="1" si="7"/>
        <v>Суммарные внеоборотные активы</v>
      </c>
      <c r="B491" t="s">
        <v>676</v>
      </c>
      <c r="C491" t="s">
        <v>1690</v>
      </c>
    </row>
    <row r="492" spans="1:3" x14ac:dyDescent="0.2">
      <c r="A492" t="str">
        <f t="shared" ca="1" si="7"/>
        <v>ИТОГО АКТИВОВ</v>
      </c>
      <c r="B492" t="s">
        <v>677</v>
      </c>
      <c r="C492" t="s">
        <v>1691</v>
      </c>
    </row>
    <row r="493" spans="1:3" x14ac:dyDescent="0.2">
      <c r="A493" t="str">
        <f t="shared" ca="1" si="7"/>
        <v>Кредиторская задолженность перед поставщиками</v>
      </c>
      <c r="B493" t="s">
        <v>1275</v>
      </c>
      <c r="C493" t="s">
        <v>1692</v>
      </c>
    </row>
    <row r="494" spans="1:3" x14ac:dyDescent="0.2">
      <c r="A494" t="str">
        <f t="shared" ca="1" si="7"/>
        <v>Кредиторская задолженность за внеоборотные активы</v>
      </c>
      <c r="B494" t="s">
        <v>1276</v>
      </c>
      <c r="C494" t="s">
        <v>1693</v>
      </c>
    </row>
    <row r="495" spans="1:3" x14ac:dyDescent="0.2">
      <c r="A495" t="str">
        <f t="shared" ca="1" si="7"/>
        <v>Расчеты с бюджетом</v>
      </c>
      <c r="B495" t="s">
        <v>1399</v>
      </c>
      <c r="C495" t="s">
        <v>1694</v>
      </c>
    </row>
    <row r="496" spans="1:3" x14ac:dyDescent="0.2">
      <c r="A496" t="str">
        <f t="shared" ca="1" si="7"/>
        <v>Расчеты с персоналом</v>
      </c>
      <c r="B496" t="s">
        <v>1400</v>
      </c>
      <c r="C496" t="s">
        <v>1695</v>
      </c>
    </row>
    <row r="497" spans="1:3" x14ac:dyDescent="0.2">
      <c r="A497" t="str">
        <f t="shared" ca="1" si="7"/>
        <v>Полученные авансы покупателей</v>
      </c>
      <c r="B497" t="s">
        <v>1401</v>
      </c>
      <c r="C497" t="s">
        <v>1696</v>
      </c>
    </row>
    <row r="498" spans="1:3" x14ac:dyDescent="0.2">
      <c r="A498" t="str">
        <f t="shared" ca="1" si="7"/>
        <v>Краткосрочные кредиты</v>
      </c>
      <c r="B498" t="s">
        <v>582</v>
      </c>
      <c r="C498" t="s">
        <v>1697</v>
      </c>
    </row>
    <row r="499" spans="1:3" x14ac:dyDescent="0.2">
      <c r="A499" t="str">
        <f t="shared" ca="1" si="7"/>
        <v>Прочие краткосрочные обязательства</v>
      </c>
      <c r="B499" t="s">
        <v>1402</v>
      </c>
      <c r="C499" t="s">
        <v>1698</v>
      </c>
    </row>
    <row r="500" spans="1:3" x14ac:dyDescent="0.2">
      <c r="A500" t="str">
        <f t="shared" ca="1" si="7"/>
        <v>Суммарные краткосрочные обязательства</v>
      </c>
      <c r="B500" t="s">
        <v>678</v>
      </c>
      <c r="C500" t="s">
        <v>1699</v>
      </c>
    </row>
    <row r="501" spans="1:3" x14ac:dyDescent="0.2">
      <c r="A501" t="str">
        <f t="shared" ref="A501:A564" ca="1" si="8">OFFSET(A501,0,Prj_Language)</f>
        <v>Долгосрочные кредиты</v>
      </c>
      <c r="B501" t="s">
        <v>581</v>
      </c>
      <c r="C501" t="s">
        <v>1700</v>
      </c>
    </row>
    <row r="502" spans="1:3" x14ac:dyDescent="0.2">
      <c r="A502" t="str">
        <f t="shared" ca="1" si="8"/>
        <v>Прочие долгосрочные обязательства</v>
      </c>
      <c r="B502" t="s">
        <v>1403</v>
      </c>
      <c r="C502" t="s">
        <v>1701</v>
      </c>
    </row>
    <row r="503" spans="1:3" x14ac:dyDescent="0.2">
      <c r="A503" t="str">
        <f t="shared" ca="1" si="8"/>
        <v>Суммарные долгосрочные обязательства</v>
      </c>
      <c r="B503" t="s">
        <v>679</v>
      </c>
      <c r="C503" t="s">
        <v>1702</v>
      </c>
    </row>
    <row r="504" spans="1:3" x14ac:dyDescent="0.2">
      <c r="A504" t="str">
        <f t="shared" ca="1" si="8"/>
        <v>Акционерный капитал</v>
      </c>
      <c r="B504" t="s">
        <v>1404</v>
      </c>
      <c r="C504" t="s">
        <v>1703</v>
      </c>
    </row>
    <row r="505" spans="1:3" x14ac:dyDescent="0.2">
      <c r="A505" t="str">
        <f t="shared" ca="1" si="8"/>
        <v>Нераспределенная прибыль</v>
      </c>
      <c r="B505" t="s">
        <v>1405</v>
      </c>
      <c r="C505" t="s">
        <v>1704</v>
      </c>
    </row>
    <row r="506" spans="1:3" x14ac:dyDescent="0.2">
      <c r="A506" t="str">
        <f t="shared" ca="1" si="8"/>
        <v>Прочий собственный капитал</v>
      </c>
      <c r="B506" t="s">
        <v>1406</v>
      </c>
      <c r="C506" t="s">
        <v>1705</v>
      </c>
    </row>
    <row r="507" spans="1:3" x14ac:dyDescent="0.2">
      <c r="A507" t="str">
        <f t="shared" ca="1" si="8"/>
        <v>Суммарный собственный капитал</v>
      </c>
      <c r="B507" t="s">
        <v>680</v>
      </c>
      <c r="C507" t="s">
        <v>1706</v>
      </c>
    </row>
    <row r="508" spans="1:3" x14ac:dyDescent="0.2">
      <c r="A508" t="str">
        <f t="shared" ca="1" si="8"/>
        <v>ИТОГО ПАССИВОВ</v>
      </c>
      <c r="B508" t="s">
        <v>681</v>
      </c>
      <c r="C508" t="s">
        <v>1707</v>
      </c>
    </row>
    <row r="509" spans="1:3" x14ac:dyDescent="0.2">
      <c r="A509" t="str">
        <f t="shared" ca="1" si="8"/>
        <v>Контроль сходимости баланса</v>
      </c>
      <c r="B509" t="s">
        <v>933</v>
      </c>
      <c r="C509" t="s">
        <v>1708</v>
      </c>
    </row>
    <row r="510" spans="1:3" x14ac:dyDescent="0.2">
      <c r="A510" t="str">
        <f t="shared" ca="1" si="8"/>
        <v>Стоимость чистых активов стартового баланса</v>
      </c>
      <c r="B510" t="s">
        <v>1147</v>
      </c>
      <c r="C510" t="s">
        <v>1709</v>
      </c>
    </row>
    <row r="511" spans="1:3" x14ac:dyDescent="0.2">
      <c r="A511" t="str">
        <f t="shared" ca="1" si="8"/>
        <v>задолженность учредителей по взносам в уставный капитал</v>
      </c>
      <c r="B511" t="s">
        <v>1243</v>
      </c>
      <c r="C511" t="s">
        <v>1710</v>
      </c>
    </row>
    <row r="512" spans="1:3" x14ac:dyDescent="0.2">
      <c r="A512" t="str">
        <f t="shared" ca="1" si="8"/>
        <v>Рыночная стоимость (для анализа эффективности)</v>
      </c>
      <c r="B512" t="s">
        <v>1148</v>
      </c>
      <c r="C512" t="s">
        <v>1711</v>
      </c>
    </row>
    <row r="513" spans="1:3" x14ac:dyDescent="0.2">
      <c r="A513" s="24" t="str">
        <f t="shared" ca="1" si="8"/>
        <v>СУЩЕСТВУЮЩИЕ ОСНОВНЫЕ СРЕДСТВА</v>
      </c>
      <c r="B513" t="s">
        <v>1245</v>
      </c>
      <c r="C513" t="s">
        <v>1712</v>
      </c>
    </row>
    <row r="514" spans="1:3" x14ac:dyDescent="0.2">
      <c r="A514" t="str">
        <f t="shared" ca="1" si="8"/>
        <v>Незавершенные капвложения на начало периода</v>
      </c>
      <c r="B514" t="s">
        <v>945</v>
      </c>
      <c r="C514" t="s">
        <v>1713</v>
      </c>
    </row>
    <row r="515" spans="1:3" x14ac:dyDescent="0.2">
      <c r="A515" t="str">
        <f t="shared" ca="1" si="8"/>
        <v>График постановки на баланс:</v>
      </c>
      <c r="B515" t="s">
        <v>937</v>
      </c>
      <c r="C515" t="s">
        <v>1714</v>
      </c>
    </row>
    <row r="516" spans="1:3" x14ac:dyDescent="0.2">
      <c r="A516" t="str">
        <f t="shared" ca="1" si="8"/>
        <v>Здания и сооружения</v>
      </c>
      <c r="B516" t="s">
        <v>250</v>
      </c>
      <c r="C516" t="s">
        <v>1684</v>
      </c>
    </row>
    <row r="517" spans="1:3" x14ac:dyDescent="0.2">
      <c r="A517" t="str">
        <f t="shared" ca="1" si="8"/>
        <v>Оборудование и прочие активы</v>
      </c>
      <c r="B517" t="s">
        <v>938</v>
      </c>
      <c r="C517" t="s">
        <v>1685</v>
      </c>
    </row>
    <row r="518" spans="1:3" x14ac:dyDescent="0.2">
      <c r="A518" t="str">
        <f t="shared" ca="1" si="8"/>
        <v>Нематериальные активы</v>
      </c>
      <c r="B518" t="s">
        <v>252</v>
      </c>
      <c r="C518" t="s">
        <v>1686</v>
      </c>
    </row>
    <row r="519" spans="1:3" x14ac:dyDescent="0.2">
      <c r="A519" t="str">
        <f t="shared" ca="1" si="8"/>
        <v>Незавершенные капвложения на конец периода</v>
      </c>
      <c r="B519" t="s">
        <v>946</v>
      </c>
      <c r="C519" t="s">
        <v>1715</v>
      </c>
    </row>
    <row r="520" spans="1:3" x14ac:dyDescent="0.2">
      <c r="A520" t="str">
        <f t="shared" ca="1" si="8"/>
        <v>Земельные участки</v>
      </c>
      <c r="B520" t="s">
        <v>936</v>
      </c>
      <c r="C520" t="s">
        <v>1683</v>
      </c>
    </row>
    <row r="521" spans="1:3" x14ac:dyDescent="0.2">
      <c r="A521" t="str">
        <f t="shared" ca="1" si="8"/>
        <v>балансовая стоимость</v>
      </c>
      <c r="B521" t="s">
        <v>309</v>
      </c>
      <c r="C521" t="s">
        <v>1716</v>
      </c>
    </row>
    <row r="522" spans="1:3" x14ac:dyDescent="0.2">
      <c r="A522" t="str">
        <f t="shared" ca="1" si="8"/>
        <v>Здания и сооружения</v>
      </c>
      <c r="B522" t="s">
        <v>250</v>
      </c>
      <c r="C522" t="s">
        <v>1684</v>
      </c>
    </row>
    <row r="523" spans="1:3" x14ac:dyDescent="0.2">
      <c r="A523" t="str">
        <f t="shared" ca="1" si="8"/>
        <v>первоначальная стоимость</v>
      </c>
      <c r="B523" t="s">
        <v>940</v>
      </c>
      <c r="C523" t="s">
        <v>1717</v>
      </c>
    </row>
    <row r="524" spans="1:3" x14ac:dyDescent="0.2">
      <c r="A524" t="str">
        <f t="shared" ca="1" si="8"/>
        <v>срок амортизации</v>
      </c>
      <c r="B524" t="s">
        <v>941</v>
      </c>
      <c r="C524" t="s">
        <v>1718</v>
      </c>
    </row>
    <row r="525" spans="1:3" x14ac:dyDescent="0.2">
      <c r="A525" t="str">
        <f t="shared" ca="1" si="8"/>
        <v>амортизация</v>
      </c>
      <c r="B525" t="s">
        <v>942</v>
      </c>
      <c r="C525" t="s">
        <v>1195</v>
      </c>
    </row>
    <row r="526" spans="1:3" x14ac:dyDescent="0.2">
      <c r="A526" t="str">
        <f t="shared" ca="1" si="8"/>
        <v>накопленная амортизация</v>
      </c>
      <c r="B526" t="s">
        <v>943</v>
      </c>
      <c r="C526" t="s">
        <v>1719</v>
      </c>
    </row>
    <row r="527" spans="1:3" x14ac:dyDescent="0.2">
      <c r="A527" t="str">
        <f t="shared" ca="1" si="8"/>
        <v>остаточная балансовая стоимость</v>
      </c>
      <c r="B527" t="s">
        <v>944</v>
      </c>
      <c r="C527" t="s">
        <v>1720</v>
      </c>
    </row>
    <row r="528" spans="1:3" x14ac:dyDescent="0.2">
      <c r="A528" t="str">
        <f t="shared" ca="1" si="8"/>
        <v>Оборудование и прочие активы</v>
      </c>
      <c r="B528" t="s">
        <v>938</v>
      </c>
      <c r="C528" t="s">
        <v>1685</v>
      </c>
    </row>
    <row r="529" spans="1:3" x14ac:dyDescent="0.2">
      <c r="A529" t="str">
        <f t="shared" ca="1" si="8"/>
        <v>первоначальная стоимость</v>
      </c>
      <c r="B529" t="s">
        <v>940</v>
      </c>
      <c r="C529" t="s">
        <v>1717</v>
      </c>
    </row>
    <row r="530" spans="1:3" x14ac:dyDescent="0.2">
      <c r="A530" t="str">
        <f t="shared" ca="1" si="8"/>
        <v>срок амортизации</v>
      </c>
      <c r="B530" t="s">
        <v>941</v>
      </c>
      <c r="C530" t="s">
        <v>1718</v>
      </c>
    </row>
    <row r="531" spans="1:3" x14ac:dyDescent="0.2">
      <c r="A531" t="str">
        <f t="shared" ca="1" si="8"/>
        <v>амортизация</v>
      </c>
      <c r="B531" t="s">
        <v>942</v>
      </c>
      <c r="C531" t="s">
        <v>1195</v>
      </c>
    </row>
    <row r="532" spans="1:3" x14ac:dyDescent="0.2">
      <c r="A532" t="str">
        <f t="shared" ca="1" si="8"/>
        <v>накопленная амортизация</v>
      </c>
      <c r="B532" t="s">
        <v>943</v>
      </c>
      <c r="C532" t="s">
        <v>1719</v>
      </c>
    </row>
    <row r="533" spans="1:3" x14ac:dyDescent="0.2">
      <c r="A533" t="str">
        <f t="shared" ca="1" si="8"/>
        <v>остаточная балансовая стоимость</v>
      </c>
      <c r="B533" t="s">
        <v>944</v>
      </c>
      <c r="C533" t="s">
        <v>1720</v>
      </c>
    </row>
    <row r="534" spans="1:3" x14ac:dyDescent="0.2">
      <c r="A534" t="str">
        <f t="shared" ca="1" si="8"/>
        <v>Нематериальные активы</v>
      </c>
      <c r="B534" t="s">
        <v>252</v>
      </c>
      <c r="C534" t="s">
        <v>1686</v>
      </c>
    </row>
    <row r="535" spans="1:3" x14ac:dyDescent="0.2">
      <c r="A535" t="str">
        <f t="shared" ca="1" si="8"/>
        <v>первоначальная стоимость</v>
      </c>
      <c r="B535" t="s">
        <v>940</v>
      </c>
      <c r="C535" t="s">
        <v>1717</v>
      </c>
    </row>
    <row r="536" spans="1:3" x14ac:dyDescent="0.2">
      <c r="A536" t="str">
        <f t="shared" ca="1" si="8"/>
        <v>срок амортизации</v>
      </c>
      <c r="B536" t="s">
        <v>941</v>
      </c>
      <c r="C536" t="s">
        <v>1718</v>
      </c>
    </row>
    <row r="537" spans="1:3" x14ac:dyDescent="0.2">
      <c r="A537" t="str">
        <f t="shared" ca="1" si="8"/>
        <v>амортизация</v>
      </c>
      <c r="B537" t="s">
        <v>942</v>
      </c>
      <c r="C537" t="s">
        <v>1195</v>
      </c>
    </row>
    <row r="538" spans="1:3" x14ac:dyDescent="0.2">
      <c r="A538" t="str">
        <f t="shared" ca="1" si="8"/>
        <v>накопленная амортизация</v>
      </c>
      <c r="B538" t="s">
        <v>943</v>
      </c>
      <c r="C538" t="s">
        <v>1719</v>
      </c>
    </row>
    <row r="539" spans="1:3" x14ac:dyDescent="0.2">
      <c r="A539" t="str">
        <f t="shared" ca="1" si="8"/>
        <v>остаточная балансовая стоимость</v>
      </c>
      <c r="B539" t="s">
        <v>944</v>
      </c>
      <c r="C539" t="s">
        <v>1720</v>
      </c>
    </row>
    <row r="540" spans="1:3" x14ac:dyDescent="0.2">
      <c r="A540" s="24" t="str">
        <f t="shared" ca="1" si="8"/>
        <v>СУЩЕСТВУЮЩИЕ ФИНАНСОВЫЕ ВЛОЖЕНИЯ</v>
      </c>
      <c r="B540" t="s">
        <v>1271</v>
      </c>
      <c r="C540" t="s">
        <v>1721</v>
      </c>
    </row>
    <row r="541" spans="1:3" x14ac:dyDescent="0.2">
      <c r="A541" t="str">
        <f t="shared" ca="1" si="8"/>
        <v>Долгосрочные финансовые вложения</v>
      </c>
      <c r="B541" t="s">
        <v>939</v>
      </c>
      <c r="C541" t="s">
        <v>1687</v>
      </c>
    </row>
    <row r="542" spans="1:3" x14ac:dyDescent="0.2">
      <c r="A542" t="str">
        <f t="shared" ca="1" si="8"/>
        <v>балансовая стоимость</v>
      </c>
      <c r="B542" t="s">
        <v>309</v>
      </c>
      <c r="C542" t="s">
        <v>1720</v>
      </c>
    </row>
    <row r="543" spans="1:3" x14ac:dyDescent="0.2">
      <c r="A543" t="str">
        <f t="shared" ca="1" si="8"/>
        <v>возврат финансовых вложений</v>
      </c>
      <c r="B543" t="s">
        <v>1247</v>
      </c>
      <c r="C543" t="s">
        <v>1722</v>
      </c>
    </row>
    <row r="544" spans="1:3" x14ac:dyDescent="0.2">
      <c r="A544" t="str">
        <f t="shared" ca="1" si="8"/>
        <v>Краткосрочные финансовые вложения</v>
      </c>
      <c r="B544" t="s">
        <v>1274</v>
      </c>
      <c r="C544" t="s">
        <v>1680</v>
      </c>
    </row>
    <row r="545" spans="1:3" x14ac:dyDescent="0.2">
      <c r="A545" t="str">
        <f t="shared" ca="1" si="8"/>
        <v>балансовая стоимость</v>
      </c>
      <c r="B545" t="s">
        <v>309</v>
      </c>
      <c r="C545" t="s">
        <v>1720</v>
      </c>
    </row>
    <row r="546" spans="1:3" x14ac:dyDescent="0.2">
      <c r="A546" t="str">
        <f t="shared" ca="1" si="8"/>
        <v>возврат финансовых вложений</v>
      </c>
      <c r="B546" t="s">
        <v>1247</v>
      </c>
      <c r="C546" t="s">
        <v>1722</v>
      </c>
    </row>
    <row r="547" spans="1:3" x14ac:dyDescent="0.2">
      <c r="A547" s="24" t="str">
        <f t="shared" ca="1" si="8"/>
        <v>СУЩЕСТВУЮЩИЕ КРЕДИТЫ</v>
      </c>
      <c r="B547" t="s">
        <v>1246</v>
      </c>
      <c r="C547" t="s">
        <v>1723</v>
      </c>
    </row>
    <row r="548" spans="1:3" x14ac:dyDescent="0.2">
      <c r="A548" t="str">
        <f t="shared" ca="1" si="8"/>
        <v>Шаблон долгосрочного кредита</v>
      </c>
      <c r="B548" t="s">
        <v>596</v>
      </c>
      <c r="C548" t="s">
        <v>1724</v>
      </c>
    </row>
    <row r="549" spans="1:3" x14ac:dyDescent="0.2">
      <c r="A549" t="str">
        <f t="shared" ca="1" si="8"/>
        <v>задолженность по кредиту на начало планирования</v>
      </c>
      <c r="B549" t="s">
        <v>1248</v>
      </c>
      <c r="C549" t="s">
        <v>1725</v>
      </c>
    </row>
    <row r="550" spans="1:3" x14ac:dyDescent="0.2">
      <c r="A550" t="str">
        <f t="shared" ca="1" si="8"/>
        <v>ставка процентов по кредиту</v>
      </c>
      <c r="B550" t="s">
        <v>583</v>
      </c>
      <c r="C550" t="s">
        <v>1726</v>
      </c>
    </row>
    <row r="551" spans="1:3" x14ac:dyDescent="0.2">
      <c r="A551" t="str">
        <f t="shared" ca="1" si="8"/>
        <v>погашение кредита</v>
      </c>
      <c r="B551" t="s">
        <v>587</v>
      </c>
      <c r="C551" t="s">
        <v>1727</v>
      </c>
    </row>
    <row r="552" spans="1:3" x14ac:dyDescent="0.2">
      <c r="A552" t="str">
        <f t="shared" ca="1" si="8"/>
        <v>задолженность по кредиту</v>
      </c>
      <c r="B552" t="s">
        <v>590</v>
      </c>
      <c r="C552" t="s">
        <v>1728</v>
      </c>
    </row>
    <row r="553" spans="1:3" x14ac:dyDescent="0.2">
      <c r="A553" t="str">
        <f t="shared" ca="1" si="8"/>
        <v>начисленные проценты</v>
      </c>
      <c r="B553" t="s">
        <v>588</v>
      </c>
      <c r="C553" t="s">
        <v>1729</v>
      </c>
    </row>
    <row r="554" spans="1:3" x14ac:dyDescent="0.2">
      <c r="A554" t="str">
        <f t="shared" ca="1" si="8"/>
        <v>выплаченные проценты</v>
      </c>
      <c r="B554" t="s">
        <v>589</v>
      </c>
      <c r="C554" t="s">
        <v>1730</v>
      </c>
    </row>
    <row r="555" spans="1:3" x14ac:dyDescent="0.2">
      <c r="A555" t="str">
        <f t="shared" ca="1" si="8"/>
        <v>Шаблон краткосрочного кредита</v>
      </c>
      <c r="B555" t="s">
        <v>597</v>
      </c>
      <c r="C555" t="s">
        <v>1731</v>
      </c>
    </row>
    <row r="556" spans="1:3" x14ac:dyDescent="0.2">
      <c r="A556" t="str">
        <f t="shared" ca="1" si="8"/>
        <v>задолженность по кредиту на начало планирования</v>
      </c>
      <c r="B556" t="s">
        <v>1248</v>
      </c>
      <c r="C556" t="s">
        <v>1725</v>
      </c>
    </row>
    <row r="557" spans="1:3" x14ac:dyDescent="0.2">
      <c r="A557" t="str">
        <f t="shared" ca="1" si="8"/>
        <v>ставка процентов по кредиту</v>
      </c>
      <c r="B557" t="s">
        <v>583</v>
      </c>
      <c r="C557" t="s">
        <v>1726</v>
      </c>
    </row>
    <row r="558" spans="1:3" x14ac:dyDescent="0.2">
      <c r="A558" t="str">
        <f t="shared" ca="1" si="8"/>
        <v>погашение кредита</v>
      </c>
      <c r="B558" t="s">
        <v>587</v>
      </c>
      <c r="C558" t="s">
        <v>1727</v>
      </c>
    </row>
    <row r="559" spans="1:3" x14ac:dyDescent="0.2">
      <c r="A559" t="str">
        <f t="shared" ca="1" si="8"/>
        <v>задолженность по кредиту</v>
      </c>
      <c r="B559" t="s">
        <v>590</v>
      </c>
      <c r="C559" t="s">
        <v>1728</v>
      </c>
    </row>
    <row r="560" spans="1:3" x14ac:dyDescent="0.2">
      <c r="A560" t="str">
        <f t="shared" ca="1" si="8"/>
        <v>начисленные проценты</v>
      </c>
      <c r="B560" t="s">
        <v>588</v>
      </c>
      <c r="C560" t="s">
        <v>1729</v>
      </c>
    </row>
    <row r="561" spans="1:3" x14ac:dyDescent="0.2">
      <c r="A561" t="str">
        <f t="shared" ca="1" si="8"/>
        <v>выплаченные проценты</v>
      </c>
      <c r="B561" t="s">
        <v>589</v>
      </c>
      <c r="C561" t="s">
        <v>1730</v>
      </c>
    </row>
    <row r="562" spans="1:3" x14ac:dyDescent="0.2">
      <c r="A562" t="str">
        <f t="shared" ca="1" si="8"/>
        <v>Долгосрочные кредиты</v>
      </c>
      <c r="B562" t="s">
        <v>581</v>
      </c>
      <c r="C562" t="s">
        <v>1700</v>
      </c>
    </row>
    <row r="563" spans="1:3" x14ac:dyDescent="0.2">
      <c r="A563" t="str">
        <f t="shared" ca="1" si="8"/>
        <v>Краткосрочные кредиты</v>
      </c>
      <c r="B563" t="s">
        <v>582</v>
      </c>
      <c r="C563" t="s">
        <v>1697</v>
      </c>
    </row>
    <row r="564" spans="1:3" x14ac:dyDescent="0.2">
      <c r="A564" t="str">
        <f t="shared" ca="1" si="8"/>
        <v>Итого: Задолженность на конец периода</v>
      </c>
      <c r="B564" t="s">
        <v>1045</v>
      </c>
      <c r="C564" t="s">
        <v>1732</v>
      </c>
    </row>
    <row r="565" spans="1:3" x14ac:dyDescent="0.2">
      <c r="A565" t="str">
        <f t="shared" ref="A565:A628" ca="1" si="9">OFFSET(A565,0,Prj_Language)</f>
        <v>Выплата основного долга</v>
      </c>
      <c r="B565" t="s">
        <v>1035</v>
      </c>
      <c r="C565" t="s">
        <v>1733</v>
      </c>
    </row>
    <row r="566" spans="1:3" x14ac:dyDescent="0.2">
      <c r="A566" t="str">
        <f t="shared" ca="1" si="9"/>
        <v>Проценты начисленные</v>
      </c>
      <c r="B566" t="s">
        <v>1036</v>
      </c>
      <c r="C566" t="s">
        <v>1734</v>
      </c>
    </row>
    <row r="567" spans="1:3" x14ac:dyDescent="0.2">
      <c r="A567" t="str">
        <f t="shared" ca="1" si="9"/>
        <v>Проценты уплаченные</v>
      </c>
      <c r="B567" t="s">
        <v>1037</v>
      </c>
      <c r="C567" t="s">
        <v>1735</v>
      </c>
    </row>
    <row r="568" spans="1:3" x14ac:dyDescent="0.2">
      <c r="A568" t="str">
        <f t="shared" ca="1" si="9"/>
        <v>Долгосрочные кредиты на начало периода</v>
      </c>
      <c r="B568" t="s">
        <v>1126</v>
      </c>
      <c r="C568" t="s">
        <v>1736</v>
      </c>
    </row>
    <row r="569" spans="1:3" x14ac:dyDescent="0.2">
      <c r="A569" t="str">
        <f t="shared" ca="1" si="9"/>
        <v>Краткосрочные кредиты на начало периода</v>
      </c>
      <c r="B569" t="s">
        <v>1127</v>
      </c>
      <c r="C569" t="s">
        <v>1737</v>
      </c>
    </row>
    <row r="570" spans="1:3" x14ac:dyDescent="0.2">
      <c r="A570" t="str">
        <f t="shared" ca="1" si="9"/>
        <v>Долгосрочные кредиты на конец периода</v>
      </c>
      <c r="B570" t="s">
        <v>1038</v>
      </c>
      <c r="C570" t="s">
        <v>1738</v>
      </c>
    </row>
    <row r="571" spans="1:3" x14ac:dyDescent="0.2">
      <c r="A571" t="str">
        <f t="shared" ca="1" si="9"/>
        <v>Краткосрочные кредиты на конец периода</v>
      </c>
      <c r="B571" t="s">
        <v>1039</v>
      </c>
      <c r="C571" t="s">
        <v>1739</v>
      </c>
    </row>
    <row r="572" spans="1:3" x14ac:dyDescent="0.2">
      <c r="A572" t="str">
        <f t="shared" ca="1" si="9"/>
        <v>Курсовые разницы</v>
      </c>
      <c r="B572" t="s">
        <v>1250</v>
      </c>
      <c r="C572" t="s">
        <v>1740</v>
      </c>
    </row>
    <row r="573" spans="1:3" x14ac:dyDescent="0.2">
      <c r="A573" t="str">
        <f t="shared" ca="1" si="9"/>
        <v>Прочие долгосрочные кредиты</v>
      </c>
      <c r="B573" t="s">
        <v>1124</v>
      </c>
      <c r="C573" t="s">
        <v>1741</v>
      </c>
    </row>
    <row r="574" spans="1:3" x14ac:dyDescent="0.2">
      <c r="A574" t="str">
        <f t="shared" ca="1" si="9"/>
        <v>Прочие краткосрочные кредиты</v>
      </c>
      <c r="B574" t="s">
        <v>1125</v>
      </c>
      <c r="C574" t="s">
        <v>1742</v>
      </c>
    </row>
    <row r="575" spans="1:3" x14ac:dyDescent="0.2">
      <c r="A575" t="str">
        <f t="shared" ca="1" si="9"/>
        <v>Данные</v>
      </c>
      <c r="B575" t="s">
        <v>1407</v>
      </c>
      <c r="C575" t="s">
        <v>120</v>
      </c>
    </row>
    <row r="576" spans="1:3" x14ac:dyDescent="0.2">
      <c r="A576" s="24" t="str">
        <f t="shared" ca="1" si="9"/>
        <v>ПРОДАЖИ</v>
      </c>
      <c r="B576" t="s">
        <v>520</v>
      </c>
      <c r="C576" t="s">
        <v>1743</v>
      </c>
    </row>
    <row r="577" spans="1:3" x14ac:dyDescent="0.2">
      <c r="A577" t="str">
        <f t="shared" ca="1" si="9"/>
        <v>Шаблон продажи без единиц</v>
      </c>
      <c r="B577" t="s">
        <v>794</v>
      </c>
      <c r="C577" t="s">
        <v>1890</v>
      </c>
    </row>
    <row r="578" spans="1:3" x14ac:dyDescent="0.2">
      <c r="A578" t="str">
        <f t="shared" ca="1" si="9"/>
        <v>коэффициент загрузки</v>
      </c>
      <c r="B578" t="s">
        <v>795</v>
      </c>
      <c r="C578" t="s">
        <v>1891</v>
      </c>
    </row>
    <row r="579" spans="1:3" x14ac:dyDescent="0.2">
      <c r="A579" t="str">
        <f t="shared" ca="1" si="9"/>
        <v>объем продаж за период, без учета инфляции</v>
      </c>
      <c r="B579" t="s">
        <v>999</v>
      </c>
      <c r="C579" t="s">
        <v>1892</v>
      </c>
    </row>
    <row r="580" spans="1:3" x14ac:dyDescent="0.2">
      <c r="A580" t="str">
        <f t="shared" ca="1" si="9"/>
        <v>выручка от реализации, без НДС</v>
      </c>
      <c r="B580" t="s">
        <v>550</v>
      </c>
      <c r="C580" t="s">
        <v>1893</v>
      </c>
    </row>
    <row r="581" spans="1:3" x14ac:dyDescent="0.2">
      <c r="A581" t="str">
        <f t="shared" ca="1" si="9"/>
        <v>дебиторская задолженность</v>
      </c>
      <c r="B581" t="s">
        <v>551</v>
      </c>
      <c r="C581" t="s">
        <v>1894</v>
      </c>
    </row>
    <row r="582" spans="1:3" x14ac:dyDescent="0.2">
      <c r="A582" t="str">
        <f t="shared" ca="1" si="9"/>
        <v>средний период отсрочки платежа</v>
      </c>
      <c r="B582" t="s">
        <v>556</v>
      </c>
      <c r="C582" t="s">
        <v>1895</v>
      </c>
    </row>
    <row r="583" spans="1:3" x14ac:dyDescent="0.2">
      <c r="A583" t="str">
        <f t="shared" ca="1" si="9"/>
        <v xml:space="preserve">авансы полученные </v>
      </c>
      <c r="B583" t="s">
        <v>552</v>
      </c>
      <c r="C583" t="s">
        <v>1896</v>
      </c>
    </row>
    <row r="584" spans="1:3" x14ac:dyDescent="0.2">
      <c r="A584" t="str">
        <f t="shared" ca="1" si="9"/>
        <v>средний период предоплаты</v>
      </c>
      <c r="B584" t="s">
        <v>555</v>
      </c>
      <c r="C584" t="s">
        <v>1897</v>
      </c>
    </row>
    <row r="585" spans="1:3" x14ac:dyDescent="0.2">
      <c r="A585" t="str">
        <f t="shared" ca="1" si="9"/>
        <v>поступление денежных средств, с НДС</v>
      </c>
      <c r="B585" t="s">
        <v>1259</v>
      </c>
      <c r="C585" t="s">
        <v>1898</v>
      </c>
    </row>
    <row r="586" spans="1:3" x14ac:dyDescent="0.2">
      <c r="A586" t="str">
        <f t="shared" ca="1" si="9"/>
        <v>темп изменения цен</v>
      </c>
      <c r="B586" t="s">
        <v>528</v>
      </c>
      <c r="C586" t="s">
        <v>1899</v>
      </c>
    </row>
    <row r="587" spans="1:3" x14ac:dyDescent="0.2">
      <c r="A587" t="str">
        <f t="shared" ca="1" si="9"/>
        <v>ставка НДС</v>
      </c>
      <c r="B587" t="s">
        <v>318</v>
      </c>
      <c r="C587" t="s">
        <v>1900</v>
      </c>
    </row>
    <row r="588" spans="1:3" x14ac:dyDescent="0.2">
      <c r="A588" t="str">
        <f t="shared" ca="1" si="9"/>
        <v>ставка акцизов, в процентах</v>
      </c>
      <c r="B588" t="s">
        <v>1016</v>
      </c>
      <c r="C588" t="s">
        <v>1901</v>
      </c>
    </row>
    <row r="589" spans="1:3" x14ac:dyDescent="0.2">
      <c r="A589" t="str">
        <f t="shared" ca="1" si="9"/>
        <v>коэффициент изменения цен к началу проекта</v>
      </c>
      <c r="B589" t="s">
        <v>998</v>
      </c>
      <c r="C589" t="s">
        <v>1902</v>
      </c>
    </row>
    <row r="590" spans="1:3" x14ac:dyDescent="0.2">
      <c r="A590" t="str">
        <f t="shared" ca="1" si="9"/>
        <v>акцизы начисленные</v>
      </c>
      <c r="B590" t="s">
        <v>554</v>
      </c>
      <c r="C590" t="s">
        <v>1903</v>
      </c>
    </row>
    <row r="591" spans="1:3" x14ac:dyDescent="0.2">
      <c r="A591" t="str">
        <f t="shared" ca="1" si="9"/>
        <v>НДС начисленный</v>
      </c>
      <c r="B591" t="s">
        <v>530</v>
      </c>
      <c r="C591" t="s">
        <v>1904</v>
      </c>
    </row>
    <row r="592" spans="1:3" x14ac:dyDescent="0.2">
      <c r="A592" t="str">
        <f t="shared" ca="1" si="9"/>
        <v>НДС полученный с авансов</v>
      </c>
      <c r="B592" t="s">
        <v>1260</v>
      </c>
      <c r="C592" t="s">
        <v>1905</v>
      </c>
    </row>
    <row r="593" spans="1:3" x14ac:dyDescent="0.2">
      <c r="A593" t="str">
        <f t="shared" ca="1" si="9"/>
        <v>Шаблон продажи с единицами</v>
      </c>
      <c r="B593" t="s">
        <v>793</v>
      </c>
      <c r="C593" t="s">
        <v>1906</v>
      </c>
    </row>
    <row r="594" spans="1:3" x14ac:dyDescent="0.2">
      <c r="A594" t="str">
        <f t="shared" ca="1" si="9"/>
        <v>коэффициент загрузки</v>
      </c>
      <c r="B594" t="s">
        <v>795</v>
      </c>
      <c r="C594" t="s">
        <v>1891</v>
      </c>
    </row>
    <row r="595" spans="1:3" x14ac:dyDescent="0.2">
      <c r="A595" t="str">
        <f t="shared" ca="1" si="9"/>
        <v>объем продаж за период</v>
      </c>
      <c r="B595" t="s">
        <v>549</v>
      </c>
      <c r="C595" t="s">
        <v>1907</v>
      </c>
    </row>
    <row r="596" spans="1:3" x14ac:dyDescent="0.2">
      <c r="A596" t="str">
        <f t="shared" ca="1" si="9"/>
        <v>цена за единицу (</v>
      </c>
      <c r="B596" t="s">
        <v>2161</v>
      </c>
      <c r="C596" t="s">
        <v>2164</v>
      </c>
    </row>
    <row r="597" spans="1:3" x14ac:dyDescent="0.2">
      <c r="A597" t="str">
        <f t="shared" ca="1" si="9"/>
        <v>выручка от реализации, без НДС</v>
      </c>
      <c r="B597" t="s">
        <v>550</v>
      </c>
      <c r="C597" t="s">
        <v>1893</v>
      </c>
    </row>
    <row r="598" spans="1:3" x14ac:dyDescent="0.2">
      <c r="A598" t="str">
        <f t="shared" ca="1" si="9"/>
        <v>дебиторская задолженность</v>
      </c>
      <c r="B598" t="s">
        <v>551</v>
      </c>
      <c r="C598" t="s">
        <v>1894</v>
      </c>
    </row>
    <row r="599" spans="1:3" x14ac:dyDescent="0.2">
      <c r="A599" t="str">
        <f t="shared" ca="1" si="9"/>
        <v>средний период отсрочки платежа</v>
      </c>
      <c r="B599" t="s">
        <v>556</v>
      </c>
      <c r="C599" t="s">
        <v>1895</v>
      </c>
    </row>
    <row r="600" spans="1:3" x14ac:dyDescent="0.2">
      <c r="A600" t="str">
        <f t="shared" ca="1" si="9"/>
        <v xml:space="preserve">авансы полученные </v>
      </c>
      <c r="B600" t="s">
        <v>552</v>
      </c>
      <c r="C600" t="s">
        <v>1896</v>
      </c>
    </row>
    <row r="601" spans="1:3" x14ac:dyDescent="0.2">
      <c r="A601" t="str">
        <f t="shared" ca="1" si="9"/>
        <v>средний период предоплаты</v>
      </c>
      <c r="B601" t="s">
        <v>555</v>
      </c>
      <c r="C601" t="s">
        <v>1897</v>
      </c>
    </row>
    <row r="602" spans="1:3" x14ac:dyDescent="0.2">
      <c r="A602" t="str">
        <f t="shared" ca="1" si="9"/>
        <v>поступление денежных средств, с НДС</v>
      </c>
      <c r="B602" t="s">
        <v>1259</v>
      </c>
      <c r="C602" t="s">
        <v>1898</v>
      </c>
    </row>
    <row r="603" spans="1:3" x14ac:dyDescent="0.2">
      <c r="A603" t="str">
        <f t="shared" ca="1" si="9"/>
        <v>темп изменения цен</v>
      </c>
      <c r="B603" t="s">
        <v>528</v>
      </c>
      <c r="C603" t="s">
        <v>1899</v>
      </c>
    </row>
    <row r="604" spans="1:3" x14ac:dyDescent="0.2">
      <c r="A604" t="str">
        <f t="shared" ca="1" si="9"/>
        <v>ставка НДС</v>
      </c>
      <c r="B604" t="s">
        <v>318</v>
      </c>
      <c r="C604" t="s">
        <v>1900</v>
      </c>
    </row>
    <row r="605" spans="1:3" x14ac:dyDescent="0.2">
      <c r="A605" t="str">
        <f t="shared" ca="1" si="9"/>
        <v>акцизы, на единицу</v>
      </c>
      <c r="B605" t="s">
        <v>553</v>
      </c>
      <c r="C605" t="s">
        <v>1908</v>
      </c>
    </row>
    <row r="606" spans="1:3" x14ac:dyDescent="0.2">
      <c r="A606" t="str">
        <f t="shared" ca="1" si="9"/>
        <v>ставка акцизов, в процентах</v>
      </c>
      <c r="B606" t="s">
        <v>1016</v>
      </c>
      <c r="C606" t="s">
        <v>1901</v>
      </c>
    </row>
    <row r="607" spans="1:3" x14ac:dyDescent="0.2">
      <c r="A607" t="str">
        <f t="shared" ca="1" si="9"/>
        <v>коэффициент прироста цен к предыдущему периоду</v>
      </c>
      <c r="B607" t="s">
        <v>997</v>
      </c>
      <c r="C607" t="s">
        <v>1902</v>
      </c>
    </row>
    <row r="608" spans="1:3" x14ac:dyDescent="0.2">
      <c r="A608" t="str">
        <f t="shared" ca="1" si="9"/>
        <v>акцизы начисленные</v>
      </c>
      <c r="B608" t="s">
        <v>554</v>
      </c>
      <c r="C608" t="s">
        <v>1903</v>
      </c>
    </row>
    <row r="609" spans="1:3" x14ac:dyDescent="0.2">
      <c r="A609" t="str">
        <f t="shared" ca="1" si="9"/>
        <v>НДС начисленный</v>
      </c>
      <c r="B609" t="s">
        <v>530</v>
      </c>
      <c r="C609" t="s">
        <v>1904</v>
      </c>
    </row>
    <row r="610" spans="1:3" x14ac:dyDescent="0.2">
      <c r="A610" t="str">
        <f t="shared" ca="1" si="9"/>
        <v>НДС полученный с авансов</v>
      </c>
      <c r="B610" t="s">
        <v>1260</v>
      </c>
      <c r="C610" t="s">
        <v>1905</v>
      </c>
    </row>
    <row r="611" spans="1:3" x14ac:dyDescent="0.2">
      <c r="A611" t="str">
        <f t="shared" ca="1" si="9"/>
        <v>Итого:</v>
      </c>
      <c r="B611" t="s">
        <v>598</v>
      </c>
      <c r="C611" t="s">
        <v>1909</v>
      </c>
    </row>
    <row r="612" spans="1:3" x14ac:dyDescent="0.2">
      <c r="A612" t="str">
        <f t="shared" ca="1" si="9"/>
        <v>Выручка в отчете о прибылях и убытках, без НДС</v>
      </c>
      <c r="B612" t="s">
        <v>987</v>
      </c>
      <c r="C612" t="s">
        <v>1910</v>
      </c>
    </row>
    <row r="613" spans="1:3" x14ac:dyDescent="0.2">
      <c r="A613" t="str">
        <f t="shared" ca="1" si="9"/>
        <v>НДС начисленный</v>
      </c>
      <c r="B613" t="s">
        <v>530</v>
      </c>
      <c r="C613" t="s">
        <v>1904</v>
      </c>
    </row>
    <row r="614" spans="1:3" x14ac:dyDescent="0.2">
      <c r="A614" t="str">
        <f t="shared" ca="1" si="9"/>
        <v>Поступления от продаж, с НДС</v>
      </c>
      <c r="B614" t="s">
        <v>984</v>
      </c>
      <c r="C614" t="s">
        <v>1911</v>
      </c>
    </row>
    <row r="615" spans="1:3" x14ac:dyDescent="0.2">
      <c r="A615" t="str">
        <f t="shared" ca="1" si="9"/>
        <v>Дебиторская задолженность</v>
      </c>
      <c r="B615" t="s">
        <v>985</v>
      </c>
      <c r="C615" t="s">
        <v>1675</v>
      </c>
    </row>
    <row r="616" spans="1:3" x14ac:dyDescent="0.2">
      <c r="A616" t="str">
        <f t="shared" ca="1" si="9"/>
        <v>Авансы полученные</v>
      </c>
      <c r="B616" t="s">
        <v>986</v>
      </c>
      <c r="C616" t="s">
        <v>1696</v>
      </c>
    </row>
    <row r="617" spans="1:3" x14ac:dyDescent="0.2">
      <c r="A617" t="str">
        <f t="shared" ca="1" si="9"/>
        <v>НДС полученный с авансов</v>
      </c>
      <c r="B617" t="s">
        <v>1260</v>
      </c>
      <c r="C617" t="s">
        <v>1905</v>
      </c>
    </row>
    <row r="618" spans="1:3" x14ac:dyDescent="0.2">
      <c r="A618" t="str">
        <f t="shared" ca="1" si="9"/>
        <v>Акцизы начисленные</v>
      </c>
      <c r="B618" t="s">
        <v>988</v>
      </c>
      <c r="C618" t="s">
        <v>1912</v>
      </c>
    </row>
    <row r="619" spans="1:3" x14ac:dyDescent="0.2">
      <c r="A619" t="str">
        <f t="shared" ca="1" si="9"/>
        <v>Курсовые разницы</v>
      </c>
      <c r="B619" t="s">
        <v>1250</v>
      </c>
      <c r="C619" t="s">
        <v>1740</v>
      </c>
    </row>
    <row r="620" spans="1:3" x14ac:dyDescent="0.2">
      <c r="A620" s="24" t="str">
        <f t="shared" ca="1" si="9"/>
        <v>СЫРЬЕ И МАТЕРИАЛЬНЫЕ ЗАТРАТЫ</v>
      </c>
      <c r="B620" t="s">
        <v>607</v>
      </c>
      <c r="C620" t="s">
        <v>1913</v>
      </c>
    </row>
    <row r="621" spans="1:3" x14ac:dyDescent="0.2">
      <c r="A621" t="str">
        <f t="shared" ca="1" si="9"/>
        <v>Шаблон материала без единиц</v>
      </c>
      <c r="B621" t="s">
        <v>847</v>
      </c>
      <c r="C621" t="s">
        <v>1914</v>
      </c>
    </row>
    <row r="622" spans="1:3" x14ac:dyDescent="0.2">
      <c r="A622" t="str">
        <f t="shared" ca="1" si="9"/>
        <v>расход за период, без учета инфляции, без НДС</v>
      </c>
      <c r="B622" t="s">
        <v>1256</v>
      </c>
      <c r="C622" t="s">
        <v>1915</v>
      </c>
    </row>
    <row r="623" spans="1:3" x14ac:dyDescent="0.2">
      <c r="A623" t="str">
        <f t="shared" ca="1" si="9"/>
        <v>затраты на проданный товар, без НДС</v>
      </c>
      <c r="B623" t="s">
        <v>1015</v>
      </c>
      <c r="C623" t="s">
        <v>1916</v>
      </c>
    </row>
    <row r="624" spans="1:3" x14ac:dyDescent="0.2">
      <c r="A624" t="str">
        <f t="shared" ca="1" si="9"/>
        <v>запасы сырья и материалов</v>
      </c>
      <c r="B624" t="s">
        <v>608</v>
      </c>
      <c r="C624" t="s">
        <v>1917</v>
      </c>
    </row>
    <row r="625" spans="1:3" x14ac:dyDescent="0.2">
      <c r="A625" t="str">
        <f t="shared" ca="1" si="9"/>
        <v>периодичность закупки</v>
      </c>
      <c r="B625" t="s">
        <v>609</v>
      </c>
      <c r="C625" t="s">
        <v>1918</v>
      </c>
    </row>
    <row r="626" spans="1:3" x14ac:dyDescent="0.2">
      <c r="A626" t="str">
        <f t="shared" ca="1" si="9"/>
        <v>затраты в запасах готовой продукции</v>
      </c>
      <c r="B626" t="s">
        <v>567</v>
      </c>
      <c r="C626" t="s">
        <v>1919</v>
      </c>
    </row>
    <row r="627" spans="1:3" x14ac:dyDescent="0.2">
      <c r="A627" t="str">
        <f t="shared" ca="1" si="9"/>
        <v>периодичность отгрузки</v>
      </c>
      <c r="B627" t="s">
        <v>568</v>
      </c>
      <c r="C627" t="s">
        <v>1920</v>
      </c>
    </row>
    <row r="628" spans="1:3" x14ac:dyDescent="0.2">
      <c r="A628" t="str">
        <f t="shared" ca="1" si="9"/>
        <v>затраты в незавершенном производстве</v>
      </c>
      <c r="B628" t="s">
        <v>569</v>
      </c>
      <c r="C628" t="s">
        <v>1921</v>
      </c>
    </row>
    <row r="629" spans="1:3" x14ac:dyDescent="0.2">
      <c r="A629" t="str">
        <f t="shared" ref="A629:A692" ca="1" si="10">OFFSET(A629,0,Prj_Language)</f>
        <v>длительность производственного цикла</v>
      </c>
      <c r="B629" t="s">
        <v>570</v>
      </c>
      <c r="C629" t="s">
        <v>1922</v>
      </c>
    </row>
    <row r="630" spans="1:3" x14ac:dyDescent="0.2">
      <c r="A630" t="str">
        <f t="shared" ca="1" si="10"/>
        <v>общий расход за период, без НДС</v>
      </c>
      <c r="B630" t="s">
        <v>610</v>
      </c>
      <c r="C630" t="s">
        <v>1923</v>
      </c>
    </row>
    <row r="631" spans="1:3" x14ac:dyDescent="0.2">
      <c r="A631" t="str">
        <f t="shared" ca="1" si="10"/>
        <v>кредиторская задолженность</v>
      </c>
      <c r="B631" t="s">
        <v>308</v>
      </c>
      <c r="C631" t="s">
        <v>1924</v>
      </c>
    </row>
    <row r="632" spans="1:3" x14ac:dyDescent="0.2">
      <c r="A632" t="str">
        <f t="shared" ca="1" si="10"/>
        <v>период отсрочки платежа</v>
      </c>
      <c r="B632" t="s">
        <v>611</v>
      </c>
      <c r="C632" t="s">
        <v>1925</v>
      </c>
    </row>
    <row r="633" spans="1:3" x14ac:dyDescent="0.2">
      <c r="A633" t="str">
        <f t="shared" ca="1" si="10"/>
        <v>авансы уплаченные</v>
      </c>
      <c r="B633" t="s">
        <v>612</v>
      </c>
      <c r="C633" t="s">
        <v>1926</v>
      </c>
    </row>
    <row r="634" spans="1:3" x14ac:dyDescent="0.2">
      <c r="A634" t="str">
        <f t="shared" ca="1" si="10"/>
        <v>период предоплаты</v>
      </c>
      <c r="B634" t="s">
        <v>613</v>
      </c>
      <c r="C634" t="s">
        <v>1927</v>
      </c>
    </row>
    <row r="635" spans="1:3" x14ac:dyDescent="0.2">
      <c r="A635" t="str">
        <f t="shared" ca="1" si="10"/>
        <v>оплата расходов, c НДС</v>
      </c>
      <c r="B635" t="s">
        <v>1257</v>
      </c>
      <c r="C635" t="s">
        <v>1928</v>
      </c>
    </row>
    <row r="636" spans="1:3" x14ac:dyDescent="0.2">
      <c r="A636" t="str">
        <f t="shared" ca="1" si="10"/>
        <v>темп изменения цен</v>
      </c>
      <c r="B636" t="s">
        <v>528</v>
      </c>
      <c r="C636" t="s">
        <v>1899</v>
      </c>
    </row>
    <row r="637" spans="1:3" x14ac:dyDescent="0.2">
      <c r="A637" t="str">
        <f t="shared" ca="1" si="10"/>
        <v>ставка НДС</v>
      </c>
      <c r="B637" t="s">
        <v>318</v>
      </c>
      <c r="C637" t="s">
        <v>1900</v>
      </c>
    </row>
    <row r="638" spans="1:3" x14ac:dyDescent="0.2">
      <c r="A638" t="str">
        <f t="shared" ca="1" si="10"/>
        <v>ставка импортной пошлины</v>
      </c>
      <c r="B638" t="s">
        <v>614</v>
      </c>
      <c r="C638" t="s">
        <v>1929</v>
      </c>
    </row>
    <row r="639" spans="1:3" x14ac:dyDescent="0.2">
      <c r="A639" t="str">
        <f t="shared" ca="1" si="10"/>
        <v>коэффициент изменения цен к началу проекта</v>
      </c>
      <c r="B639" t="s">
        <v>998</v>
      </c>
      <c r="C639" t="s">
        <v>1902</v>
      </c>
    </row>
    <row r="640" spans="1:3" x14ac:dyDescent="0.2">
      <c r="A640" t="str">
        <f t="shared" ca="1" si="10"/>
        <v>пошлины начисленные</v>
      </c>
      <c r="B640" t="s">
        <v>615</v>
      </c>
      <c r="C640" t="s">
        <v>1930</v>
      </c>
    </row>
    <row r="641" spans="1:3" x14ac:dyDescent="0.2">
      <c r="A641" t="str">
        <f t="shared" ca="1" si="10"/>
        <v>НДС начисленный</v>
      </c>
      <c r="B641" t="s">
        <v>530</v>
      </c>
      <c r="C641" t="s">
        <v>1904</v>
      </c>
    </row>
    <row r="642" spans="1:3" x14ac:dyDescent="0.2">
      <c r="A642" t="str">
        <f t="shared" ca="1" si="10"/>
        <v>Шаблон материала с единицами</v>
      </c>
      <c r="B642" t="s">
        <v>844</v>
      </c>
      <c r="C642" t="s">
        <v>1931</v>
      </c>
    </row>
    <row r="643" spans="1:3" x14ac:dyDescent="0.2">
      <c r="A643" t="str">
        <f t="shared" ca="1" si="10"/>
        <v>физический расход на проданные товары за период</v>
      </c>
      <c r="B643" t="s">
        <v>1017</v>
      </c>
      <c r="C643" t="s">
        <v>1932</v>
      </c>
    </row>
    <row r="644" spans="1:3" x14ac:dyDescent="0.2">
      <c r="A644" t="str">
        <f t="shared" ca="1" si="10"/>
        <v>цена за единицу (</v>
      </c>
      <c r="B644" t="s">
        <v>2161</v>
      </c>
      <c r="C644" t="s">
        <v>2164</v>
      </c>
    </row>
    <row r="645" spans="1:3" x14ac:dyDescent="0.2">
      <c r="A645" t="str">
        <f t="shared" ca="1" si="10"/>
        <v>затраты на проданный товар, без НДС</v>
      </c>
      <c r="B645" t="s">
        <v>1015</v>
      </c>
      <c r="C645" t="s">
        <v>1916</v>
      </c>
    </row>
    <row r="646" spans="1:3" x14ac:dyDescent="0.2">
      <c r="A646" t="str">
        <f t="shared" ca="1" si="10"/>
        <v>запасы сырья и материалов</v>
      </c>
      <c r="B646" t="s">
        <v>608</v>
      </c>
      <c r="C646" t="s">
        <v>1917</v>
      </c>
    </row>
    <row r="647" spans="1:3" x14ac:dyDescent="0.2">
      <c r="A647" t="str">
        <f t="shared" ca="1" si="10"/>
        <v>периодичность закупки</v>
      </c>
      <c r="B647" t="s">
        <v>609</v>
      </c>
      <c r="C647" t="s">
        <v>1918</v>
      </c>
    </row>
    <row r="648" spans="1:3" x14ac:dyDescent="0.2">
      <c r="A648" t="str">
        <f t="shared" ca="1" si="10"/>
        <v>затраты в запасах готовой продукции</v>
      </c>
      <c r="B648" t="s">
        <v>567</v>
      </c>
      <c r="C648" t="s">
        <v>1919</v>
      </c>
    </row>
    <row r="649" spans="1:3" x14ac:dyDescent="0.2">
      <c r="A649" t="str">
        <f t="shared" ca="1" si="10"/>
        <v>периодичность отгрузки</v>
      </c>
      <c r="B649" t="s">
        <v>568</v>
      </c>
      <c r="C649" t="s">
        <v>1920</v>
      </c>
    </row>
    <row r="650" spans="1:3" x14ac:dyDescent="0.2">
      <c r="A650" t="str">
        <f t="shared" ca="1" si="10"/>
        <v>затраты в незавершенном производстве</v>
      </c>
      <c r="B650" t="s">
        <v>569</v>
      </c>
      <c r="C650" t="s">
        <v>1921</v>
      </c>
    </row>
    <row r="651" spans="1:3" x14ac:dyDescent="0.2">
      <c r="A651" t="str">
        <f t="shared" ca="1" si="10"/>
        <v>длительность производственного цикла</v>
      </c>
      <c r="B651" t="s">
        <v>570</v>
      </c>
      <c r="C651" t="s">
        <v>1922</v>
      </c>
    </row>
    <row r="652" spans="1:3" x14ac:dyDescent="0.2">
      <c r="A652" t="str">
        <f t="shared" ca="1" si="10"/>
        <v>общий расход за период, без НДС</v>
      </c>
      <c r="B652" t="s">
        <v>610</v>
      </c>
      <c r="C652" t="s">
        <v>1923</v>
      </c>
    </row>
    <row r="653" spans="1:3" x14ac:dyDescent="0.2">
      <c r="A653" t="str">
        <f t="shared" ca="1" si="10"/>
        <v>кредиторская задолженность</v>
      </c>
      <c r="B653" t="s">
        <v>308</v>
      </c>
      <c r="C653" t="s">
        <v>1924</v>
      </c>
    </row>
    <row r="654" spans="1:3" x14ac:dyDescent="0.2">
      <c r="A654" t="str">
        <f t="shared" ca="1" si="10"/>
        <v>период отсрочки платежа</v>
      </c>
      <c r="B654" t="s">
        <v>611</v>
      </c>
      <c r="C654" t="s">
        <v>1925</v>
      </c>
    </row>
    <row r="655" spans="1:3" x14ac:dyDescent="0.2">
      <c r="A655" t="str">
        <f t="shared" ca="1" si="10"/>
        <v>авансы уплаченные</v>
      </c>
      <c r="B655" t="s">
        <v>612</v>
      </c>
      <c r="C655" t="s">
        <v>1926</v>
      </c>
    </row>
    <row r="656" spans="1:3" x14ac:dyDescent="0.2">
      <c r="A656" t="str">
        <f t="shared" ca="1" si="10"/>
        <v>период предоплаты</v>
      </c>
      <c r="B656" t="s">
        <v>613</v>
      </c>
      <c r="C656" t="s">
        <v>1927</v>
      </c>
    </row>
    <row r="657" spans="1:3" x14ac:dyDescent="0.2">
      <c r="A657" t="str">
        <f t="shared" ca="1" si="10"/>
        <v>оплата расходов, c НДС</v>
      </c>
      <c r="B657" t="s">
        <v>1257</v>
      </c>
      <c r="C657" t="s">
        <v>1928</v>
      </c>
    </row>
    <row r="658" spans="1:3" x14ac:dyDescent="0.2">
      <c r="A658" t="str">
        <f t="shared" ca="1" si="10"/>
        <v>темп изменения цен</v>
      </c>
      <c r="B658" t="s">
        <v>528</v>
      </c>
      <c r="C658" t="s">
        <v>1899</v>
      </c>
    </row>
    <row r="659" spans="1:3" x14ac:dyDescent="0.2">
      <c r="A659" t="str">
        <f t="shared" ca="1" si="10"/>
        <v>ставка НДС</v>
      </c>
      <c r="B659" t="s">
        <v>318</v>
      </c>
      <c r="C659" t="s">
        <v>1900</v>
      </c>
    </row>
    <row r="660" spans="1:3" x14ac:dyDescent="0.2">
      <c r="A660" t="str">
        <f t="shared" ca="1" si="10"/>
        <v>ставка импортной пошлины</v>
      </c>
      <c r="B660" t="s">
        <v>614</v>
      </c>
      <c r="C660" t="s">
        <v>1929</v>
      </c>
    </row>
    <row r="661" spans="1:3" x14ac:dyDescent="0.2">
      <c r="A661" t="str">
        <f t="shared" ca="1" si="10"/>
        <v>коэффициент прироста цен к предыдущему периоду</v>
      </c>
      <c r="B661" t="s">
        <v>997</v>
      </c>
      <c r="C661" t="s">
        <v>1933</v>
      </c>
    </row>
    <row r="662" spans="1:3" x14ac:dyDescent="0.2">
      <c r="A662" t="str">
        <f t="shared" ca="1" si="10"/>
        <v>пошлины начисленные</v>
      </c>
      <c r="B662" t="s">
        <v>615</v>
      </c>
      <c r="C662" t="s">
        <v>1930</v>
      </c>
    </row>
    <row r="663" spans="1:3" x14ac:dyDescent="0.2">
      <c r="A663" t="str">
        <f t="shared" ca="1" si="10"/>
        <v>НДС начисленный</v>
      </c>
      <c r="B663" t="s">
        <v>530</v>
      </c>
      <c r="C663" t="s">
        <v>1904</v>
      </c>
    </row>
    <row r="664" spans="1:3" x14ac:dyDescent="0.2">
      <c r="A664" t="str">
        <f t="shared" ca="1" si="10"/>
        <v>Итого: Материальные затраты</v>
      </c>
      <c r="B664" t="s">
        <v>846</v>
      </c>
      <c r="C664" t="s">
        <v>1934</v>
      </c>
    </row>
    <row r="665" spans="1:3" x14ac:dyDescent="0.2">
      <c r="A665" t="str">
        <f t="shared" ca="1" si="10"/>
        <v>Суммарные затраты в отчете о прибылях и убытках</v>
      </c>
      <c r="B665" t="s">
        <v>1009</v>
      </c>
      <c r="C665" t="s">
        <v>1935</v>
      </c>
    </row>
    <row r="666" spans="1:3" x14ac:dyDescent="0.2">
      <c r="A666" t="str">
        <f t="shared" ca="1" si="10"/>
        <v>Оплата материалов и комплектующих, с НДС</v>
      </c>
      <c r="B666" t="s">
        <v>1003</v>
      </c>
      <c r="C666" t="s">
        <v>1936</v>
      </c>
    </row>
    <row r="667" spans="1:3" x14ac:dyDescent="0.2">
      <c r="A667" t="str">
        <f t="shared" ca="1" si="10"/>
        <v>Затраты, без НДС и пошлин</v>
      </c>
      <c r="B667" t="s">
        <v>1010</v>
      </c>
      <c r="C667" t="s">
        <v>1937</v>
      </c>
    </row>
    <row r="668" spans="1:3" x14ac:dyDescent="0.2">
      <c r="A668" t="str">
        <f t="shared" ca="1" si="10"/>
        <v>Оплата, c НДС, без пошлин</v>
      </c>
      <c r="B668" t="s">
        <v>1258</v>
      </c>
      <c r="C668" t="s">
        <v>1938</v>
      </c>
    </row>
    <row r="669" spans="1:3" x14ac:dyDescent="0.2">
      <c r="A669" t="str">
        <f t="shared" ca="1" si="10"/>
        <v>НДС начисленный</v>
      </c>
      <c r="B669" t="s">
        <v>530</v>
      </c>
      <c r="C669" t="s">
        <v>1904</v>
      </c>
    </row>
    <row r="670" spans="1:3" x14ac:dyDescent="0.2">
      <c r="A670" t="str">
        <f t="shared" ca="1" si="10"/>
        <v>Начисленные импортные пошлины</v>
      </c>
      <c r="B670" t="s">
        <v>1008</v>
      </c>
      <c r="C670" t="s">
        <v>1939</v>
      </c>
    </row>
    <row r="671" spans="1:3" x14ac:dyDescent="0.2">
      <c r="A671" t="str">
        <f t="shared" ca="1" si="10"/>
        <v>Запасы материалов и комплектующих</v>
      </c>
      <c r="B671" t="s">
        <v>1019</v>
      </c>
      <c r="C671" t="s">
        <v>1940</v>
      </c>
    </row>
    <row r="672" spans="1:3" x14ac:dyDescent="0.2">
      <c r="A672" t="str">
        <f t="shared" ca="1" si="10"/>
        <v>Незавершенное производство</v>
      </c>
      <c r="B672" t="s">
        <v>1004</v>
      </c>
      <c r="C672" t="s">
        <v>1678</v>
      </c>
    </row>
    <row r="673" spans="1:3" x14ac:dyDescent="0.2">
      <c r="A673" t="str">
        <f t="shared" ca="1" si="10"/>
        <v>Запасы готовой продукции</v>
      </c>
      <c r="B673" t="s">
        <v>1005</v>
      </c>
      <c r="C673" t="s">
        <v>1941</v>
      </c>
    </row>
    <row r="674" spans="1:3" x14ac:dyDescent="0.2">
      <c r="A674" t="str">
        <f t="shared" ca="1" si="10"/>
        <v>Кредиторская задолженность</v>
      </c>
      <c r="B674" t="s">
        <v>1006</v>
      </c>
      <c r="C674" t="s">
        <v>1675</v>
      </c>
    </row>
    <row r="675" spans="1:3" x14ac:dyDescent="0.2">
      <c r="A675" t="str">
        <f t="shared" ca="1" si="10"/>
        <v>Авансы уплаченные</v>
      </c>
      <c r="B675" t="s">
        <v>1007</v>
      </c>
      <c r="C675" t="s">
        <v>1676</v>
      </c>
    </row>
    <row r="676" spans="1:3" x14ac:dyDescent="0.2">
      <c r="A676" t="str">
        <f t="shared" ca="1" si="10"/>
        <v>Курсовые разницы</v>
      </c>
      <c r="B676" t="s">
        <v>1250</v>
      </c>
      <c r="C676" t="s">
        <v>1740</v>
      </c>
    </row>
    <row r="677" spans="1:3" x14ac:dyDescent="0.2">
      <c r="A677" s="24" t="str">
        <f t="shared" ca="1" si="10"/>
        <v>ПЕРСОНАЛ</v>
      </c>
      <c r="B677" t="s">
        <v>557</v>
      </c>
      <c r="C677" t="s">
        <v>1942</v>
      </c>
    </row>
    <row r="678" spans="1:3" x14ac:dyDescent="0.2">
      <c r="A678" t="str">
        <f t="shared" ca="1" si="10"/>
        <v>Шаблон персонала без численности</v>
      </c>
      <c r="B678" t="s">
        <v>785</v>
      </c>
      <c r="C678" t="s">
        <v>1943</v>
      </c>
    </row>
    <row r="679" spans="1:3" x14ac:dyDescent="0.2">
      <c r="A679" t="str">
        <f t="shared" ca="1" si="10"/>
        <v>заработная плата сотрудников, в месяц</v>
      </c>
      <c r="B679" t="s">
        <v>563</v>
      </c>
      <c r="C679" t="s">
        <v>1944</v>
      </c>
    </row>
    <row r="680" spans="1:3" x14ac:dyDescent="0.2">
      <c r="A680" t="str">
        <f t="shared" ca="1" si="10"/>
        <v>коэффициент расходов</v>
      </c>
      <c r="B680" t="s">
        <v>1543</v>
      </c>
      <c r="C680" t="s">
        <v>1945</v>
      </c>
    </row>
    <row r="681" spans="1:3" x14ac:dyDescent="0.2">
      <c r="A681" t="str">
        <f t="shared" ca="1" si="10"/>
        <v>заработная плата</v>
      </c>
      <c r="B681" t="s">
        <v>561</v>
      </c>
      <c r="C681" t="s">
        <v>1946</v>
      </c>
    </row>
    <row r="682" spans="1:3" x14ac:dyDescent="0.2">
      <c r="A682" t="str">
        <f t="shared" ca="1" si="10"/>
        <v>социальные взносы</v>
      </c>
      <c r="B682" t="s">
        <v>1213</v>
      </c>
      <c r="C682" t="s">
        <v>1947</v>
      </c>
    </row>
    <row r="683" spans="1:3" x14ac:dyDescent="0.2">
      <c r="A683" t="str">
        <f t="shared" ca="1" si="10"/>
        <v>темп изменения цен</v>
      </c>
      <c r="B683" t="s">
        <v>528</v>
      </c>
      <c r="C683" t="s">
        <v>1899</v>
      </c>
    </row>
    <row r="684" spans="1:3" x14ac:dyDescent="0.2">
      <c r="A684" t="str">
        <f t="shared" ca="1" si="10"/>
        <v>коэффициент изменения цен</v>
      </c>
      <c r="B684" t="s">
        <v>529</v>
      </c>
      <c r="C684" t="s">
        <v>1948</v>
      </c>
    </row>
    <row r="685" spans="1:3" x14ac:dyDescent="0.2">
      <c r="A685" t="str">
        <f t="shared" ca="1" si="10"/>
        <v>Шаблон персонала с численностью</v>
      </c>
      <c r="B685" t="s">
        <v>786</v>
      </c>
      <c r="C685" t="s">
        <v>1949</v>
      </c>
    </row>
    <row r="686" spans="1:3" x14ac:dyDescent="0.2">
      <c r="A686" t="str">
        <f t="shared" ca="1" si="10"/>
        <v>численность</v>
      </c>
      <c r="B686" t="s">
        <v>558</v>
      </c>
      <c r="C686" t="s">
        <v>1950</v>
      </c>
    </row>
    <row r="687" spans="1:3" x14ac:dyDescent="0.2">
      <c r="A687" t="str">
        <f t="shared" ca="1" si="10"/>
        <v>средний оклад, в месяц</v>
      </c>
      <c r="B687" t="s">
        <v>560</v>
      </c>
      <c r="C687" t="s">
        <v>1951</v>
      </c>
    </row>
    <row r="688" spans="1:3" x14ac:dyDescent="0.2">
      <c r="A688" t="str">
        <f t="shared" ca="1" si="10"/>
        <v>заработная плата</v>
      </c>
      <c r="B688" t="s">
        <v>561</v>
      </c>
      <c r="C688" t="s">
        <v>1946</v>
      </c>
    </row>
    <row r="689" spans="1:3" x14ac:dyDescent="0.2">
      <c r="A689" t="str">
        <f t="shared" ca="1" si="10"/>
        <v>социальные взносы</v>
      </c>
      <c r="B689" t="s">
        <v>1213</v>
      </c>
      <c r="C689" t="s">
        <v>1947</v>
      </c>
    </row>
    <row r="690" spans="1:3" x14ac:dyDescent="0.2">
      <c r="A690" t="str">
        <f t="shared" ca="1" si="10"/>
        <v>темп изменения цен</v>
      </c>
      <c r="B690" t="s">
        <v>528</v>
      </c>
      <c r="C690" t="s">
        <v>1899</v>
      </c>
    </row>
    <row r="691" spans="1:3" x14ac:dyDescent="0.2">
      <c r="A691" t="str">
        <f t="shared" ca="1" si="10"/>
        <v>коэффициент изменения цен</v>
      </c>
      <c r="B691" t="s">
        <v>529</v>
      </c>
      <c r="C691" t="s">
        <v>1948</v>
      </c>
    </row>
    <row r="692" spans="1:3" x14ac:dyDescent="0.2">
      <c r="A692" t="str">
        <f t="shared" ca="1" si="10"/>
        <v>Производственный персонал</v>
      </c>
      <c r="B692" t="s">
        <v>564</v>
      </c>
      <c r="C692" t="s">
        <v>1952</v>
      </c>
    </row>
    <row r="693" spans="1:3" x14ac:dyDescent="0.2">
      <c r="A693" t="str">
        <f ca="1">OFFSET(A693,0,Prj_Language)</f>
        <v>Административный персонал</v>
      </c>
      <c r="B693" t="s">
        <v>566</v>
      </c>
      <c r="C693" t="s">
        <v>1954</v>
      </c>
    </row>
    <row r="694" spans="1:3" x14ac:dyDescent="0.2">
      <c r="A694" t="str">
        <f t="shared" ref="A694:A756" ca="1" si="11">OFFSET(A694,0,Prj_Language)</f>
        <v>Коммерческий персонал</v>
      </c>
      <c r="B694" t="s">
        <v>565</v>
      </c>
      <c r="C694" t="s">
        <v>1953</v>
      </c>
    </row>
    <row r="695" spans="1:3" x14ac:dyDescent="0.2">
      <c r="A695" t="str">
        <f t="shared" ca="1" si="11"/>
        <v>Затраты на производственный персонал, с соц. взносами</v>
      </c>
      <c r="B695" t="s">
        <v>1217</v>
      </c>
      <c r="C695" t="s">
        <v>1955</v>
      </c>
    </row>
    <row r="696" spans="1:3" x14ac:dyDescent="0.2">
      <c r="A696" t="str">
        <f t="shared" ca="1" si="11"/>
        <v>заработная плата</v>
      </c>
      <c r="B696" t="s">
        <v>561</v>
      </c>
      <c r="C696" t="s">
        <v>1946</v>
      </c>
    </row>
    <row r="697" spans="1:3" x14ac:dyDescent="0.2">
      <c r="A697" t="str">
        <f t="shared" ca="1" si="11"/>
        <v>социальные взносы</v>
      </c>
      <c r="B697" t="s">
        <v>1213</v>
      </c>
      <c r="C697" t="s">
        <v>1947</v>
      </c>
    </row>
    <row r="698" spans="1:3" x14ac:dyDescent="0.2">
      <c r="A698" t="str">
        <f t="shared" ca="1" si="11"/>
        <v>периодичность отгрузки</v>
      </c>
      <c r="B698" t="s">
        <v>568</v>
      </c>
      <c r="C698" t="s">
        <v>1920</v>
      </c>
    </row>
    <row r="699" spans="1:3" x14ac:dyDescent="0.2">
      <c r="A699" t="str">
        <f t="shared" ca="1" si="11"/>
        <v>затраты в запасах готовой продукции</v>
      </c>
      <c r="B699" t="s">
        <v>567</v>
      </c>
      <c r="C699" t="s">
        <v>1956</v>
      </c>
    </row>
    <row r="700" spans="1:3" x14ac:dyDescent="0.2">
      <c r="A700" t="str">
        <f t="shared" ca="1" si="11"/>
        <v>длительность производственного цикла</v>
      </c>
      <c r="B700" t="s">
        <v>570</v>
      </c>
      <c r="C700" t="s">
        <v>1922</v>
      </c>
    </row>
    <row r="701" spans="1:3" x14ac:dyDescent="0.2">
      <c r="A701" t="str">
        <f t="shared" ca="1" si="11"/>
        <v>затраты в незавершенном производстве</v>
      </c>
      <c r="B701" t="s">
        <v>569</v>
      </c>
      <c r="C701" t="s">
        <v>1957</v>
      </c>
    </row>
    <row r="702" spans="1:3" x14ac:dyDescent="0.2">
      <c r="A702" t="str">
        <f t="shared" ca="1" si="11"/>
        <v>списано на продажи в отчете о прибылях и убытках</v>
      </c>
      <c r="B702" t="s">
        <v>1046</v>
      </c>
      <c r="C702" t="s">
        <v>1958</v>
      </c>
    </row>
    <row r="703" spans="1:3" x14ac:dyDescent="0.2">
      <c r="A703" t="str">
        <f ca="1">OFFSET(A703,0,Prj_Language)</f>
        <v>Затраты на административный персонал, с соц. взносами</v>
      </c>
      <c r="B703" t="s">
        <v>1218</v>
      </c>
      <c r="C703" t="s">
        <v>1959</v>
      </c>
    </row>
    <row r="704" spans="1:3" x14ac:dyDescent="0.2">
      <c r="A704" t="str">
        <f t="shared" ca="1" si="11"/>
        <v>заработная плата</v>
      </c>
      <c r="B704" t="s">
        <v>561</v>
      </c>
      <c r="C704" t="s">
        <v>1946</v>
      </c>
    </row>
    <row r="705" spans="1:3" x14ac:dyDescent="0.2">
      <c r="A705" t="str">
        <f t="shared" ca="1" si="11"/>
        <v>социальные взносы</v>
      </c>
      <c r="B705" t="s">
        <v>1213</v>
      </c>
      <c r="C705" t="s">
        <v>1947</v>
      </c>
    </row>
    <row r="706" spans="1:3" x14ac:dyDescent="0.2">
      <c r="A706" t="str">
        <f t="shared" ca="1" si="11"/>
        <v>периодичность отгрузки</v>
      </c>
      <c r="B706" t="s">
        <v>568</v>
      </c>
      <c r="C706" t="s">
        <v>1920</v>
      </c>
    </row>
    <row r="707" spans="1:3" x14ac:dyDescent="0.2">
      <c r="A707" t="str">
        <f t="shared" ca="1" si="11"/>
        <v>затраты в запасах готовой продукции</v>
      </c>
      <c r="B707" t="s">
        <v>567</v>
      </c>
      <c r="C707" t="s">
        <v>1956</v>
      </c>
    </row>
    <row r="708" spans="1:3" x14ac:dyDescent="0.2">
      <c r="A708" t="str">
        <f t="shared" ca="1" si="11"/>
        <v>длительность производственного цикла</v>
      </c>
      <c r="B708" t="s">
        <v>570</v>
      </c>
      <c r="C708" t="s">
        <v>1922</v>
      </c>
    </row>
    <row r="709" spans="1:3" x14ac:dyDescent="0.2">
      <c r="A709" t="str">
        <f t="shared" ca="1" si="11"/>
        <v>затраты в незавершенном производстве</v>
      </c>
      <c r="B709" t="s">
        <v>569</v>
      </c>
      <c r="C709" t="s">
        <v>1957</v>
      </c>
    </row>
    <row r="710" spans="1:3" x14ac:dyDescent="0.2">
      <c r="A710" t="str">
        <f t="shared" ca="1" si="11"/>
        <v>списано на продажи в отчете о прибылях и убытках</v>
      </c>
      <c r="B710" t="s">
        <v>1046</v>
      </c>
      <c r="C710" t="s">
        <v>1958</v>
      </c>
    </row>
    <row r="711" spans="1:3" x14ac:dyDescent="0.2">
      <c r="A711" t="str">
        <f ca="1">OFFSET(A711,0,Prj_Language)</f>
        <v>Затраты на коммерческий персонал, с соц. взносами</v>
      </c>
      <c r="B711" t="s">
        <v>1216</v>
      </c>
      <c r="C711" t="s">
        <v>1960</v>
      </c>
    </row>
    <row r="712" spans="1:3" x14ac:dyDescent="0.2">
      <c r="A712" t="str">
        <f t="shared" ca="1" si="11"/>
        <v>заработная плата</v>
      </c>
      <c r="B712" t="s">
        <v>561</v>
      </c>
      <c r="C712" t="s">
        <v>1946</v>
      </c>
    </row>
    <row r="713" spans="1:3" x14ac:dyDescent="0.2">
      <c r="A713" t="str">
        <f t="shared" ca="1" si="11"/>
        <v>социальные взносы</v>
      </c>
      <c r="B713" t="s">
        <v>1213</v>
      </c>
      <c r="C713" t="s">
        <v>1947</v>
      </c>
    </row>
    <row r="714" spans="1:3" x14ac:dyDescent="0.2">
      <c r="A714" t="str">
        <f t="shared" ca="1" si="11"/>
        <v>периодичность отгрузки</v>
      </c>
      <c r="B714" t="s">
        <v>568</v>
      </c>
      <c r="C714" t="s">
        <v>1920</v>
      </c>
    </row>
    <row r="715" spans="1:3" x14ac:dyDescent="0.2">
      <c r="A715" t="str">
        <f t="shared" ca="1" si="11"/>
        <v>затраты в запасах готовой продукции</v>
      </c>
      <c r="B715" t="s">
        <v>567</v>
      </c>
      <c r="C715" t="s">
        <v>1956</v>
      </c>
    </row>
    <row r="716" spans="1:3" x14ac:dyDescent="0.2">
      <c r="A716" t="str">
        <f t="shared" ca="1" si="11"/>
        <v>длительность производственного цикла</v>
      </c>
      <c r="B716" t="s">
        <v>570</v>
      </c>
      <c r="C716" t="s">
        <v>1922</v>
      </c>
    </row>
    <row r="717" spans="1:3" x14ac:dyDescent="0.2">
      <c r="A717" t="str">
        <f t="shared" ca="1" si="11"/>
        <v>затраты в незавершенном производстве</v>
      </c>
      <c r="B717" t="s">
        <v>569</v>
      </c>
      <c r="C717" t="s">
        <v>1957</v>
      </c>
    </row>
    <row r="718" spans="1:3" x14ac:dyDescent="0.2">
      <c r="A718" t="str">
        <f t="shared" ca="1" si="11"/>
        <v>списано на продажи в отчете о прибылях и убытках</v>
      </c>
      <c r="B718" t="s">
        <v>1046</v>
      </c>
      <c r="C718" t="s">
        <v>1958</v>
      </c>
    </row>
    <row r="719" spans="1:3" x14ac:dyDescent="0.2">
      <c r="A719" t="str">
        <f t="shared" ca="1" si="11"/>
        <v>Итого: затраты на персонал, с соц. взносами</v>
      </c>
      <c r="B719" t="s">
        <v>1219</v>
      </c>
      <c r="C719" t="s">
        <v>1961</v>
      </c>
    </row>
    <row r="720" spans="1:3" x14ac:dyDescent="0.2">
      <c r="A720" t="str">
        <f t="shared" ca="1" si="11"/>
        <v>Численность персонала</v>
      </c>
      <c r="B720" t="s">
        <v>1022</v>
      </c>
      <c r="C720" t="s">
        <v>1962</v>
      </c>
    </row>
    <row r="721" spans="1:3" x14ac:dyDescent="0.2">
      <c r="A721" t="str">
        <f t="shared" ca="1" si="11"/>
        <v>заработная плата</v>
      </c>
      <c r="B721" t="s">
        <v>561</v>
      </c>
      <c r="C721" t="s">
        <v>1946</v>
      </c>
    </row>
    <row r="722" spans="1:3" x14ac:dyDescent="0.2">
      <c r="A722" t="str">
        <f t="shared" ca="1" si="11"/>
        <v>социальные взносы</v>
      </c>
      <c r="B722" t="s">
        <v>1213</v>
      </c>
      <c r="C722" t="s">
        <v>1947</v>
      </c>
    </row>
    <row r="723" spans="1:3" x14ac:dyDescent="0.2">
      <c r="A723" t="str">
        <f t="shared" ca="1" si="11"/>
        <v>периодичность выплаты заработной платы</v>
      </c>
      <c r="B723" t="s">
        <v>573</v>
      </c>
      <c r="C723" t="s">
        <v>1963</v>
      </c>
    </row>
    <row r="724" spans="1:3" x14ac:dyDescent="0.2">
      <c r="A724" t="str">
        <f t="shared" ca="1" si="11"/>
        <v>задолженность по заработной плате</v>
      </c>
      <c r="B724" t="s">
        <v>572</v>
      </c>
      <c r="C724" t="s">
        <v>1964</v>
      </c>
    </row>
    <row r="725" spans="1:3" x14ac:dyDescent="0.2">
      <c r="A725" t="str">
        <f t="shared" ca="1" si="11"/>
        <v>периодичность социальных взносов</v>
      </c>
      <c r="B725" t="s">
        <v>1215</v>
      </c>
      <c r="C725" t="s">
        <v>1965</v>
      </c>
    </row>
    <row r="726" spans="1:3" x14ac:dyDescent="0.2">
      <c r="A726" t="str">
        <f t="shared" ca="1" si="11"/>
        <v>задолженность перед внебюджетными фондами</v>
      </c>
      <c r="B726" t="s">
        <v>574</v>
      </c>
      <c r="C726" t="s">
        <v>1966</v>
      </c>
    </row>
    <row r="727" spans="1:3" x14ac:dyDescent="0.2">
      <c r="A727" t="str">
        <f t="shared" ca="1" si="11"/>
        <v>оплата расходов на заработную плату</v>
      </c>
      <c r="B727" t="s">
        <v>575</v>
      </c>
      <c r="C727" t="s">
        <v>1967</v>
      </c>
    </row>
    <row r="728" spans="1:3" x14ac:dyDescent="0.2">
      <c r="A728" t="str">
        <f t="shared" ca="1" si="11"/>
        <v>оплата социальных взносов</v>
      </c>
      <c r="B728" t="s">
        <v>1214</v>
      </c>
      <c r="C728" t="s">
        <v>1968</v>
      </c>
    </row>
    <row r="729" spans="1:3" x14ac:dyDescent="0.2">
      <c r="A729" s="24" t="str">
        <f t="shared" ca="1" si="11"/>
        <v>ПОСТОЯННЫЕ ИЗДЕРЖКИ</v>
      </c>
      <c r="B729" t="s">
        <v>521</v>
      </c>
      <c r="C729" t="s">
        <v>1969</v>
      </c>
    </row>
    <row r="730" spans="1:3" x14ac:dyDescent="0.2">
      <c r="A730" t="str">
        <f t="shared" ca="1" si="11"/>
        <v>Шаблон издержки без единиц</v>
      </c>
      <c r="B730" t="s">
        <v>783</v>
      </c>
      <c r="C730" t="s">
        <v>1970</v>
      </c>
    </row>
    <row r="731" spans="1:3" x14ac:dyDescent="0.2">
      <c r="A731" t="str">
        <f t="shared" ca="1" si="11"/>
        <v>период появления затрат</v>
      </c>
      <c r="B731" t="s">
        <v>527</v>
      </c>
      <c r="C731" t="s">
        <v>1971</v>
      </c>
    </row>
    <row r="732" spans="1:3" x14ac:dyDescent="0.2">
      <c r="A732" t="str">
        <f t="shared" ca="1" si="11"/>
        <v>затраты за период</v>
      </c>
      <c r="B732" t="s">
        <v>1541</v>
      </c>
      <c r="C732" t="s">
        <v>1972</v>
      </c>
    </row>
    <row r="733" spans="1:3" x14ac:dyDescent="0.2">
      <c r="A733" t="str">
        <f t="shared" ca="1" si="11"/>
        <v>без НДС</v>
      </c>
      <c r="B733" t="s">
        <v>1542</v>
      </c>
      <c r="C733" t="s">
        <v>1973</v>
      </c>
    </row>
    <row r="734" spans="1:3" x14ac:dyDescent="0.2">
      <c r="A734" t="str">
        <f t="shared" ca="1" si="11"/>
        <v>темп изменения цен</v>
      </c>
      <c r="B734" t="s">
        <v>528</v>
      </c>
      <c r="C734" t="s">
        <v>1899</v>
      </c>
    </row>
    <row r="735" spans="1:3" x14ac:dyDescent="0.2">
      <c r="A735" t="str">
        <f t="shared" ca="1" si="11"/>
        <v>ставка НДС</v>
      </c>
      <c r="B735" t="s">
        <v>318</v>
      </c>
      <c r="C735" t="s">
        <v>1900</v>
      </c>
    </row>
    <row r="736" spans="1:3" x14ac:dyDescent="0.2">
      <c r="A736" t="str">
        <f t="shared" ca="1" si="11"/>
        <v>коэффициент изменения цен</v>
      </c>
      <c r="B736" t="s">
        <v>529</v>
      </c>
      <c r="C736" t="s">
        <v>1948</v>
      </c>
    </row>
    <row r="737" spans="1:3" x14ac:dyDescent="0.2">
      <c r="A737" t="str">
        <f t="shared" ca="1" si="11"/>
        <v>расчет затрат с учетом инфляции, без НДС</v>
      </c>
      <c r="B737" t="s">
        <v>542</v>
      </c>
      <c r="C737" t="s">
        <v>1974</v>
      </c>
    </row>
    <row r="738" spans="1:3" x14ac:dyDescent="0.2">
      <c r="A738" t="str">
        <f t="shared" ca="1" si="11"/>
        <v>НДС начисленный</v>
      </c>
      <c r="B738" t="s">
        <v>530</v>
      </c>
      <c r="C738" t="s">
        <v>1904</v>
      </c>
    </row>
    <row r="739" spans="1:3" x14ac:dyDescent="0.2">
      <c r="A739" t="str">
        <f t="shared" ca="1" si="11"/>
        <v>Шаблон издержки с единицами</v>
      </c>
      <c r="B739" t="s">
        <v>784</v>
      </c>
      <c r="C739" t="s">
        <v>1975</v>
      </c>
    </row>
    <row r="740" spans="1:3" x14ac:dyDescent="0.2">
      <c r="A740" t="str">
        <f t="shared" ca="1" si="11"/>
        <v>период появления затрат</v>
      </c>
      <c r="B740" t="s">
        <v>527</v>
      </c>
      <c r="C740" t="s">
        <v>1971</v>
      </c>
    </row>
    <row r="741" spans="1:3" x14ac:dyDescent="0.2">
      <c r="A741" t="str">
        <f t="shared" ca="1" si="11"/>
        <v>расход в единицах за период</v>
      </c>
      <c r="B741" t="s">
        <v>1540</v>
      </c>
      <c r="C741" t="s">
        <v>1976</v>
      </c>
    </row>
    <row r="742" spans="1:3" x14ac:dyDescent="0.2">
      <c r="A742" t="str">
        <f t="shared" ca="1" si="11"/>
        <v>цена за единицу (</v>
      </c>
      <c r="B742" t="s">
        <v>2161</v>
      </c>
      <c r="C742" t="s">
        <v>2164</v>
      </c>
    </row>
    <row r="743" spans="1:3" x14ac:dyDescent="0.2">
      <c r="A743" t="str">
        <f t="shared" ca="1" si="11"/>
        <v>темп изменения цен</v>
      </c>
      <c r="B743" t="s">
        <v>528</v>
      </c>
      <c r="C743" t="s">
        <v>1899</v>
      </c>
    </row>
    <row r="744" spans="1:3" x14ac:dyDescent="0.2">
      <c r="A744" t="str">
        <f t="shared" ca="1" si="11"/>
        <v>ставка НДС</v>
      </c>
      <c r="B744" t="s">
        <v>318</v>
      </c>
      <c r="C744" t="s">
        <v>1900</v>
      </c>
    </row>
    <row r="745" spans="1:3" x14ac:dyDescent="0.2">
      <c r="A745" t="str">
        <f t="shared" ca="1" si="11"/>
        <v>коэффициент изменения цен</v>
      </c>
      <c r="B745" t="s">
        <v>529</v>
      </c>
      <c r="C745" t="s">
        <v>1948</v>
      </c>
    </row>
    <row r="746" spans="1:3" x14ac:dyDescent="0.2">
      <c r="A746" t="str">
        <f t="shared" ca="1" si="11"/>
        <v>НДС начисленный</v>
      </c>
      <c r="B746" t="s">
        <v>530</v>
      </c>
      <c r="C746" t="s">
        <v>1904</v>
      </c>
    </row>
    <row r="747" spans="1:3" x14ac:dyDescent="0.2">
      <c r="A747" t="str">
        <f t="shared" ca="1" si="11"/>
        <v>Производственные издержки</v>
      </c>
      <c r="B747" t="s">
        <v>522</v>
      </c>
      <c r="C747" t="s">
        <v>1622</v>
      </c>
    </row>
    <row r="748" spans="1:3" x14ac:dyDescent="0.2">
      <c r="A748" t="str">
        <f ca="1">OFFSET(A748,0,Prj_Language)</f>
        <v>Управленческие издержки</v>
      </c>
      <c r="B748" t="s">
        <v>524</v>
      </c>
      <c r="C748" t="s">
        <v>1623</v>
      </c>
    </row>
    <row r="749" spans="1:3" x14ac:dyDescent="0.2">
      <c r="A749" t="str">
        <f ca="1">OFFSET(A749,0,Prj_Language)</f>
        <v>Коммерческие издержки</v>
      </c>
      <c r="B749" t="s">
        <v>523</v>
      </c>
      <c r="C749" t="s">
        <v>1624</v>
      </c>
    </row>
    <row r="750" spans="1:3" x14ac:dyDescent="0.2">
      <c r="A750" t="str">
        <f t="shared" ca="1" si="11"/>
        <v>Итого: Производственные издержки, с НДС</v>
      </c>
      <c r="B750" t="s">
        <v>525</v>
      </c>
      <c r="C750" t="s">
        <v>1977</v>
      </c>
    </row>
    <row r="751" spans="1:3" x14ac:dyDescent="0.2">
      <c r="A751" t="str">
        <f t="shared" ca="1" si="11"/>
        <v>сумма без НДС</v>
      </c>
      <c r="B751" t="s">
        <v>790</v>
      </c>
      <c r="C751" t="s">
        <v>1978</v>
      </c>
    </row>
    <row r="752" spans="1:3" x14ac:dyDescent="0.2">
      <c r="A752" t="str">
        <f t="shared" ca="1" si="11"/>
        <v>НДС начисленный</v>
      </c>
      <c r="B752" t="s">
        <v>530</v>
      </c>
      <c r="C752" t="s">
        <v>1904</v>
      </c>
    </row>
    <row r="753" spans="1:3" x14ac:dyDescent="0.2">
      <c r="A753" t="str">
        <f t="shared" ca="1" si="11"/>
        <v>затраты в запасах готовой продукции</v>
      </c>
      <c r="B753" t="s">
        <v>567</v>
      </c>
      <c r="C753" t="s">
        <v>1956</v>
      </c>
    </row>
    <row r="754" spans="1:3" x14ac:dyDescent="0.2">
      <c r="A754" t="str">
        <f t="shared" ca="1" si="11"/>
        <v>периодичность отгрузки</v>
      </c>
      <c r="B754" t="s">
        <v>568</v>
      </c>
      <c r="C754" t="s">
        <v>1920</v>
      </c>
    </row>
    <row r="755" spans="1:3" x14ac:dyDescent="0.2">
      <c r="A755" t="str">
        <f t="shared" ca="1" si="11"/>
        <v>затраты в незавершенном производстве</v>
      </c>
      <c r="B755" t="s">
        <v>569</v>
      </c>
      <c r="C755" t="s">
        <v>1922</v>
      </c>
    </row>
    <row r="756" spans="1:3" x14ac:dyDescent="0.2">
      <c r="A756" t="str">
        <f t="shared" ca="1" si="11"/>
        <v>длительность производственного цикла</v>
      </c>
      <c r="B756" t="s">
        <v>570</v>
      </c>
      <c r="C756" t="s">
        <v>1957</v>
      </c>
    </row>
    <row r="757" spans="1:3" x14ac:dyDescent="0.2">
      <c r="A757" t="str">
        <f t="shared" ref="A757:A820" ca="1" si="12">OFFSET(A757,0,Prj_Language)</f>
        <v>списано на продажи</v>
      </c>
      <c r="B757" t="s">
        <v>571</v>
      </c>
      <c r="C757" t="s">
        <v>1958</v>
      </c>
    </row>
    <row r="758" spans="1:3" x14ac:dyDescent="0.2">
      <c r="A758" t="str">
        <f t="shared" ca="1" si="12"/>
        <v>кредиторская задолженность</v>
      </c>
      <c r="B758" t="s">
        <v>308</v>
      </c>
      <c r="C758" t="s">
        <v>1924</v>
      </c>
    </row>
    <row r="759" spans="1:3" x14ac:dyDescent="0.2">
      <c r="A759" t="str">
        <f t="shared" ca="1" si="12"/>
        <v>период отсрочки платежа</v>
      </c>
      <c r="B759" t="s">
        <v>611</v>
      </c>
      <c r="C759" t="s">
        <v>1925</v>
      </c>
    </row>
    <row r="760" spans="1:3" x14ac:dyDescent="0.2">
      <c r="A760" t="str">
        <f t="shared" ca="1" si="12"/>
        <v>авансы уплаченные</v>
      </c>
      <c r="B760" t="s">
        <v>612</v>
      </c>
      <c r="C760" t="s">
        <v>1926</v>
      </c>
    </row>
    <row r="761" spans="1:3" x14ac:dyDescent="0.2">
      <c r="A761" t="str">
        <f t="shared" ca="1" si="12"/>
        <v>период предоплаты</v>
      </c>
      <c r="B761" t="s">
        <v>613</v>
      </c>
      <c r="C761" t="s">
        <v>1979</v>
      </c>
    </row>
    <row r="762" spans="1:3" x14ac:dyDescent="0.2">
      <c r="A762" t="str">
        <f t="shared" ca="1" si="12"/>
        <v>оплата постоянных издержек, с НДС</v>
      </c>
      <c r="B762" t="s">
        <v>1026</v>
      </c>
      <c r="C762" t="s">
        <v>1980</v>
      </c>
    </row>
    <row r="763" spans="1:3" x14ac:dyDescent="0.2">
      <c r="A763" t="str">
        <f t="shared" ref="A763:A775" ca="1" si="13">OFFSET(A763,0,Prj_Language)</f>
        <v>Итого: Управленческие издержки, с НДС</v>
      </c>
      <c r="B763" t="s">
        <v>792</v>
      </c>
      <c r="C763" t="s">
        <v>1982</v>
      </c>
    </row>
    <row r="764" spans="1:3" x14ac:dyDescent="0.2">
      <c r="A764" t="str">
        <f t="shared" ca="1" si="13"/>
        <v>сумма без НДС</v>
      </c>
      <c r="B764" t="s">
        <v>790</v>
      </c>
      <c r="C764" t="s">
        <v>1978</v>
      </c>
    </row>
    <row r="765" spans="1:3" x14ac:dyDescent="0.2">
      <c r="A765" t="str">
        <f t="shared" ca="1" si="13"/>
        <v>НДС начисленный</v>
      </c>
      <c r="B765" t="s">
        <v>530</v>
      </c>
      <c r="C765" t="s">
        <v>1904</v>
      </c>
    </row>
    <row r="766" spans="1:3" x14ac:dyDescent="0.2">
      <c r="A766" t="str">
        <f t="shared" ca="1" si="13"/>
        <v>затраты в запасах готовой продукции</v>
      </c>
      <c r="B766" t="s">
        <v>567</v>
      </c>
      <c r="C766" t="s">
        <v>1956</v>
      </c>
    </row>
    <row r="767" spans="1:3" x14ac:dyDescent="0.2">
      <c r="A767" t="str">
        <f t="shared" ca="1" si="13"/>
        <v>периодичность отгрузки</v>
      </c>
      <c r="B767" t="s">
        <v>568</v>
      </c>
      <c r="C767" t="s">
        <v>1920</v>
      </c>
    </row>
    <row r="768" spans="1:3" x14ac:dyDescent="0.2">
      <c r="A768" t="str">
        <f t="shared" ca="1" si="13"/>
        <v>затраты в незавершенном производстве</v>
      </c>
      <c r="B768" t="s">
        <v>569</v>
      </c>
      <c r="C768" t="s">
        <v>1922</v>
      </c>
    </row>
    <row r="769" spans="1:3" x14ac:dyDescent="0.2">
      <c r="A769" t="str">
        <f t="shared" ca="1" si="13"/>
        <v>длительность производственного цикла</v>
      </c>
      <c r="B769" t="s">
        <v>570</v>
      </c>
      <c r="C769" t="s">
        <v>1957</v>
      </c>
    </row>
    <row r="770" spans="1:3" x14ac:dyDescent="0.2">
      <c r="A770" t="str">
        <f t="shared" ca="1" si="13"/>
        <v>списано на продажи</v>
      </c>
      <c r="B770" t="s">
        <v>571</v>
      </c>
      <c r="C770" t="s">
        <v>1958</v>
      </c>
    </row>
    <row r="771" spans="1:3" x14ac:dyDescent="0.2">
      <c r="A771" t="str">
        <f t="shared" ca="1" si="13"/>
        <v>кредиторская задолженность</v>
      </c>
      <c r="B771" t="s">
        <v>308</v>
      </c>
      <c r="C771" t="s">
        <v>1924</v>
      </c>
    </row>
    <row r="772" spans="1:3" x14ac:dyDescent="0.2">
      <c r="A772" t="str">
        <f t="shared" ca="1" si="13"/>
        <v>период отсрочки платежа</v>
      </c>
      <c r="B772" t="s">
        <v>611</v>
      </c>
      <c r="C772" t="s">
        <v>1925</v>
      </c>
    </row>
    <row r="773" spans="1:3" x14ac:dyDescent="0.2">
      <c r="A773" t="str">
        <f t="shared" ca="1" si="13"/>
        <v>авансы уплаченные</v>
      </c>
      <c r="B773" t="s">
        <v>612</v>
      </c>
      <c r="C773" t="s">
        <v>1926</v>
      </c>
    </row>
    <row r="774" spans="1:3" x14ac:dyDescent="0.2">
      <c r="A774" t="str">
        <f t="shared" ca="1" si="13"/>
        <v>период предоплаты</v>
      </c>
      <c r="B774" t="s">
        <v>613</v>
      </c>
      <c r="C774" t="s">
        <v>1979</v>
      </c>
    </row>
    <row r="775" spans="1:3" x14ac:dyDescent="0.2">
      <c r="A775" t="str">
        <f t="shared" ca="1" si="13"/>
        <v>оплата постоянных издержек, с НДС</v>
      </c>
      <c r="B775" t="s">
        <v>1026</v>
      </c>
      <c r="C775" t="s">
        <v>1980</v>
      </c>
    </row>
    <row r="776" spans="1:3" x14ac:dyDescent="0.2">
      <c r="A776" t="str">
        <f t="shared" ca="1" si="12"/>
        <v>Итого: Коммерческие издержки, с НДС</v>
      </c>
      <c r="B776" t="s">
        <v>791</v>
      </c>
      <c r="C776" t="s">
        <v>1981</v>
      </c>
    </row>
    <row r="777" spans="1:3" x14ac:dyDescent="0.2">
      <c r="A777" t="str">
        <f t="shared" ca="1" si="12"/>
        <v>сумма без НДС</v>
      </c>
      <c r="B777" t="s">
        <v>790</v>
      </c>
      <c r="C777" t="s">
        <v>1978</v>
      </c>
    </row>
    <row r="778" spans="1:3" x14ac:dyDescent="0.2">
      <c r="A778" t="str">
        <f t="shared" ca="1" si="12"/>
        <v>НДС начисленный</v>
      </c>
      <c r="B778" t="s">
        <v>530</v>
      </c>
      <c r="C778" t="s">
        <v>1904</v>
      </c>
    </row>
    <row r="779" spans="1:3" x14ac:dyDescent="0.2">
      <c r="A779" t="str">
        <f t="shared" ca="1" si="12"/>
        <v>затраты в запасах готовой продукции</v>
      </c>
      <c r="B779" t="s">
        <v>567</v>
      </c>
      <c r="C779" t="s">
        <v>1956</v>
      </c>
    </row>
    <row r="780" spans="1:3" x14ac:dyDescent="0.2">
      <c r="A780" t="str">
        <f t="shared" ca="1" si="12"/>
        <v>периодичность отгрузки</v>
      </c>
      <c r="B780" t="s">
        <v>568</v>
      </c>
      <c r="C780" t="s">
        <v>1920</v>
      </c>
    </row>
    <row r="781" spans="1:3" x14ac:dyDescent="0.2">
      <c r="A781" t="str">
        <f t="shared" ca="1" si="12"/>
        <v>затраты в незавершенном производстве</v>
      </c>
      <c r="B781" t="s">
        <v>569</v>
      </c>
      <c r="C781" t="s">
        <v>1922</v>
      </c>
    </row>
    <row r="782" spans="1:3" x14ac:dyDescent="0.2">
      <c r="A782" t="str">
        <f t="shared" ca="1" si="12"/>
        <v>длительность производственного цикла</v>
      </c>
      <c r="B782" t="s">
        <v>570</v>
      </c>
      <c r="C782" t="s">
        <v>1957</v>
      </c>
    </row>
    <row r="783" spans="1:3" x14ac:dyDescent="0.2">
      <c r="A783" t="str">
        <f t="shared" ca="1" si="12"/>
        <v>списано на продажи</v>
      </c>
      <c r="B783" t="s">
        <v>571</v>
      </c>
      <c r="C783" t="s">
        <v>1958</v>
      </c>
    </row>
    <row r="784" spans="1:3" x14ac:dyDescent="0.2">
      <c r="A784" t="str">
        <f t="shared" ca="1" si="12"/>
        <v>кредиторская задолженность</v>
      </c>
      <c r="B784" t="s">
        <v>308</v>
      </c>
      <c r="C784" t="s">
        <v>1924</v>
      </c>
    </row>
    <row r="785" spans="1:3" x14ac:dyDescent="0.2">
      <c r="A785" t="str">
        <f t="shared" ca="1" si="12"/>
        <v>период отсрочки платежа</v>
      </c>
      <c r="B785" t="s">
        <v>611</v>
      </c>
      <c r="C785" t="s">
        <v>1925</v>
      </c>
    </row>
    <row r="786" spans="1:3" x14ac:dyDescent="0.2">
      <c r="A786" t="str">
        <f t="shared" ca="1" si="12"/>
        <v>авансы уплаченные</v>
      </c>
      <c r="B786" t="s">
        <v>612</v>
      </c>
      <c r="C786" t="s">
        <v>1926</v>
      </c>
    </row>
    <row r="787" spans="1:3" x14ac:dyDescent="0.2">
      <c r="A787" t="str">
        <f t="shared" ca="1" si="12"/>
        <v>период предоплаты</v>
      </c>
      <c r="B787" t="s">
        <v>613</v>
      </c>
      <c r="C787" t="s">
        <v>1979</v>
      </c>
    </row>
    <row r="788" spans="1:3" x14ac:dyDescent="0.2">
      <c r="A788" t="str">
        <f t="shared" ca="1" si="12"/>
        <v>оплата постоянных издержек, с НДС</v>
      </c>
      <c r="B788" t="s">
        <v>1026</v>
      </c>
      <c r="C788" t="s">
        <v>1980</v>
      </c>
    </row>
    <row r="789" spans="1:3" x14ac:dyDescent="0.2">
      <c r="A789" t="str">
        <f t="shared" ca="1" si="12"/>
        <v>Всего постоянных издержек, с НДС</v>
      </c>
      <c r="B789" t="s">
        <v>526</v>
      </c>
      <c r="C789" t="s">
        <v>1983</v>
      </c>
    </row>
    <row r="790" spans="1:3" x14ac:dyDescent="0.2">
      <c r="A790" s="24" t="str">
        <f t="shared" ca="1" si="12"/>
        <v>ОБОРОТНЫЙ КАПИТАЛ</v>
      </c>
      <c r="B790" t="s">
        <v>990</v>
      </c>
      <c r="C790" t="s">
        <v>1984</v>
      </c>
    </row>
    <row r="791" spans="1:3" x14ac:dyDescent="0.2">
      <c r="A791" t="str">
        <f t="shared" ca="1" si="12"/>
        <v>Дебиторская задолженность</v>
      </c>
      <c r="B791" t="s">
        <v>985</v>
      </c>
      <c r="C791" t="s">
        <v>1675</v>
      </c>
    </row>
    <row r="792" spans="1:3" x14ac:dyDescent="0.2">
      <c r="A792" t="str">
        <f t="shared" ca="1" si="12"/>
        <v>средний период отсрочки платежа</v>
      </c>
      <c r="B792" t="s">
        <v>556</v>
      </c>
      <c r="C792" t="s">
        <v>1985</v>
      </c>
    </row>
    <row r="793" spans="1:3" x14ac:dyDescent="0.2">
      <c r="A793" t="str">
        <f t="shared" ca="1" si="12"/>
        <v>величина из плана продаж</v>
      </c>
      <c r="B793" t="s">
        <v>1251</v>
      </c>
      <c r="C793" t="s">
        <v>1986</v>
      </c>
    </row>
    <row r="794" spans="1:3" x14ac:dyDescent="0.2">
      <c r="A794" t="str">
        <f t="shared" ca="1" si="12"/>
        <v>величина из стартового баланса</v>
      </c>
      <c r="B794" t="s">
        <v>1252</v>
      </c>
      <c r="C794" t="s">
        <v>1987</v>
      </c>
    </row>
    <row r="795" spans="1:3" x14ac:dyDescent="0.2">
      <c r="A795" t="str">
        <f t="shared" ca="1" si="12"/>
        <v>влияние стартового баланса на денежные средства</v>
      </c>
      <c r="B795" t="s">
        <v>1253</v>
      </c>
      <c r="C795" t="s">
        <v>1988</v>
      </c>
    </row>
    <row r="796" spans="1:3" x14ac:dyDescent="0.2">
      <c r="A796" t="str">
        <f t="shared" ca="1" si="12"/>
        <v>Авансы полученные</v>
      </c>
      <c r="B796" t="s">
        <v>986</v>
      </c>
      <c r="C796" t="s">
        <v>1696</v>
      </c>
    </row>
    <row r="797" spans="1:3" x14ac:dyDescent="0.2">
      <c r="A797" t="str">
        <f t="shared" ca="1" si="12"/>
        <v>средний период предоплаты</v>
      </c>
      <c r="B797" t="s">
        <v>555</v>
      </c>
      <c r="C797" t="s">
        <v>1985</v>
      </c>
    </row>
    <row r="798" spans="1:3" x14ac:dyDescent="0.2">
      <c r="A798" t="str">
        <f t="shared" ca="1" si="12"/>
        <v>величина из плана продаж</v>
      </c>
      <c r="B798" t="s">
        <v>1251</v>
      </c>
      <c r="C798" t="s">
        <v>1986</v>
      </c>
    </row>
    <row r="799" spans="1:3" x14ac:dyDescent="0.2">
      <c r="A799" t="str">
        <f t="shared" ca="1" si="12"/>
        <v>величина из стартового баланса</v>
      </c>
      <c r="B799" t="s">
        <v>1252</v>
      </c>
      <c r="C799" t="s">
        <v>1987</v>
      </c>
    </row>
    <row r="800" spans="1:3" x14ac:dyDescent="0.2">
      <c r="A800" t="str">
        <f t="shared" ca="1" si="12"/>
        <v>влияние стартового баланса на денежные средства</v>
      </c>
      <c r="B800" t="s">
        <v>1253</v>
      </c>
      <c r="C800" t="s">
        <v>1988</v>
      </c>
    </row>
    <row r="801" spans="1:3" x14ac:dyDescent="0.2">
      <c r="A801" t="str">
        <f t="shared" ca="1" si="12"/>
        <v>Запасы материалов и комплектующих</v>
      </c>
      <c r="B801" t="s">
        <v>1019</v>
      </c>
      <c r="C801" t="s">
        <v>1620</v>
      </c>
    </row>
    <row r="802" spans="1:3" x14ac:dyDescent="0.2">
      <c r="A802" t="str">
        <f t="shared" ca="1" si="12"/>
        <v>средний период оборачиваемости</v>
      </c>
      <c r="B802" t="s">
        <v>1018</v>
      </c>
      <c r="C802" t="s">
        <v>1985</v>
      </c>
    </row>
    <row r="803" spans="1:3" x14ac:dyDescent="0.2">
      <c r="A803" t="str">
        <f t="shared" ca="1" si="12"/>
        <v>величина из плана затрат</v>
      </c>
      <c r="B803" t="s">
        <v>1254</v>
      </c>
      <c r="C803" t="s">
        <v>1986</v>
      </c>
    </row>
    <row r="804" spans="1:3" x14ac:dyDescent="0.2">
      <c r="A804" t="str">
        <f t="shared" ca="1" si="12"/>
        <v>величина из стартового баланса</v>
      </c>
      <c r="B804" t="s">
        <v>1252</v>
      </c>
      <c r="C804" t="s">
        <v>1987</v>
      </c>
    </row>
    <row r="805" spans="1:3" x14ac:dyDescent="0.2">
      <c r="A805" t="str">
        <f t="shared" ca="1" si="12"/>
        <v>влияние стартового баланса на денежные средства</v>
      </c>
      <c r="B805" t="s">
        <v>1253</v>
      </c>
      <c r="C805" t="s">
        <v>1988</v>
      </c>
    </row>
    <row r="806" spans="1:3" x14ac:dyDescent="0.2">
      <c r="A806" t="str">
        <f t="shared" ca="1" si="12"/>
        <v>Незавершенное производство</v>
      </c>
      <c r="B806" t="s">
        <v>1004</v>
      </c>
      <c r="C806" t="s">
        <v>1678</v>
      </c>
    </row>
    <row r="807" spans="1:3" x14ac:dyDescent="0.2">
      <c r="A807" t="str">
        <f t="shared" ca="1" si="12"/>
        <v>средний период оборачиваемости</v>
      </c>
      <c r="B807" t="s">
        <v>1018</v>
      </c>
      <c r="C807" t="s">
        <v>1985</v>
      </c>
    </row>
    <row r="808" spans="1:3" x14ac:dyDescent="0.2">
      <c r="A808" t="str">
        <f t="shared" ca="1" si="12"/>
        <v>величина из плана затрат</v>
      </c>
      <c r="B808" t="s">
        <v>1254</v>
      </c>
      <c r="C808" t="s">
        <v>1986</v>
      </c>
    </row>
    <row r="809" spans="1:3" x14ac:dyDescent="0.2">
      <c r="A809" t="str">
        <f t="shared" ca="1" si="12"/>
        <v>величина из стартового баланса</v>
      </c>
      <c r="B809" t="s">
        <v>1252</v>
      </c>
      <c r="C809" t="s">
        <v>1987</v>
      </c>
    </row>
    <row r="810" spans="1:3" x14ac:dyDescent="0.2">
      <c r="A810" t="str">
        <f t="shared" ca="1" si="12"/>
        <v>влияние стартового баланса на денежные средства</v>
      </c>
      <c r="B810" t="s">
        <v>1253</v>
      </c>
      <c r="C810" t="s">
        <v>1988</v>
      </c>
    </row>
    <row r="811" spans="1:3" x14ac:dyDescent="0.2">
      <c r="A811" t="str">
        <f t="shared" ca="1" si="12"/>
        <v>Запасы готовой продукции</v>
      </c>
      <c r="B811" t="s">
        <v>1005</v>
      </c>
      <c r="C811" t="s">
        <v>1677</v>
      </c>
    </row>
    <row r="812" spans="1:3" x14ac:dyDescent="0.2">
      <c r="A812" t="str">
        <f t="shared" ca="1" si="12"/>
        <v>средний период оборачиваемости</v>
      </c>
      <c r="B812" t="s">
        <v>1018</v>
      </c>
      <c r="C812" t="s">
        <v>1985</v>
      </c>
    </row>
    <row r="813" spans="1:3" x14ac:dyDescent="0.2">
      <c r="A813" t="str">
        <f t="shared" ca="1" si="12"/>
        <v>величина из плана затрат</v>
      </c>
      <c r="B813" t="s">
        <v>1254</v>
      </c>
      <c r="C813" t="s">
        <v>1986</v>
      </c>
    </row>
    <row r="814" spans="1:3" x14ac:dyDescent="0.2">
      <c r="A814" t="str">
        <f t="shared" ca="1" si="12"/>
        <v>величина из стартового баланса</v>
      </c>
      <c r="B814" t="s">
        <v>1252</v>
      </c>
      <c r="C814" t="s">
        <v>1987</v>
      </c>
    </row>
    <row r="815" spans="1:3" x14ac:dyDescent="0.2">
      <c r="A815" t="str">
        <f t="shared" ca="1" si="12"/>
        <v>влияние стартового баланса на денежные средства</v>
      </c>
      <c r="B815" t="s">
        <v>1253</v>
      </c>
      <c r="C815" t="s">
        <v>1988</v>
      </c>
    </row>
    <row r="816" spans="1:3" x14ac:dyDescent="0.2">
      <c r="A816" t="str">
        <f t="shared" ca="1" si="12"/>
        <v>Кредиторская задолженность перед поставщиками</v>
      </c>
      <c r="B816" t="s">
        <v>1275</v>
      </c>
      <c r="C816" t="s">
        <v>1989</v>
      </c>
    </row>
    <row r="817" spans="1:3" x14ac:dyDescent="0.2">
      <c r="A817" t="str">
        <f t="shared" ca="1" si="12"/>
        <v>средний период отсрочки платежа</v>
      </c>
      <c r="B817" t="s">
        <v>556</v>
      </c>
      <c r="C817" t="s">
        <v>1985</v>
      </c>
    </row>
    <row r="818" spans="1:3" x14ac:dyDescent="0.2">
      <c r="A818" t="str">
        <f t="shared" ca="1" si="12"/>
        <v>величина из плана затрат</v>
      </c>
      <c r="B818" t="s">
        <v>1254</v>
      </c>
      <c r="C818" t="s">
        <v>1986</v>
      </c>
    </row>
    <row r="819" spans="1:3" x14ac:dyDescent="0.2">
      <c r="A819" t="str">
        <f t="shared" ca="1" si="12"/>
        <v>величина из стартового баланса</v>
      </c>
      <c r="B819" t="s">
        <v>1252</v>
      </c>
      <c r="C819" t="s">
        <v>1987</v>
      </c>
    </row>
    <row r="820" spans="1:3" x14ac:dyDescent="0.2">
      <c r="A820" t="str">
        <f t="shared" ca="1" si="12"/>
        <v>влияние стартового баланса на денежные средства</v>
      </c>
      <c r="B820" t="s">
        <v>1253</v>
      </c>
      <c r="C820" t="s">
        <v>1988</v>
      </c>
    </row>
    <row r="821" spans="1:3" x14ac:dyDescent="0.2">
      <c r="A821" t="str">
        <f t="shared" ref="A821:A884" ca="1" si="14">OFFSET(A821,0,Prj_Language)</f>
        <v>Авансы уплаченные</v>
      </c>
      <c r="B821" t="s">
        <v>1007</v>
      </c>
      <c r="C821" t="s">
        <v>1676</v>
      </c>
    </row>
    <row r="822" spans="1:3" x14ac:dyDescent="0.2">
      <c r="A822" t="str">
        <f t="shared" ca="1" si="14"/>
        <v>средний период предоплаты</v>
      </c>
      <c r="B822" t="s">
        <v>555</v>
      </c>
      <c r="C822" t="s">
        <v>1985</v>
      </c>
    </row>
    <row r="823" spans="1:3" x14ac:dyDescent="0.2">
      <c r="A823" t="str">
        <f t="shared" ca="1" si="14"/>
        <v>величина из плана затрат</v>
      </c>
      <c r="B823" t="s">
        <v>1254</v>
      </c>
      <c r="C823" t="s">
        <v>1986</v>
      </c>
    </row>
    <row r="824" spans="1:3" x14ac:dyDescent="0.2">
      <c r="A824" t="str">
        <f t="shared" ca="1" si="14"/>
        <v>величина из стартового баланса</v>
      </c>
      <c r="B824" t="s">
        <v>1252</v>
      </c>
      <c r="C824" t="s">
        <v>1987</v>
      </c>
    </row>
    <row r="825" spans="1:3" x14ac:dyDescent="0.2">
      <c r="A825" t="str">
        <f t="shared" ca="1" si="14"/>
        <v>влияние стартового баланса на денежные средства</v>
      </c>
      <c r="B825" t="s">
        <v>1253</v>
      </c>
      <c r="C825" t="s">
        <v>1988</v>
      </c>
    </row>
    <row r="826" spans="1:3" x14ac:dyDescent="0.2">
      <c r="A826" t="str">
        <f t="shared" ca="1" si="14"/>
        <v>Задолженность по заработной плате</v>
      </c>
      <c r="B826" t="s">
        <v>1021</v>
      </c>
      <c r="C826" t="s">
        <v>1695</v>
      </c>
    </row>
    <row r="827" spans="1:3" x14ac:dyDescent="0.2">
      <c r="A827" t="str">
        <f t="shared" ca="1" si="14"/>
        <v>средний период оборачиваемости</v>
      </c>
      <c r="B827" t="s">
        <v>1018</v>
      </c>
      <c r="C827" t="s">
        <v>1985</v>
      </c>
    </row>
    <row r="828" spans="1:3" x14ac:dyDescent="0.2">
      <c r="A828" t="str">
        <f t="shared" ca="1" si="14"/>
        <v>величина из плана затрат</v>
      </c>
      <c r="B828" t="s">
        <v>1254</v>
      </c>
      <c r="C828" t="s">
        <v>1986</v>
      </c>
    </row>
    <row r="829" spans="1:3" x14ac:dyDescent="0.2">
      <c r="A829" t="str">
        <f t="shared" ca="1" si="14"/>
        <v>величина из стартового баланса</v>
      </c>
      <c r="B829" t="s">
        <v>1252</v>
      </c>
      <c r="C829" t="s">
        <v>1987</v>
      </c>
    </row>
    <row r="830" spans="1:3" x14ac:dyDescent="0.2">
      <c r="A830" t="str">
        <f t="shared" ca="1" si="14"/>
        <v>влияние стартового баланса на денежные средства</v>
      </c>
      <c r="B830" t="s">
        <v>1253</v>
      </c>
      <c r="C830" t="s">
        <v>1988</v>
      </c>
    </row>
    <row r="831" spans="1:3" x14ac:dyDescent="0.2">
      <c r="A831" t="str">
        <f t="shared" ca="1" si="14"/>
        <v>Задолженность перед бюджетом и внебюджетными фондами</v>
      </c>
      <c r="B831" t="s">
        <v>1237</v>
      </c>
      <c r="C831" t="s">
        <v>1990</v>
      </c>
    </row>
    <row r="832" spans="1:3" x14ac:dyDescent="0.2">
      <c r="A832" t="str">
        <f t="shared" ca="1" si="14"/>
        <v>величина из плана продаж и затрат</v>
      </c>
      <c r="B832" t="s">
        <v>1255</v>
      </c>
      <c r="C832" t="s">
        <v>1986</v>
      </c>
    </row>
    <row r="833" spans="1:3" x14ac:dyDescent="0.2">
      <c r="A833" t="str">
        <f t="shared" ca="1" si="14"/>
        <v>величина из стартового баланса</v>
      </c>
      <c r="B833" t="s">
        <v>1252</v>
      </c>
      <c r="C833" t="s">
        <v>1987</v>
      </c>
    </row>
    <row r="834" spans="1:3" x14ac:dyDescent="0.2">
      <c r="A834" t="str">
        <f t="shared" ca="1" si="14"/>
        <v>влияние стартового баланса на денежные средства</v>
      </c>
      <c r="B834" t="s">
        <v>1253</v>
      </c>
      <c r="C834" t="s">
        <v>1988</v>
      </c>
    </row>
    <row r="835" spans="1:3" x14ac:dyDescent="0.2">
      <c r="A835" t="str">
        <f t="shared" ca="1" si="14"/>
        <v>Кредиторская задолженность за внеоборотные активы</v>
      </c>
      <c r="B835" t="s">
        <v>1276</v>
      </c>
      <c r="C835" t="s">
        <v>1693</v>
      </c>
    </row>
    <row r="836" spans="1:3" x14ac:dyDescent="0.2">
      <c r="A836" t="str">
        <f t="shared" ca="1" si="14"/>
        <v>величина из плана инвестиций</v>
      </c>
      <c r="B836" t="s">
        <v>1277</v>
      </c>
      <c r="C836" t="s">
        <v>1986</v>
      </c>
    </row>
    <row r="837" spans="1:3" x14ac:dyDescent="0.2">
      <c r="A837" t="str">
        <f t="shared" ca="1" si="14"/>
        <v>величина из стартового баланса</v>
      </c>
      <c r="B837" t="s">
        <v>1252</v>
      </c>
      <c r="C837" t="s">
        <v>1987</v>
      </c>
    </row>
    <row r="838" spans="1:3" x14ac:dyDescent="0.2">
      <c r="A838" t="str">
        <f t="shared" ca="1" si="14"/>
        <v>влияние стартового баланса на денежные средства</v>
      </c>
      <c r="B838" t="s">
        <v>1253</v>
      </c>
      <c r="C838" t="s">
        <v>1988</v>
      </c>
    </row>
    <row r="839" spans="1:3" x14ac:dyDescent="0.2">
      <c r="A839" t="str">
        <f t="shared" ca="1" si="14"/>
        <v>Итого оборотные активы</v>
      </c>
      <c r="B839" t="s">
        <v>1554</v>
      </c>
      <c r="C839" t="s">
        <v>1682</v>
      </c>
    </row>
    <row r="840" spans="1:3" x14ac:dyDescent="0.2">
      <c r="A840" t="str">
        <f t="shared" ca="1" si="14"/>
        <v>Итого краткосрочные обязательства</v>
      </c>
      <c r="B840" t="s">
        <v>1555</v>
      </c>
      <c r="C840" t="s">
        <v>1699</v>
      </c>
    </row>
    <row r="841" spans="1:3" x14ac:dyDescent="0.2">
      <c r="A841" t="str">
        <f t="shared" ca="1" si="14"/>
        <v>Чистый оборотный капитал</v>
      </c>
      <c r="B841" t="s">
        <v>1556</v>
      </c>
      <c r="C841" t="s">
        <v>1991</v>
      </c>
    </row>
    <row r="842" spans="1:3" x14ac:dyDescent="0.2">
      <c r="A842" t="str">
        <f t="shared" ca="1" si="14"/>
        <v>Изменение чистого оборотного капитала</v>
      </c>
      <c r="B842" t="s">
        <v>1557</v>
      </c>
      <c r="C842" t="s">
        <v>1992</v>
      </c>
    </row>
    <row r="843" spans="1:3" x14ac:dyDescent="0.2">
      <c r="A843" s="24" t="str">
        <f t="shared" ca="1" si="14"/>
        <v>ИНВЕСТИЦИИ В ОСНОВНЫЕ СРЕДСТВА</v>
      </c>
      <c r="B843" t="s">
        <v>248</v>
      </c>
      <c r="C843" t="s">
        <v>1993</v>
      </c>
    </row>
    <row r="844" spans="1:3" x14ac:dyDescent="0.2">
      <c r="A844" t="str">
        <f t="shared" ca="1" si="14"/>
        <v>Шаблон земельного участка</v>
      </c>
      <c r="B844" t="s">
        <v>294</v>
      </c>
      <c r="C844" t="s">
        <v>1994</v>
      </c>
    </row>
    <row r="845" spans="1:3" x14ac:dyDescent="0.2">
      <c r="A845" t="str">
        <f t="shared" ca="1" si="14"/>
        <v>график оплаты</v>
      </c>
      <c r="B845" t="s">
        <v>301</v>
      </c>
      <c r="C845" t="s">
        <v>1995</v>
      </c>
    </row>
    <row r="846" spans="1:3" x14ac:dyDescent="0.2">
      <c r="A846" t="str">
        <f t="shared" ca="1" si="14"/>
        <v>ранее осуществленные инвестиции</v>
      </c>
      <c r="B846" t="s">
        <v>302</v>
      </c>
      <c r="C846" t="s">
        <v>1996</v>
      </c>
    </row>
    <row r="847" spans="1:3" x14ac:dyDescent="0.2">
      <c r="A847" t="str">
        <f t="shared" ca="1" si="14"/>
        <v>график ввода в эксплуатацию</v>
      </c>
      <c r="B847" t="s">
        <v>303</v>
      </c>
      <c r="C847" t="s">
        <v>1997</v>
      </c>
    </row>
    <row r="848" spans="1:3" x14ac:dyDescent="0.2">
      <c r="A848" t="str">
        <f t="shared" ca="1" si="14"/>
        <v>выручка от продажи актива</v>
      </c>
      <c r="B848" t="s">
        <v>304</v>
      </c>
      <c r="C848" t="s">
        <v>1998</v>
      </c>
    </row>
    <row r="849" spans="1:3" x14ac:dyDescent="0.2">
      <c r="A849" t="str">
        <f t="shared" ca="1" si="14"/>
        <v>суммы в осн. валюте: график оплаты</v>
      </c>
      <c r="B849" t="s">
        <v>305</v>
      </c>
      <c r="C849" t="s">
        <v>1999</v>
      </c>
    </row>
    <row r="850" spans="1:3" x14ac:dyDescent="0.2">
      <c r="A850" t="str">
        <f t="shared" ca="1" si="14"/>
        <v>ранее осуществленные инвестици</v>
      </c>
      <c r="B850" t="s">
        <v>306</v>
      </c>
      <c r="C850" t="s">
        <v>1996</v>
      </c>
    </row>
    <row r="851" spans="1:3" x14ac:dyDescent="0.2">
      <c r="A851" t="str">
        <f t="shared" ca="1" si="14"/>
        <v>график ввода в эксплуатацию</v>
      </c>
      <c r="B851" t="s">
        <v>303</v>
      </c>
      <c r="C851" t="s">
        <v>1997</v>
      </c>
    </row>
    <row r="852" spans="1:3" x14ac:dyDescent="0.2">
      <c r="A852" t="str">
        <f t="shared" ca="1" si="14"/>
        <v>незавершенные инвестиции</v>
      </c>
      <c r="B852" t="s">
        <v>307</v>
      </c>
      <c r="C852" t="s">
        <v>2000</v>
      </c>
    </row>
    <row r="853" spans="1:3" x14ac:dyDescent="0.2">
      <c r="A853" t="str">
        <f t="shared" ca="1" si="14"/>
        <v>кредиторская задолженность</v>
      </c>
      <c r="B853" t="s">
        <v>308</v>
      </c>
      <c r="C853" t="s">
        <v>1924</v>
      </c>
    </row>
    <row r="854" spans="1:3" x14ac:dyDescent="0.2">
      <c r="A854" t="str">
        <f t="shared" ca="1" si="14"/>
        <v>балансовая стоимость</v>
      </c>
      <c r="B854" t="s">
        <v>309</v>
      </c>
      <c r="C854" t="s">
        <v>1720</v>
      </c>
    </row>
    <row r="855" spans="1:3" x14ac:dyDescent="0.2">
      <c r="A855" t="str">
        <f t="shared" ca="1" si="14"/>
        <v>прибыль/убыток от продажи актива</v>
      </c>
      <c r="B855" t="s">
        <v>310</v>
      </c>
      <c r="C855" t="s">
        <v>2001</v>
      </c>
    </row>
    <row r="856" spans="1:3" x14ac:dyDescent="0.2">
      <c r="A856" t="str">
        <f t="shared" ca="1" si="14"/>
        <v>курсовые разницы</v>
      </c>
      <c r="B856" t="s">
        <v>1268</v>
      </c>
      <c r="C856" t="s">
        <v>2002</v>
      </c>
    </row>
    <row r="857" spans="1:3" x14ac:dyDescent="0.2">
      <c r="A857" t="str">
        <f t="shared" ca="1" si="14"/>
        <v>Шаблон здания</v>
      </c>
      <c r="B857" t="s">
        <v>295</v>
      </c>
      <c r="C857" t="s">
        <v>2003</v>
      </c>
    </row>
    <row r="858" spans="1:3" x14ac:dyDescent="0.2">
      <c r="A858" t="str">
        <f t="shared" ca="1" si="14"/>
        <v>график оплаты, без НДС</v>
      </c>
      <c r="B858" t="s">
        <v>311</v>
      </c>
      <c r="C858" t="s">
        <v>2004</v>
      </c>
    </row>
    <row r="859" spans="1:3" x14ac:dyDescent="0.2">
      <c r="A859" t="str">
        <f t="shared" ca="1" si="14"/>
        <v>ранее осуществленные инвестиции, без НДС</v>
      </c>
      <c r="B859" t="s">
        <v>312</v>
      </c>
      <c r="C859" t="s">
        <v>2005</v>
      </c>
    </row>
    <row r="860" spans="1:3" x14ac:dyDescent="0.2">
      <c r="A860" t="str">
        <f t="shared" ca="1" si="14"/>
        <v>график ввода в эксплуатацию, без НДС</v>
      </c>
      <c r="B860" t="s">
        <v>313</v>
      </c>
      <c r="C860" t="s">
        <v>2006</v>
      </c>
    </row>
    <row r="861" spans="1:3" x14ac:dyDescent="0.2">
      <c r="A861" t="str">
        <f t="shared" ca="1" si="14"/>
        <v xml:space="preserve">срок полезного использования </v>
      </c>
      <c r="B861" t="s">
        <v>315</v>
      </c>
      <c r="C861" t="s">
        <v>1718</v>
      </c>
    </row>
    <row r="862" spans="1:3" x14ac:dyDescent="0.2">
      <c r="A862" t="str">
        <f t="shared" ca="1" si="14"/>
        <v>амортизационная премия для налоговой амортизации</v>
      </c>
      <c r="B862" t="s">
        <v>327</v>
      </c>
      <c r="C862" t="s">
        <v>2007</v>
      </c>
    </row>
    <row r="863" spans="1:3" x14ac:dyDescent="0.2">
      <c r="A863" t="str">
        <f t="shared" ca="1" si="14"/>
        <v>ставка НДС</v>
      </c>
      <c r="B863" t="s">
        <v>318</v>
      </c>
      <c r="C863" t="s">
        <v>1900</v>
      </c>
    </row>
    <row r="864" spans="1:3" x14ac:dyDescent="0.2">
      <c r="A864" t="str">
        <f t="shared" ca="1" si="14"/>
        <v>выручка от продажи актива, без НДС</v>
      </c>
      <c r="B864" t="s">
        <v>323</v>
      </c>
      <c r="C864" t="s">
        <v>2008</v>
      </c>
    </row>
    <row r="865" spans="1:3" x14ac:dyDescent="0.2">
      <c r="A865" t="str">
        <f t="shared" ca="1" si="14"/>
        <v>суммы в осн. валюте: график оплаты, без НДС</v>
      </c>
      <c r="B865" t="s">
        <v>314</v>
      </c>
      <c r="C865" t="s">
        <v>2009</v>
      </c>
    </row>
    <row r="866" spans="1:3" x14ac:dyDescent="0.2">
      <c r="A866" t="str">
        <f t="shared" ca="1" si="14"/>
        <v>ранее осуществленные инвестиции, без НДС</v>
      </c>
      <c r="B866" t="s">
        <v>312</v>
      </c>
      <c r="C866" t="s">
        <v>2005</v>
      </c>
    </row>
    <row r="867" spans="1:3" x14ac:dyDescent="0.2">
      <c r="A867" t="str">
        <f t="shared" ca="1" si="14"/>
        <v>НДС к ранее осуществленным инвестициям</v>
      </c>
      <c r="B867" t="s">
        <v>1264</v>
      </c>
      <c r="C867" t="s">
        <v>2010</v>
      </c>
    </row>
    <row r="868" spans="1:3" x14ac:dyDescent="0.2">
      <c r="A868" t="str">
        <f t="shared" ca="1" si="14"/>
        <v>график ввода в эксплуатацию, без НДС</v>
      </c>
      <c r="B868" t="s">
        <v>313</v>
      </c>
      <c r="C868" t="s">
        <v>2006</v>
      </c>
    </row>
    <row r="869" spans="1:3" x14ac:dyDescent="0.2">
      <c r="A869" t="str">
        <f t="shared" ca="1" si="14"/>
        <v>незавершенные инвестиции</v>
      </c>
      <c r="B869" t="s">
        <v>307</v>
      </c>
      <c r="C869" t="s">
        <v>2000</v>
      </c>
    </row>
    <row r="870" spans="1:3" x14ac:dyDescent="0.2">
      <c r="A870" t="str">
        <f t="shared" ca="1" si="14"/>
        <v>кредиторская задолженность</v>
      </c>
      <c r="B870" t="s">
        <v>308</v>
      </c>
      <c r="C870" t="s">
        <v>1924</v>
      </c>
    </row>
    <row r="871" spans="1:3" x14ac:dyDescent="0.2">
      <c r="A871" t="str">
        <f t="shared" ca="1" si="14"/>
        <v>амортизация (бухгалтерская)</v>
      </c>
      <c r="B871" t="s">
        <v>316</v>
      </c>
      <c r="C871" t="s">
        <v>2011</v>
      </c>
    </row>
    <row r="872" spans="1:3" x14ac:dyDescent="0.2">
      <c r="A872" t="str">
        <f t="shared" ca="1" si="14"/>
        <v>балансовая стоимость (бухгалтерская)</v>
      </c>
      <c r="B872" t="s">
        <v>317</v>
      </c>
      <c r="C872" t="s">
        <v>2012</v>
      </c>
    </row>
    <row r="873" spans="1:3" x14ac:dyDescent="0.2">
      <c r="A873" t="str">
        <f t="shared" ca="1" si="14"/>
        <v>выплаченный НДС</v>
      </c>
      <c r="B873" t="s">
        <v>319</v>
      </c>
      <c r="C873" t="s">
        <v>1679</v>
      </c>
    </row>
    <row r="874" spans="1:3" x14ac:dyDescent="0.2">
      <c r="A874" t="str">
        <f t="shared" ca="1" si="14"/>
        <v>зачтенный НДС</v>
      </c>
      <c r="B874" t="s">
        <v>320</v>
      </c>
      <c r="C874" t="s">
        <v>2013</v>
      </c>
    </row>
    <row r="875" spans="1:3" x14ac:dyDescent="0.2">
      <c r="A875" t="str">
        <f t="shared" ca="1" si="14"/>
        <v>амортизация (налоговая)</v>
      </c>
      <c r="B875" t="s">
        <v>321</v>
      </c>
      <c r="C875" t="s">
        <v>2014</v>
      </c>
    </row>
    <row r="876" spans="1:3" x14ac:dyDescent="0.2">
      <c r="A876" t="str">
        <f t="shared" ca="1" si="14"/>
        <v>балансовая стоимость (налоговая)</v>
      </c>
      <c r="B876" t="s">
        <v>322</v>
      </c>
      <c r="C876" t="s">
        <v>2015</v>
      </c>
    </row>
    <row r="877" spans="1:3" x14ac:dyDescent="0.2">
      <c r="A877" t="str">
        <f t="shared" ca="1" si="14"/>
        <v>прибыль/убыток от продажи актива (бухгалтерская)</v>
      </c>
      <c r="B877" t="s">
        <v>324</v>
      </c>
      <c r="C877" t="s">
        <v>2016</v>
      </c>
    </row>
    <row r="878" spans="1:3" x14ac:dyDescent="0.2">
      <c r="A878" t="str">
        <f t="shared" ca="1" si="14"/>
        <v>прибыль/убыток от продажи актива (налоговая)</v>
      </c>
      <c r="B878" t="s">
        <v>325</v>
      </c>
      <c r="C878" t="s">
        <v>2017</v>
      </c>
    </row>
    <row r="879" spans="1:3" x14ac:dyDescent="0.2">
      <c r="A879" t="str">
        <f t="shared" ca="1" si="14"/>
        <v>НДС к выручке от продажи актива</v>
      </c>
      <c r="B879" t="s">
        <v>326</v>
      </c>
      <c r="C879" t="s">
        <v>2018</v>
      </c>
    </row>
    <row r="880" spans="1:3" x14ac:dyDescent="0.2">
      <c r="A880" t="str">
        <f t="shared" ca="1" si="14"/>
        <v>курсовые разницы</v>
      </c>
      <c r="B880" t="s">
        <v>1268</v>
      </c>
      <c r="C880" t="s">
        <v>2002</v>
      </c>
    </row>
    <row r="881" spans="1:3" x14ac:dyDescent="0.2">
      <c r="A881" t="str">
        <f t="shared" ca="1" si="14"/>
        <v>Шаблон оборудования</v>
      </c>
      <c r="B881" t="s">
        <v>296</v>
      </c>
      <c r="C881" t="s">
        <v>2019</v>
      </c>
    </row>
    <row r="882" spans="1:3" x14ac:dyDescent="0.2">
      <c r="A882" t="str">
        <f t="shared" ca="1" si="14"/>
        <v>график оплаты, без НДС</v>
      </c>
      <c r="B882" t="s">
        <v>311</v>
      </c>
      <c r="C882" t="s">
        <v>2004</v>
      </c>
    </row>
    <row r="883" spans="1:3" x14ac:dyDescent="0.2">
      <c r="A883" t="str">
        <f t="shared" ca="1" si="14"/>
        <v>ранее осуществленные инвестиции, без НДС</v>
      </c>
      <c r="B883" t="s">
        <v>312</v>
      </c>
      <c r="C883" t="s">
        <v>2005</v>
      </c>
    </row>
    <row r="884" spans="1:3" x14ac:dyDescent="0.2">
      <c r="A884" t="str">
        <f t="shared" ca="1" si="14"/>
        <v>график ввода в эксплуатацию, без НДС</v>
      </c>
      <c r="B884" t="s">
        <v>313</v>
      </c>
      <c r="C884" t="s">
        <v>2006</v>
      </c>
    </row>
    <row r="885" spans="1:3" x14ac:dyDescent="0.2">
      <c r="A885" t="str">
        <f t="shared" ref="A885:A948" ca="1" si="15">OFFSET(A885,0,Prj_Language)</f>
        <v xml:space="preserve">срок полезного использования </v>
      </c>
      <c r="B885" t="s">
        <v>315</v>
      </c>
      <c r="C885" t="s">
        <v>1718</v>
      </c>
    </row>
    <row r="886" spans="1:3" x14ac:dyDescent="0.2">
      <c r="A886" t="str">
        <f t="shared" ca="1" si="15"/>
        <v>амортизационная премия для налоговой амортизации</v>
      </c>
      <c r="B886" t="s">
        <v>327</v>
      </c>
      <c r="C886" t="s">
        <v>2007</v>
      </c>
    </row>
    <row r="887" spans="1:3" x14ac:dyDescent="0.2">
      <c r="A887" t="str">
        <f t="shared" ca="1" si="15"/>
        <v>импорт оборудования</v>
      </c>
      <c r="B887" t="s">
        <v>328</v>
      </c>
      <c r="C887" t="s">
        <v>2020</v>
      </c>
    </row>
    <row r="888" spans="1:3" x14ac:dyDescent="0.2">
      <c r="A888" t="str">
        <f t="shared" ca="1" si="15"/>
        <v>пересечение границы при импорте</v>
      </c>
      <c r="B888" t="s">
        <v>329</v>
      </c>
      <c r="C888" t="s">
        <v>2021</v>
      </c>
    </row>
    <row r="889" spans="1:3" x14ac:dyDescent="0.2">
      <c r="A889" t="str">
        <f t="shared" ca="1" si="15"/>
        <v>импортная пошлина</v>
      </c>
      <c r="B889" t="s">
        <v>330</v>
      </c>
      <c r="C889" t="s">
        <v>2022</v>
      </c>
    </row>
    <row r="890" spans="1:3" x14ac:dyDescent="0.2">
      <c r="A890" t="str">
        <f t="shared" ca="1" si="15"/>
        <v>ставка НДС</v>
      </c>
      <c r="B890" t="s">
        <v>318</v>
      </c>
      <c r="C890" t="s">
        <v>1900</v>
      </c>
    </row>
    <row r="891" spans="1:3" x14ac:dyDescent="0.2">
      <c r="A891" t="str">
        <f t="shared" ca="1" si="15"/>
        <v>выручка от продажи актива, без НДС</v>
      </c>
      <c r="B891" t="s">
        <v>323</v>
      </c>
      <c r="C891" t="s">
        <v>2008</v>
      </c>
    </row>
    <row r="892" spans="1:3" x14ac:dyDescent="0.2">
      <c r="A892" t="str">
        <f t="shared" ca="1" si="15"/>
        <v>суммы в осн. валюте: график оплаты, без НДС</v>
      </c>
      <c r="B892" t="s">
        <v>314</v>
      </c>
      <c r="C892" t="s">
        <v>2009</v>
      </c>
    </row>
    <row r="893" spans="1:3" x14ac:dyDescent="0.2">
      <c r="A893" t="str">
        <f t="shared" ca="1" si="15"/>
        <v>ранее осуществленные инвестиции, без НДС</v>
      </c>
      <c r="B893" t="s">
        <v>312</v>
      </c>
      <c r="C893" t="s">
        <v>2005</v>
      </c>
    </row>
    <row r="894" spans="1:3" x14ac:dyDescent="0.2">
      <c r="A894" t="str">
        <f t="shared" ca="1" si="15"/>
        <v>НДС к ранее осуществленным инвестициям</v>
      </c>
      <c r="B894" t="s">
        <v>1264</v>
      </c>
      <c r="C894" t="s">
        <v>2010</v>
      </c>
    </row>
    <row r="895" spans="1:3" x14ac:dyDescent="0.2">
      <c r="A895" t="str">
        <f t="shared" ca="1" si="15"/>
        <v>график ввода в эксплуатацию, без НДС</v>
      </c>
      <c r="B895" t="s">
        <v>313</v>
      </c>
      <c r="C895" t="s">
        <v>2006</v>
      </c>
    </row>
    <row r="896" spans="1:3" x14ac:dyDescent="0.2">
      <c r="A896" t="str">
        <f t="shared" ca="1" si="15"/>
        <v>импортная пошлина</v>
      </c>
      <c r="B896" t="s">
        <v>330</v>
      </c>
      <c r="C896" t="s">
        <v>2022</v>
      </c>
    </row>
    <row r="897" spans="1:3" x14ac:dyDescent="0.2">
      <c r="A897" t="str">
        <f t="shared" ca="1" si="15"/>
        <v>незавершенные инвестиции</v>
      </c>
      <c r="B897" t="s">
        <v>307</v>
      </c>
      <c r="C897" t="s">
        <v>2000</v>
      </c>
    </row>
    <row r="898" spans="1:3" x14ac:dyDescent="0.2">
      <c r="A898" t="str">
        <f t="shared" ca="1" si="15"/>
        <v>кредиторская задолженность</v>
      </c>
      <c r="B898" t="s">
        <v>308</v>
      </c>
      <c r="C898" t="s">
        <v>1924</v>
      </c>
    </row>
    <row r="899" spans="1:3" x14ac:dyDescent="0.2">
      <c r="A899" t="str">
        <f t="shared" ca="1" si="15"/>
        <v>амортизация (бухгалтерская)</v>
      </c>
      <c r="B899" t="s">
        <v>316</v>
      </c>
      <c r="C899" t="s">
        <v>2011</v>
      </c>
    </row>
    <row r="900" spans="1:3" x14ac:dyDescent="0.2">
      <c r="A900" t="str">
        <f t="shared" ca="1" si="15"/>
        <v>балансовая стоимость (бухгалтерская)</v>
      </c>
      <c r="B900" t="s">
        <v>317</v>
      </c>
      <c r="C900" t="s">
        <v>2012</v>
      </c>
    </row>
    <row r="901" spans="1:3" x14ac:dyDescent="0.2">
      <c r="A901" t="str">
        <f t="shared" ca="1" si="15"/>
        <v>выплаченный НДС</v>
      </c>
      <c r="B901" t="s">
        <v>319</v>
      </c>
      <c r="C901" t="s">
        <v>1679</v>
      </c>
    </row>
    <row r="902" spans="1:3" x14ac:dyDescent="0.2">
      <c r="A902" t="str">
        <f t="shared" ca="1" si="15"/>
        <v>зачтенный НДС</v>
      </c>
      <c r="B902" t="s">
        <v>320</v>
      </c>
      <c r="C902" t="s">
        <v>2013</v>
      </c>
    </row>
    <row r="903" spans="1:3" x14ac:dyDescent="0.2">
      <c r="A903" t="str">
        <f t="shared" ca="1" si="15"/>
        <v>амортизация (налоговая)</v>
      </c>
      <c r="B903" t="s">
        <v>321</v>
      </c>
      <c r="C903" t="s">
        <v>2014</v>
      </c>
    </row>
    <row r="904" spans="1:3" x14ac:dyDescent="0.2">
      <c r="A904" t="str">
        <f t="shared" ca="1" si="15"/>
        <v>балансовая стоимость (налоговая)</v>
      </c>
      <c r="B904" t="s">
        <v>322</v>
      </c>
      <c r="C904" t="s">
        <v>2015</v>
      </c>
    </row>
    <row r="905" spans="1:3" x14ac:dyDescent="0.2">
      <c r="A905" t="str">
        <f t="shared" ca="1" si="15"/>
        <v>прибыль/убыток от продажи актива (бухгалтерская)</v>
      </c>
      <c r="B905" t="s">
        <v>324</v>
      </c>
      <c r="C905" t="s">
        <v>2016</v>
      </c>
    </row>
    <row r="906" spans="1:3" x14ac:dyDescent="0.2">
      <c r="A906" t="str">
        <f t="shared" ca="1" si="15"/>
        <v>прибыль/убыток от продажи актива (налоговая)</v>
      </c>
      <c r="B906" t="s">
        <v>325</v>
      </c>
      <c r="C906" t="s">
        <v>2017</v>
      </c>
    </row>
    <row r="907" spans="1:3" x14ac:dyDescent="0.2">
      <c r="A907" t="str">
        <f t="shared" ca="1" si="15"/>
        <v>НДС к выручке от продажи актива</v>
      </c>
      <c r="B907" t="s">
        <v>326</v>
      </c>
      <c r="C907" t="s">
        <v>2018</v>
      </c>
    </row>
    <row r="908" spans="1:3" x14ac:dyDescent="0.2">
      <c r="A908" t="str">
        <f t="shared" ca="1" si="15"/>
        <v>курсовые разницы</v>
      </c>
      <c r="B908" t="s">
        <v>1268</v>
      </c>
      <c r="C908" t="s">
        <v>2002</v>
      </c>
    </row>
    <row r="909" spans="1:3" x14ac:dyDescent="0.2">
      <c r="A909" t="str">
        <f t="shared" ca="1" si="15"/>
        <v>Шаблон нематериальных активов</v>
      </c>
      <c r="B909" t="s">
        <v>297</v>
      </c>
      <c r="C909" t="s">
        <v>2023</v>
      </c>
    </row>
    <row r="910" spans="1:3" x14ac:dyDescent="0.2">
      <c r="A910" t="str">
        <f t="shared" ca="1" si="15"/>
        <v>график оплаты, без НДС</v>
      </c>
      <c r="B910" t="s">
        <v>311</v>
      </c>
      <c r="C910" t="s">
        <v>2004</v>
      </c>
    </row>
    <row r="911" spans="1:3" x14ac:dyDescent="0.2">
      <c r="A911" t="str">
        <f t="shared" ca="1" si="15"/>
        <v>ранее осуществленные инвестиции, без НДС</v>
      </c>
      <c r="B911" t="s">
        <v>312</v>
      </c>
      <c r="C911" t="s">
        <v>2005</v>
      </c>
    </row>
    <row r="912" spans="1:3" x14ac:dyDescent="0.2">
      <c r="A912" t="str">
        <f t="shared" ca="1" si="15"/>
        <v>график ввода в эксплуатацию, без НДС</v>
      </c>
      <c r="B912" t="s">
        <v>313</v>
      </c>
      <c r="C912" t="s">
        <v>2024</v>
      </c>
    </row>
    <row r="913" spans="1:3" x14ac:dyDescent="0.2">
      <c r="A913" t="str">
        <f t="shared" ca="1" si="15"/>
        <v xml:space="preserve">срок полезного использования </v>
      </c>
      <c r="B913" t="s">
        <v>315</v>
      </c>
      <c r="C913" t="s">
        <v>1718</v>
      </c>
    </row>
    <row r="914" spans="1:3" x14ac:dyDescent="0.2">
      <c r="A914" t="str">
        <f t="shared" ca="1" si="15"/>
        <v>ставка НДС</v>
      </c>
      <c r="B914" t="s">
        <v>318</v>
      </c>
      <c r="C914" t="s">
        <v>1900</v>
      </c>
    </row>
    <row r="915" spans="1:3" x14ac:dyDescent="0.2">
      <c r="A915" t="str">
        <f t="shared" ca="1" si="15"/>
        <v>выручка от продажи актива (без НДС)</v>
      </c>
      <c r="B915" t="s">
        <v>331</v>
      </c>
      <c r="C915" t="s">
        <v>2008</v>
      </c>
    </row>
    <row r="916" spans="1:3" x14ac:dyDescent="0.2">
      <c r="A916" t="str">
        <f t="shared" ca="1" si="15"/>
        <v>суммы в осн. валюте: график оплаты, без НДС</v>
      </c>
      <c r="B916" t="s">
        <v>314</v>
      </c>
      <c r="C916" t="s">
        <v>2009</v>
      </c>
    </row>
    <row r="917" spans="1:3" x14ac:dyDescent="0.2">
      <c r="A917" t="str">
        <f t="shared" ca="1" si="15"/>
        <v>ранее осуществленные инвестиции, без НДС</v>
      </c>
      <c r="B917" t="s">
        <v>312</v>
      </c>
      <c r="C917" t="s">
        <v>2005</v>
      </c>
    </row>
    <row r="918" spans="1:3" x14ac:dyDescent="0.2">
      <c r="A918" t="str">
        <f t="shared" ca="1" si="15"/>
        <v>НДС к ранее осуществленным инвестициям</v>
      </c>
      <c r="B918" t="s">
        <v>1264</v>
      </c>
      <c r="C918" t="s">
        <v>2010</v>
      </c>
    </row>
    <row r="919" spans="1:3" x14ac:dyDescent="0.2">
      <c r="A919" t="str">
        <f t="shared" ca="1" si="15"/>
        <v>график ввода в эксплуатацию, без НДС</v>
      </c>
      <c r="B919" t="s">
        <v>313</v>
      </c>
      <c r="C919" t="s">
        <v>2024</v>
      </c>
    </row>
    <row r="920" spans="1:3" x14ac:dyDescent="0.2">
      <c r="A920" t="str">
        <f t="shared" ca="1" si="15"/>
        <v>незавершенные инвестиции</v>
      </c>
      <c r="B920" t="s">
        <v>307</v>
      </c>
      <c r="C920" t="s">
        <v>2000</v>
      </c>
    </row>
    <row r="921" spans="1:3" x14ac:dyDescent="0.2">
      <c r="A921" t="str">
        <f t="shared" ca="1" si="15"/>
        <v>кредиторская задолженность</v>
      </c>
      <c r="B921" t="s">
        <v>308</v>
      </c>
      <c r="C921" t="s">
        <v>1924</v>
      </c>
    </row>
    <row r="922" spans="1:3" x14ac:dyDescent="0.2">
      <c r="A922" t="str">
        <f t="shared" ca="1" si="15"/>
        <v>амортизация (бухгалтерская)</v>
      </c>
      <c r="B922" t="s">
        <v>316</v>
      </c>
      <c r="C922" t="s">
        <v>2011</v>
      </c>
    </row>
    <row r="923" spans="1:3" x14ac:dyDescent="0.2">
      <c r="A923" t="str">
        <f t="shared" ca="1" si="15"/>
        <v>балансовая стоимость (бухгалтерская)</v>
      </c>
      <c r="B923" t="s">
        <v>317</v>
      </c>
      <c r="C923" t="s">
        <v>2012</v>
      </c>
    </row>
    <row r="924" spans="1:3" x14ac:dyDescent="0.2">
      <c r="A924" t="str">
        <f t="shared" ca="1" si="15"/>
        <v>выплаченный НДС</v>
      </c>
      <c r="B924" t="s">
        <v>319</v>
      </c>
      <c r="C924" t="s">
        <v>1679</v>
      </c>
    </row>
    <row r="925" spans="1:3" x14ac:dyDescent="0.2">
      <c r="A925" t="str">
        <f t="shared" ca="1" si="15"/>
        <v>зачтенный НДС</v>
      </c>
      <c r="B925" t="s">
        <v>320</v>
      </c>
      <c r="C925" t="s">
        <v>2013</v>
      </c>
    </row>
    <row r="926" spans="1:3" x14ac:dyDescent="0.2">
      <c r="A926" t="str">
        <f t="shared" ca="1" si="15"/>
        <v>прибыль/убыток от продажи актива (бухгалтерская)</v>
      </c>
      <c r="B926" t="s">
        <v>324</v>
      </c>
      <c r="C926" t="s">
        <v>2016</v>
      </c>
    </row>
    <row r="927" spans="1:3" x14ac:dyDescent="0.2">
      <c r="A927" t="str">
        <f t="shared" ca="1" si="15"/>
        <v>НДС к выручке от продажи актива</v>
      </c>
      <c r="B927" t="s">
        <v>326</v>
      </c>
      <c r="C927" t="s">
        <v>2018</v>
      </c>
    </row>
    <row r="928" spans="1:3" x14ac:dyDescent="0.2">
      <c r="A928" t="str">
        <f t="shared" ca="1" si="15"/>
        <v>курсовые разницы</v>
      </c>
      <c r="B928" t="s">
        <v>1268</v>
      </c>
      <c r="C928" t="s">
        <v>2002</v>
      </c>
    </row>
    <row r="929" spans="1:3" x14ac:dyDescent="0.2">
      <c r="A929" t="str">
        <f t="shared" ca="1" si="15"/>
        <v>Земля</v>
      </c>
      <c r="B929" t="s">
        <v>249</v>
      </c>
      <c r="C929" t="s">
        <v>1683</v>
      </c>
    </row>
    <row r="930" spans="1:3" x14ac:dyDescent="0.2">
      <c r="A930" t="str">
        <f t="shared" ca="1" si="15"/>
        <v>Здания и сооружения</v>
      </c>
      <c r="B930" t="s">
        <v>250</v>
      </c>
      <c r="C930" t="s">
        <v>1684</v>
      </c>
    </row>
    <row r="931" spans="1:3" x14ac:dyDescent="0.2">
      <c r="A931" t="str">
        <f t="shared" ca="1" si="15"/>
        <v>Оборудование</v>
      </c>
      <c r="B931" t="s">
        <v>251</v>
      </c>
      <c r="C931" t="s">
        <v>2025</v>
      </c>
    </row>
    <row r="932" spans="1:3" x14ac:dyDescent="0.2">
      <c r="A932" t="str">
        <f t="shared" ca="1" si="15"/>
        <v>Нематериальные активы</v>
      </c>
      <c r="B932" t="s">
        <v>252</v>
      </c>
      <c r="C932" t="s">
        <v>1686</v>
      </c>
    </row>
    <row r="933" spans="1:3" x14ac:dyDescent="0.2">
      <c r="A933" t="str">
        <f t="shared" ca="1" si="15"/>
        <v>Итого: Земля</v>
      </c>
      <c r="B933" t="s">
        <v>253</v>
      </c>
      <c r="C933" t="s">
        <v>2026</v>
      </c>
    </row>
    <row r="934" spans="1:3" x14ac:dyDescent="0.2">
      <c r="A934" t="str">
        <f t="shared" ca="1" si="15"/>
        <v>незавершенные инвестиции</v>
      </c>
      <c r="B934" t="s">
        <v>307</v>
      </c>
      <c r="C934" t="s">
        <v>2000</v>
      </c>
    </row>
    <row r="935" spans="1:3" x14ac:dyDescent="0.2">
      <c r="A935" t="str">
        <f t="shared" ca="1" si="15"/>
        <v>кредиторская задолженность</v>
      </c>
      <c r="B935" t="s">
        <v>308</v>
      </c>
      <c r="C935" t="s">
        <v>1924</v>
      </c>
    </row>
    <row r="936" spans="1:3" x14ac:dyDescent="0.2">
      <c r="A936" t="str">
        <f t="shared" ca="1" si="15"/>
        <v>балансовая стоимость</v>
      </c>
      <c r="B936" t="s">
        <v>309</v>
      </c>
      <c r="C936" t="s">
        <v>1720</v>
      </c>
    </row>
    <row r="937" spans="1:3" x14ac:dyDescent="0.2">
      <c r="A937" t="str">
        <f t="shared" ca="1" si="15"/>
        <v>выручка от продажи актива</v>
      </c>
      <c r="B937" t="s">
        <v>304</v>
      </c>
      <c r="C937" t="s">
        <v>1998</v>
      </c>
    </row>
    <row r="938" spans="1:3" x14ac:dyDescent="0.2">
      <c r="A938" t="str">
        <f t="shared" ca="1" si="15"/>
        <v>прибыль/убыток от продажи актива</v>
      </c>
      <c r="B938" t="s">
        <v>310</v>
      </c>
      <c r="C938" t="s">
        <v>2001</v>
      </c>
    </row>
    <row r="939" spans="1:3" x14ac:dyDescent="0.2">
      <c r="A939" t="str">
        <f t="shared" ca="1" si="15"/>
        <v>Итого: Здания и сооружения, с НДС</v>
      </c>
      <c r="B939" t="s">
        <v>298</v>
      </c>
      <c r="C939" t="s">
        <v>2027</v>
      </c>
    </row>
    <row r="940" spans="1:3" x14ac:dyDescent="0.2">
      <c r="A940" t="str">
        <f t="shared" ca="1" si="15"/>
        <v>график оплаты (без НДС)</v>
      </c>
      <c r="B940" t="s">
        <v>638</v>
      </c>
      <c r="C940" t="s">
        <v>2004</v>
      </c>
    </row>
    <row r="941" spans="1:3" x14ac:dyDescent="0.2">
      <c r="A941" t="str">
        <f t="shared" ca="1" si="15"/>
        <v>незавершенные инвестиции</v>
      </c>
      <c r="B941" t="s">
        <v>307</v>
      </c>
      <c r="C941" t="s">
        <v>2000</v>
      </c>
    </row>
    <row r="942" spans="1:3" x14ac:dyDescent="0.2">
      <c r="A942" t="str">
        <f t="shared" ca="1" si="15"/>
        <v>кредиторская задолженность</v>
      </c>
      <c r="B942" t="s">
        <v>308</v>
      </c>
      <c r="C942" t="s">
        <v>1924</v>
      </c>
    </row>
    <row r="943" spans="1:3" x14ac:dyDescent="0.2">
      <c r="A943" t="str">
        <f t="shared" ca="1" si="15"/>
        <v>амортизация (бухгалтерская)</v>
      </c>
      <c r="B943" t="s">
        <v>316</v>
      </c>
      <c r="C943" t="s">
        <v>2011</v>
      </c>
    </row>
    <row r="944" spans="1:3" x14ac:dyDescent="0.2">
      <c r="A944" t="str">
        <f t="shared" ca="1" si="15"/>
        <v>балансовая стоимость (бухгалтерская)</v>
      </c>
      <c r="B944" t="s">
        <v>317</v>
      </c>
      <c r="C944" t="s">
        <v>2012</v>
      </c>
    </row>
    <row r="945" spans="1:3" x14ac:dyDescent="0.2">
      <c r="A945" t="str">
        <f t="shared" ca="1" si="15"/>
        <v>выплаченный НДС</v>
      </c>
      <c r="B945" t="s">
        <v>319</v>
      </c>
      <c r="C945" t="s">
        <v>1679</v>
      </c>
    </row>
    <row r="946" spans="1:3" x14ac:dyDescent="0.2">
      <c r="A946" t="str">
        <f t="shared" ca="1" si="15"/>
        <v>зачтенный НДС</v>
      </c>
      <c r="B946" t="s">
        <v>320</v>
      </c>
      <c r="C946" t="s">
        <v>2013</v>
      </c>
    </row>
    <row r="947" spans="1:3" x14ac:dyDescent="0.2">
      <c r="A947" t="str">
        <f t="shared" ca="1" si="15"/>
        <v>амортизация (налоговая)</v>
      </c>
      <c r="B947" t="s">
        <v>321</v>
      </c>
      <c r="C947" t="s">
        <v>2014</v>
      </c>
    </row>
    <row r="948" spans="1:3" x14ac:dyDescent="0.2">
      <c r="A948" t="str">
        <f t="shared" ca="1" si="15"/>
        <v>балансовая стоимость (налоговая)</v>
      </c>
      <c r="B948" t="s">
        <v>322</v>
      </c>
      <c r="C948" t="s">
        <v>2015</v>
      </c>
    </row>
    <row r="949" spans="1:3" x14ac:dyDescent="0.2">
      <c r="A949" t="str">
        <f t="shared" ref="A949:A1012" ca="1" si="16">OFFSET(A949,0,Prj_Language)</f>
        <v>выручка от продажи актива</v>
      </c>
      <c r="B949" t="s">
        <v>304</v>
      </c>
      <c r="C949" t="s">
        <v>1998</v>
      </c>
    </row>
    <row r="950" spans="1:3" x14ac:dyDescent="0.2">
      <c r="A950" t="str">
        <f t="shared" ca="1" si="16"/>
        <v>прибыль/убыток от продажи актива (бухгалтерская)</v>
      </c>
      <c r="B950" t="s">
        <v>324</v>
      </c>
      <c r="C950" t="s">
        <v>2016</v>
      </c>
    </row>
    <row r="951" spans="1:3" x14ac:dyDescent="0.2">
      <c r="A951" t="str">
        <f t="shared" ca="1" si="16"/>
        <v>прибыль/убыток от продажи актива (налоговая)</v>
      </c>
      <c r="B951" t="s">
        <v>325</v>
      </c>
      <c r="C951" t="s">
        <v>2017</v>
      </c>
    </row>
    <row r="952" spans="1:3" x14ac:dyDescent="0.2">
      <c r="A952" t="str">
        <f t="shared" ca="1" si="16"/>
        <v>НДС к выручке от продажи актива</v>
      </c>
      <c r="B952" t="s">
        <v>326</v>
      </c>
      <c r="C952" t="s">
        <v>2018</v>
      </c>
    </row>
    <row r="953" spans="1:3" x14ac:dyDescent="0.2">
      <c r="A953" t="str">
        <f t="shared" ca="1" si="16"/>
        <v>Итого: Оборудование, с НДС и пошлинами</v>
      </c>
      <c r="B953" t="s">
        <v>299</v>
      </c>
      <c r="C953" t="s">
        <v>2028</v>
      </c>
    </row>
    <row r="954" spans="1:3" x14ac:dyDescent="0.2">
      <c r="A954" t="str">
        <f t="shared" ca="1" si="16"/>
        <v>график оплаты (без НДС)</v>
      </c>
      <c r="B954" t="s">
        <v>638</v>
      </c>
      <c r="C954" t="s">
        <v>2004</v>
      </c>
    </row>
    <row r="955" spans="1:3" x14ac:dyDescent="0.2">
      <c r="A955" t="str">
        <f t="shared" ca="1" si="16"/>
        <v>импортная пошлина</v>
      </c>
      <c r="B955" t="s">
        <v>330</v>
      </c>
      <c r="C955" t="s">
        <v>2022</v>
      </c>
    </row>
    <row r="956" spans="1:3" x14ac:dyDescent="0.2">
      <c r="A956" t="str">
        <f t="shared" ca="1" si="16"/>
        <v>незавершенные инвестиции</v>
      </c>
      <c r="B956" t="s">
        <v>307</v>
      </c>
      <c r="C956" t="s">
        <v>2000</v>
      </c>
    </row>
    <row r="957" spans="1:3" x14ac:dyDescent="0.2">
      <c r="A957" t="str">
        <f t="shared" ca="1" si="16"/>
        <v>кредиторская задолженность</v>
      </c>
      <c r="B957" t="s">
        <v>308</v>
      </c>
      <c r="C957" t="s">
        <v>1924</v>
      </c>
    </row>
    <row r="958" spans="1:3" x14ac:dyDescent="0.2">
      <c r="A958" t="str">
        <f t="shared" ca="1" si="16"/>
        <v>амортизация (бухгалтерская)</v>
      </c>
      <c r="B958" t="s">
        <v>316</v>
      </c>
      <c r="C958" t="s">
        <v>2011</v>
      </c>
    </row>
    <row r="959" spans="1:3" x14ac:dyDescent="0.2">
      <c r="A959" t="str">
        <f t="shared" ca="1" si="16"/>
        <v>балансовая стоимость (бухгалтерская)</v>
      </c>
      <c r="B959" t="s">
        <v>317</v>
      </c>
      <c r="C959" t="s">
        <v>2012</v>
      </c>
    </row>
    <row r="960" spans="1:3" x14ac:dyDescent="0.2">
      <c r="A960" t="str">
        <f t="shared" ca="1" si="16"/>
        <v>выплаченный НДС</v>
      </c>
      <c r="B960" t="s">
        <v>319</v>
      </c>
      <c r="C960" t="s">
        <v>1679</v>
      </c>
    </row>
    <row r="961" spans="1:3" x14ac:dyDescent="0.2">
      <c r="A961" t="str">
        <f t="shared" ca="1" si="16"/>
        <v>зачтенный НДС</v>
      </c>
      <c r="B961" t="s">
        <v>320</v>
      </c>
      <c r="C961" t="s">
        <v>2013</v>
      </c>
    </row>
    <row r="962" spans="1:3" x14ac:dyDescent="0.2">
      <c r="A962" t="str">
        <f t="shared" ca="1" si="16"/>
        <v>амортизация (налоговая)</v>
      </c>
      <c r="B962" t="s">
        <v>321</v>
      </c>
      <c r="C962" t="s">
        <v>2014</v>
      </c>
    </row>
    <row r="963" spans="1:3" x14ac:dyDescent="0.2">
      <c r="A963" t="str">
        <f t="shared" ca="1" si="16"/>
        <v>балансовая стоимость (налоговая)</v>
      </c>
      <c r="B963" t="s">
        <v>322</v>
      </c>
      <c r="C963" t="s">
        <v>2015</v>
      </c>
    </row>
    <row r="964" spans="1:3" x14ac:dyDescent="0.2">
      <c r="A964" t="str">
        <f t="shared" ca="1" si="16"/>
        <v>выручка от продажи актива</v>
      </c>
      <c r="B964" t="s">
        <v>304</v>
      </c>
      <c r="C964" t="s">
        <v>1998</v>
      </c>
    </row>
    <row r="965" spans="1:3" x14ac:dyDescent="0.2">
      <c r="A965" t="str">
        <f t="shared" ca="1" si="16"/>
        <v>прибыль/убыток от продажи актива (бухгалтерская)</v>
      </c>
      <c r="B965" t="s">
        <v>324</v>
      </c>
      <c r="C965" t="s">
        <v>2016</v>
      </c>
    </row>
    <row r="966" spans="1:3" x14ac:dyDescent="0.2">
      <c r="A966" t="str">
        <f t="shared" ca="1" si="16"/>
        <v>прибыль/убыток от продажи актива (налоговая)</v>
      </c>
      <c r="B966" t="s">
        <v>325</v>
      </c>
      <c r="C966" t="s">
        <v>2017</v>
      </c>
    </row>
    <row r="967" spans="1:3" x14ac:dyDescent="0.2">
      <c r="A967" t="str">
        <f t="shared" ca="1" si="16"/>
        <v>НДС к выручке от продажи актива</v>
      </c>
      <c r="B967" t="s">
        <v>326</v>
      </c>
      <c r="C967" t="s">
        <v>2018</v>
      </c>
    </row>
    <row r="968" spans="1:3" x14ac:dyDescent="0.2">
      <c r="A968" t="str">
        <f t="shared" ca="1" si="16"/>
        <v>Итого: Нематериальные активы, с НДС</v>
      </c>
      <c r="B968" t="s">
        <v>300</v>
      </c>
      <c r="C968" t="s">
        <v>2029</v>
      </c>
    </row>
    <row r="969" spans="1:3" x14ac:dyDescent="0.2">
      <c r="A969" t="str">
        <f t="shared" ca="1" si="16"/>
        <v>график оплаты (без НДС)</v>
      </c>
      <c r="B969" t="s">
        <v>638</v>
      </c>
      <c r="C969" t="s">
        <v>2004</v>
      </c>
    </row>
    <row r="970" spans="1:3" x14ac:dyDescent="0.2">
      <c r="A970" t="str">
        <f t="shared" ca="1" si="16"/>
        <v>незавершенные инвестиции</v>
      </c>
      <c r="B970" t="s">
        <v>307</v>
      </c>
      <c r="C970" t="s">
        <v>2000</v>
      </c>
    </row>
    <row r="971" spans="1:3" x14ac:dyDescent="0.2">
      <c r="A971" t="str">
        <f t="shared" ca="1" si="16"/>
        <v>кредиторская задолженность</v>
      </c>
      <c r="B971" t="s">
        <v>308</v>
      </c>
      <c r="C971" t="s">
        <v>1924</v>
      </c>
    </row>
    <row r="972" spans="1:3" x14ac:dyDescent="0.2">
      <c r="A972" t="str">
        <f t="shared" ca="1" si="16"/>
        <v>амортизация (бухгалтерская)</v>
      </c>
      <c r="B972" t="s">
        <v>316</v>
      </c>
      <c r="C972" t="s">
        <v>2011</v>
      </c>
    </row>
    <row r="973" spans="1:3" x14ac:dyDescent="0.2">
      <c r="A973" t="str">
        <f t="shared" ca="1" si="16"/>
        <v>балансовая стоимость (бухгалтерская)</v>
      </c>
      <c r="B973" t="s">
        <v>317</v>
      </c>
      <c r="C973" t="s">
        <v>2012</v>
      </c>
    </row>
    <row r="974" spans="1:3" x14ac:dyDescent="0.2">
      <c r="A974" t="str">
        <f t="shared" ca="1" si="16"/>
        <v>выплаченный НДС</v>
      </c>
      <c r="B974" t="s">
        <v>319</v>
      </c>
      <c r="C974" t="s">
        <v>1679</v>
      </c>
    </row>
    <row r="975" spans="1:3" x14ac:dyDescent="0.2">
      <c r="A975" t="str">
        <f t="shared" ca="1" si="16"/>
        <v>зачтенный НДС</v>
      </c>
      <c r="B975" t="s">
        <v>320</v>
      </c>
      <c r="C975" t="s">
        <v>2013</v>
      </c>
    </row>
    <row r="976" spans="1:3" x14ac:dyDescent="0.2">
      <c r="A976" t="str">
        <f t="shared" ca="1" si="16"/>
        <v>выручка от продажи актива</v>
      </c>
      <c r="B976" t="s">
        <v>304</v>
      </c>
      <c r="C976" t="s">
        <v>1998</v>
      </c>
    </row>
    <row r="977" spans="1:3" x14ac:dyDescent="0.2">
      <c r="A977" t="str">
        <f t="shared" ca="1" si="16"/>
        <v>прибыль/убыток от продажи актива (бухгалтерская)</v>
      </c>
      <c r="B977" t="s">
        <v>324</v>
      </c>
      <c r="C977" t="s">
        <v>2016</v>
      </c>
    </row>
    <row r="978" spans="1:3" x14ac:dyDescent="0.2">
      <c r="A978" t="str">
        <f t="shared" ca="1" si="16"/>
        <v>НДС к выручке от продажи актива</v>
      </c>
      <c r="B978" t="s">
        <v>326</v>
      </c>
      <c r="C978" t="s">
        <v>2018</v>
      </c>
    </row>
    <row r="979" spans="1:3" x14ac:dyDescent="0.2">
      <c r="A979" t="str">
        <f t="shared" ca="1" si="16"/>
        <v>Суммарные инвестиции, с НДС и пошлинами</v>
      </c>
      <c r="B979" t="s">
        <v>332</v>
      </c>
      <c r="C979" t="s">
        <v>2030</v>
      </c>
    </row>
    <row r="980" spans="1:3" x14ac:dyDescent="0.2">
      <c r="A980" t="str">
        <f t="shared" ca="1" si="16"/>
        <v>в том числе НДС</v>
      </c>
      <c r="B980" t="s">
        <v>639</v>
      </c>
      <c r="C980" t="s">
        <v>2031</v>
      </c>
    </row>
    <row r="981" spans="1:3" x14ac:dyDescent="0.2">
      <c r="A981" t="str">
        <f t="shared" ca="1" si="16"/>
        <v>Ранее осуществленные инвестиции, с НДС</v>
      </c>
      <c r="B981" t="s">
        <v>1261</v>
      </c>
      <c r="C981" t="s">
        <v>2032</v>
      </c>
    </row>
    <row r="982" spans="1:3" x14ac:dyDescent="0.2">
      <c r="A982" t="str">
        <f t="shared" ca="1" si="16"/>
        <v>в том числе НДС</v>
      </c>
      <c r="B982" t="s">
        <v>639</v>
      </c>
      <c r="C982" t="s">
        <v>2031</v>
      </c>
    </row>
    <row r="983" spans="1:3" x14ac:dyDescent="0.2">
      <c r="A983" t="str">
        <f t="shared" ca="1" si="16"/>
        <v>ранее осуществленные инвестиции, без НДС</v>
      </c>
      <c r="B983" t="s">
        <v>312</v>
      </c>
      <c r="C983" t="s">
        <v>2005</v>
      </c>
    </row>
    <row r="984" spans="1:3" x14ac:dyDescent="0.2">
      <c r="A984" t="str">
        <f t="shared" ca="1" si="16"/>
        <v>Курсовые разницы</v>
      </c>
      <c r="B984" t="s">
        <v>1250</v>
      </c>
      <c r="C984" t="s">
        <v>1740</v>
      </c>
    </row>
    <row r="985" spans="1:3" x14ac:dyDescent="0.2">
      <c r="A985" s="24" t="str">
        <f t="shared" ca="1" si="16"/>
        <v>ФИНАНСОВАЯ АРЕНДА (ЛИЗИНГ)</v>
      </c>
      <c r="B985" t="s">
        <v>1171</v>
      </c>
      <c r="C985" t="s">
        <v>2033</v>
      </c>
    </row>
    <row r="986" spans="1:3" x14ac:dyDescent="0.2">
      <c r="A986" t="str">
        <f t="shared" ca="1" si="16"/>
        <v>Шаблон без графика платежей</v>
      </c>
      <c r="B986" t="s">
        <v>539</v>
      </c>
      <c r="C986" t="s">
        <v>2034</v>
      </c>
    </row>
    <row r="987" spans="1:3" x14ac:dyDescent="0.2">
      <c r="A987" t="str">
        <f t="shared" ca="1" si="16"/>
        <v>Стоимость объекта аренды (без НДС)</v>
      </c>
      <c r="B987" t="s">
        <v>532</v>
      </c>
      <c r="C987" t="s">
        <v>2035</v>
      </c>
    </row>
    <row r="988" spans="1:3" x14ac:dyDescent="0.2">
      <c r="A988" t="str">
        <f t="shared" ca="1" si="16"/>
        <v>Период начала аренды</v>
      </c>
      <c r="B988" t="s">
        <v>533</v>
      </c>
      <c r="C988" t="s">
        <v>2036</v>
      </c>
    </row>
    <row r="989" spans="1:3" x14ac:dyDescent="0.2">
      <c r="A989" t="str">
        <f t="shared" ca="1" si="16"/>
        <v>Срок аренды</v>
      </c>
      <c r="B989" t="s">
        <v>534</v>
      </c>
      <c r="C989" t="s">
        <v>2037</v>
      </c>
    </row>
    <row r="990" spans="1:3" x14ac:dyDescent="0.2">
      <c r="A990" t="str">
        <f t="shared" ca="1" si="16"/>
        <v>Ставка доходности лизинговой компании</v>
      </c>
      <c r="B990" t="s">
        <v>535</v>
      </c>
      <c r="C990" t="s">
        <v>2038</v>
      </c>
    </row>
    <row r="991" spans="1:3" x14ac:dyDescent="0.2">
      <c r="A991" t="str">
        <f t="shared" ca="1" si="16"/>
        <v>Авансовый платеж по аренде</v>
      </c>
      <c r="B991" t="s">
        <v>536</v>
      </c>
      <c r="C991" t="s">
        <v>2039</v>
      </c>
    </row>
    <row r="992" spans="1:3" x14ac:dyDescent="0.2">
      <c r="A992" t="str">
        <f t="shared" ca="1" si="16"/>
        <v>платеж по аренде в затратах (без НДС)</v>
      </c>
      <c r="B992" t="s">
        <v>1174</v>
      </c>
      <c r="C992" t="s">
        <v>2040</v>
      </c>
    </row>
    <row r="993" spans="1:3" x14ac:dyDescent="0.2">
      <c r="A993" t="str">
        <f t="shared" ca="1" si="16"/>
        <v>платеж по аренде в оттоках денежных средств (без НДС)</v>
      </c>
      <c r="B993" t="s">
        <v>1175</v>
      </c>
      <c r="C993" t="s">
        <v>2041</v>
      </c>
    </row>
    <row r="994" spans="1:3" x14ac:dyDescent="0.2">
      <c r="A994" t="str">
        <f t="shared" ca="1" si="16"/>
        <v>стоимость объекта аренды (без НДС)</v>
      </c>
      <c r="B994" t="s">
        <v>1176</v>
      </c>
      <c r="C994" t="s">
        <v>2042</v>
      </c>
    </row>
    <row r="995" spans="1:3" x14ac:dyDescent="0.2">
      <c r="A995" t="str">
        <f t="shared" ca="1" si="16"/>
        <v>балансовая стоимость объекта аренды</v>
      </c>
      <c r="B995" t="s">
        <v>1177</v>
      </c>
      <c r="C995" t="s">
        <v>1716</v>
      </c>
    </row>
    <row r="996" spans="1:3" x14ac:dyDescent="0.2">
      <c r="A996" t="str">
        <f t="shared" ca="1" si="16"/>
        <v>амортизация</v>
      </c>
      <c r="B996" t="s">
        <v>942</v>
      </c>
      <c r="C996" t="s">
        <v>1195</v>
      </c>
    </row>
    <row r="997" spans="1:3" x14ac:dyDescent="0.2">
      <c r="A997" t="str">
        <f t="shared" ca="1" si="16"/>
        <v>количество дней аренды в периоде</v>
      </c>
      <c r="B997" t="s">
        <v>1178</v>
      </c>
      <c r="C997" t="s">
        <v>2043</v>
      </c>
    </row>
    <row r="998" spans="1:3" x14ac:dyDescent="0.2">
      <c r="A998" t="str">
        <f t="shared" ca="1" si="16"/>
        <v>финансовый расход</v>
      </c>
      <c r="B998" t="s">
        <v>1179</v>
      </c>
      <c r="C998" t="s">
        <v>2044</v>
      </c>
    </row>
    <row r="999" spans="1:3" x14ac:dyDescent="0.2">
      <c r="A999" t="str">
        <f t="shared" ca="1" si="16"/>
        <v>задолженность по аренде</v>
      </c>
      <c r="B999" t="s">
        <v>1180</v>
      </c>
      <c r="C999" t="s">
        <v>2045</v>
      </c>
    </row>
    <row r="1000" spans="1:3" x14ac:dyDescent="0.2">
      <c r="A1000" t="str">
        <f t="shared" ca="1" si="16"/>
        <v>авансы выплаченные</v>
      </c>
      <c r="B1000" t="s">
        <v>1181</v>
      </c>
      <c r="C1000" t="s">
        <v>1926</v>
      </c>
    </row>
    <row r="1001" spans="1:3" x14ac:dyDescent="0.2">
      <c r="A1001" t="str">
        <f t="shared" ca="1" si="16"/>
        <v>ставка НДС</v>
      </c>
      <c r="B1001" t="s">
        <v>318</v>
      </c>
      <c r="C1001" t="s">
        <v>1900</v>
      </c>
    </row>
    <row r="1002" spans="1:3" x14ac:dyDescent="0.2">
      <c r="A1002" t="str">
        <f t="shared" ca="1" si="16"/>
        <v>НДС к платежам в оттоках денежных средств</v>
      </c>
      <c r="B1002" t="s">
        <v>1172</v>
      </c>
      <c r="C1002" t="s">
        <v>2046</v>
      </c>
    </row>
    <row r="1003" spans="1:3" x14ac:dyDescent="0.2">
      <c r="A1003" t="str">
        <f t="shared" ca="1" si="16"/>
        <v>НДС к начисленным платежам</v>
      </c>
      <c r="B1003" t="s">
        <v>1173</v>
      </c>
      <c r="C1003" t="s">
        <v>2047</v>
      </c>
    </row>
    <row r="1004" spans="1:3" x14ac:dyDescent="0.2">
      <c r="A1004" t="str">
        <f t="shared" ca="1" si="16"/>
        <v>Шаблон с графиком платежей</v>
      </c>
      <c r="B1004" t="s">
        <v>540</v>
      </c>
      <c r="C1004" t="s">
        <v>2048</v>
      </c>
    </row>
    <row r="1005" spans="1:3" x14ac:dyDescent="0.2">
      <c r="A1005" t="str">
        <f t="shared" ca="1" si="16"/>
        <v>Стоимость объекта аренды (без НДС)</v>
      </c>
      <c r="B1005" t="s">
        <v>532</v>
      </c>
      <c r="C1005" t="s">
        <v>2035</v>
      </c>
    </row>
    <row r="1006" spans="1:3" x14ac:dyDescent="0.2">
      <c r="A1006" t="str">
        <f t="shared" ca="1" si="16"/>
        <v>Период начала аренды</v>
      </c>
      <c r="B1006" t="s">
        <v>533</v>
      </c>
      <c r="C1006" t="s">
        <v>2036</v>
      </c>
    </row>
    <row r="1007" spans="1:3" x14ac:dyDescent="0.2">
      <c r="A1007" t="str">
        <f t="shared" ca="1" si="16"/>
        <v>Срок аренды</v>
      </c>
      <c r="B1007" t="s">
        <v>534</v>
      </c>
      <c r="C1007" t="s">
        <v>2037</v>
      </c>
    </row>
    <row r="1008" spans="1:3" x14ac:dyDescent="0.2">
      <c r="A1008" t="str">
        <f t="shared" ca="1" si="16"/>
        <v>График арендных платежей (без НДС)</v>
      </c>
      <c r="B1008" t="s">
        <v>538</v>
      </c>
      <c r="C1008" t="s">
        <v>2049</v>
      </c>
    </row>
    <row r="1009" spans="1:3" x14ac:dyDescent="0.2">
      <c r="A1009" t="str">
        <f t="shared" ca="1" si="16"/>
        <v>платеж по аренде в оттоках денежных средств (без НДС)</v>
      </c>
      <c r="B1009" t="s">
        <v>1175</v>
      </c>
      <c r="C1009" t="s">
        <v>2041</v>
      </c>
    </row>
    <row r="1010" spans="1:3" x14ac:dyDescent="0.2">
      <c r="A1010" t="str">
        <f t="shared" ca="1" si="16"/>
        <v>платеж по аренде в затратах (без НДС)</v>
      </c>
      <c r="B1010" t="s">
        <v>1174</v>
      </c>
      <c r="C1010" t="s">
        <v>2040</v>
      </c>
    </row>
    <row r="1011" spans="1:3" x14ac:dyDescent="0.2">
      <c r="A1011" t="str">
        <f t="shared" ca="1" si="16"/>
        <v>стоимость объекта аренды (без НДС)</v>
      </c>
      <c r="B1011" t="s">
        <v>1176</v>
      </c>
      <c r="C1011" t="s">
        <v>2042</v>
      </c>
    </row>
    <row r="1012" spans="1:3" x14ac:dyDescent="0.2">
      <c r="A1012" t="str">
        <f t="shared" ca="1" si="16"/>
        <v>поток для расчета ставки доходности</v>
      </c>
      <c r="B1012" t="s">
        <v>1182</v>
      </c>
      <c r="C1012" t="s">
        <v>2050</v>
      </c>
    </row>
    <row r="1013" spans="1:3" x14ac:dyDescent="0.2">
      <c r="A1013" t="str">
        <f t="shared" ref="A1013:A1095" ca="1" si="17">OFFSET(A1013,0,Prj_Language)</f>
        <v>даты для расчета ставки доходности</v>
      </c>
      <c r="B1013" t="s">
        <v>1183</v>
      </c>
      <c r="C1013" t="s">
        <v>2051</v>
      </c>
    </row>
    <row r="1014" spans="1:3" x14ac:dyDescent="0.2">
      <c r="A1014" t="str">
        <f t="shared" ca="1" si="17"/>
        <v>ставка доходности лизинговой компании</v>
      </c>
      <c r="B1014" t="s">
        <v>1184</v>
      </c>
      <c r="C1014" t="s">
        <v>2052</v>
      </c>
    </row>
    <row r="1015" spans="1:3" x14ac:dyDescent="0.2">
      <c r="A1015" t="str">
        <f t="shared" ca="1" si="17"/>
        <v>балансовая стоимость объекта аренды</v>
      </c>
      <c r="B1015" t="s">
        <v>1177</v>
      </c>
      <c r="C1015" t="s">
        <v>1716</v>
      </c>
    </row>
    <row r="1016" spans="1:3" x14ac:dyDescent="0.2">
      <c r="A1016" t="str">
        <f t="shared" ca="1" si="17"/>
        <v>амортизация</v>
      </c>
      <c r="B1016" t="s">
        <v>942</v>
      </c>
      <c r="C1016" t="s">
        <v>1195</v>
      </c>
    </row>
    <row r="1017" spans="1:3" x14ac:dyDescent="0.2">
      <c r="A1017" t="str">
        <f t="shared" ca="1" si="17"/>
        <v>количество дней аренды в периоде</v>
      </c>
      <c r="B1017" t="s">
        <v>1178</v>
      </c>
      <c r="C1017" t="s">
        <v>2043</v>
      </c>
    </row>
    <row r="1018" spans="1:3" x14ac:dyDescent="0.2">
      <c r="A1018" t="str">
        <f t="shared" ca="1" si="17"/>
        <v>финансовый расход</v>
      </c>
      <c r="B1018" t="s">
        <v>1179</v>
      </c>
      <c r="C1018" t="s">
        <v>2044</v>
      </c>
    </row>
    <row r="1019" spans="1:3" x14ac:dyDescent="0.2">
      <c r="A1019" t="str">
        <f t="shared" ca="1" si="17"/>
        <v>задолженность по аренде</v>
      </c>
      <c r="B1019" t="s">
        <v>1180</v>
      </c>
      <c r="C1019" t="s">
        <v>2045</v>
      </c>
    </row>
    <row r="1020" spans="1:3" x14ac:dyDescent="0.2">
      <c r="A1020" t="str">
        <f t="shared" ca="1" si="17"/>
        <v>авансы выплаченные</v>
      </c>
      <c r="B1020" t="s">
        <v>1181</v>
      </c>
      <c r="C1020" t="s">
        <v>1926</v>
      </c>
    </row>
    <row r="1021" spans="1:3" x14ac:dyDescent="0.2">
      <c r="A1021" t="str">
        <f t="shared" ca="1" si="17"/>
        <v>ставка НДС</v>
      </c>
      <c r="B1021" t="s">
        <v>318</v>
      </c>
      <c r="C1021" t="s">
        <v>1900</v>
      </c>
    </row>
    <row r="1022" spans="1:3" x14ac:dyDescent="0.2">
      <c r="A1022" t="str">
        <f t="shared" ca="1" si="17"/>
        <v>НДС к платежам в оттоках денежных средств</v>
      </c>
      <c r="B1022" t="s">
        <v>1172</v>
      </c>
      <c r="C1022" t="s">
        <v>2046</v>
      </c>
    </row>
    <row r="1023" spans="1:3" x14ac:dyDescent="0.2">
      <c r="A1023" t="str">
        <f t="shared" ca="1" si="17"/>
        <v>НДС к начисленным платежам</v>
      </c>
      <c r="B1023" t="s">
        <v>1173</v>
      </c>
      <c r="C1023" t="s">
        <v>2047</v>
      </c>
    </row>
    <row r="1024" spans="1:3" x14ac:dyDescent="0.2">
      <c r="A1024" t="str">
        <f t="shared" ca="1" si="17"/>
        <v>Итого: Лизинговые платежи, с НДС</v>
      </c>
      <c r="B1024" t="s">
        <v>1188</v>
      </c>
      <c r="C1024" t="s">
        <v>2053</v>
      </c>
    </row>
    <row r="1025" spans="1:3" x14ac:dyDescent="0.2">
      <c r="A1025" t="str">
        <f t="shared" ca="1" si="17"/>
        <v>платеж по аренде в оттоках денежных средств, без НДС</v>
      </c>
      <c r="B1025" t="s">
        <v>1185</v>
      </c>
      <c r="C1025" t="s">
        <v>2054</v>
      </c>
    </row>
    <row r="1026" spans="1:3" x14ac:dyDescent="0.2">
      <c r="A1026" t="str">
        <f t="shared" ca="1" si="17"/>
        <v>НДС к платежам в оттоках денежных средств</v>
      </c>
      <c r="B1026" t="s">
        <v>1172</v>
      </c>
      <c r="C1026" t="s">
        <v>2046</v>
      </c>
    </row>
    <row r="1027" spans="1:3" x14ac:dyDescent="0.2">
      <c r="A1027" t="str">
        <f t="shared" ca="1" si="17"/>
        <v>платеж по аренде начисленный, без НДС</v>
      </c>
      <c r="B1027" t="s">
        <v>1186</v>
      </c>
      <c r="C1027" t="s">
        <v>2040</v>
      </c>
    </row>
    <row r="1028" spans="1:3" x14ac:dyDescent="0.2">
      <c r="A1028" t="str">
        <f t="shared" ca="1" si="17"/>
        <v>НДС к начисленным платежам</v>
      </c>
      <c r="B1028" t="s">
        <v>1173</v>
      </c>
      <c r="C1028" t="s">
        <v>2047</v>
      </c>
    </row>
    <row r="1029" spans="1:3" x14ac:dyDescent="0.2">
      <c r="A1029" t="str">
        <f t="shared" ca="1" si="17"/>
        <v>балансовая стоимость объекта аренды</v>
      </c>
      <c r="B1029" t="s">
        <v>1177</v>
      </c>
      <c r="C1029" t="s">
        <v>1716</v>
      </c>
    </row>
    <row r="1030" spans="1:3" x14ac:dyDescent="0.2">
      <c r="A1030" t="str">
        <f t="shared" ca="1" si="17"/>
        <v>амортизация объекта аренды</v>
      </c>
      <c r="B1030" t="s">
        <v>1187</v>
      </c>
      <c r="C1030" t="s">
        <v>1195</v>
      </c>
    </row>
    <row r="1031" spans="1:3" x14ac:dyDescent="0.2">
      <c r="A1031" t="str">
        <f t="shared" ca="1" si="17"/>
        <v>финансовый расход</v>
      </c>
      <c r="B1031" t="s">
        <v>1179</v>
      </c>
      <c r="C1031" t="s">
        <v>2044</v>
      </c>
    </row>
    <row r="1032" spans="1:3" x14ac:dyDescent="0.2">
      <c r="A1032" t="str">
        <f t="shared" ca="1" si="17"/>
        <v>задолженность по аренде</v>
      </c>
      <c r="B1032" t="s">
        <v>1180</v>
      </c>
      <c r="C1032" t="s">
        <v>2045</v>
      </c>
    </row>
    <row r="1033" spans="1:3" x14ac:dyDescent="0.2">
      <c r="A1033" t="str">
        <f t="shared" ca="1" si="17"/>
        <v>авансы выплаченные</v>
      </c>
      <c r="B1033" t="s">
        <v>1181</v>
      </c>
      <c r="C1033" t="s">
        <v>1926</v>
      </c>
    </row>
    <row r="1034" spans="1:3" x14ac:dyDescent="0.2">
      <c r="A1034" s="24" t="str">
        <f t="shared" ca="1" si="17"/>
        <v>ФИНАНСОВЫЕ ВЛОЖЕНИЯ</v>
      </c>
      <c r="B1034" t="s">
        <v>270</v>
      </c>
      <c r="C1034" t="s">
        <v>2055</v>
      </c>
    </row>
    <row r="1035" spans="1:3" x14ac:dyDescent="0.2">
      <c r="A1035" t="str">
        <f t="shared" ca="1" si="17"/>
        <v>Шаблон долгосрочных вложений</v>
      </c>
      <c r="B1035" t="s">
        <v>355</v>
      </c>
      <c r="C1035" t="s">
        <v>2056</v>
      </c>
    </row>
    <row r="1036" spans="1:3" x14ac:dyDescent="0.2">
      <c r="A1036" t="str">
        <f t="shared" ca="1" si="17"/>
        <v>увеличение финансовых вложений</v>
      </c>
      <c r="B1036" t="s">
        <v>357</v>
      </c>
      <c r="C1036" t="s">
        <v>2057</v>
      </c>
    </row>
    <row r="1037" spans="1:3" x14ac:dyDescent="0.2">
      <c r="A1037" t="str">
        <f t="shared" ca="1" si="17"/>
        <v>снижение финансовых вложений (возврат)</v>
      </c>
      <c r="B1037" t="s">
        <v>358</v>
      </c>
      <c r="C1037" t="s">
        <v>1998</v>
      </c>
    </row>
    <row r="1038" spans="1:3" x14ac:dyDescent="0.2">
      <c r="A1038" t="str">
        <f t="shared" ca="1" si="17"/>
        <v xml:space="preserve">доход </v>
      </c>
      <c r="B1038" t="s">
        <v>359</v>
      </c>
      <c r="C1038" t="s">
        <v>992</v>
      </c>
    </row>
    <row r="1039" spans="1:3" x14ac:dyDescent="0.2">
      <c r="A1039" t="str">
        <f t="shared" ca="1" si="17"/>
        <v>финансовые вложения на конец периода</v>
      </c>
      <c r="B1039" t="s">
        <v>360</v>
      </c>
      <c r="C1039" t="s">
        <v>2058</v>
      </c>
    </row>
    <row r="1040" spans="1:3" x14ac:dyDescent="0.2">
      <c r="A1040" t="str">
        <f t="shared" ca="1" si="17"/>
        <v>финансовые вложения на начало периода</v>
      </c>
      <c r="B1040" t="s">
        <v>361</v>
      </c>
      <c r="C1040" t="s">
        <v>2059</v>
      </c>
    </row>
    <row r="1041" spans="1:3" x14ac:dyDescent="0.2">
      <c r="A1041" t="str">
        <f t="shared" ca="1" si="17"/>
        <v>Шаблон краткосрочных вложений</v>
      </c>
      <c r="B1041" t="s">
        <v>356</v>
      </c>
      <c r="C1041" t="s">
        <v>2060</v>
      </c>
    </row>
    <row r="1042" spans="1:3" x14ac:dyDescent="0.2">
      <c r="A1042" t="str">
        <f t="shared" ca="1" si="17"/>
        <v>увеличение финансовых вложений</v>
      </c>
      <c r="B1042" t="s">
        <v>357</v>
      </c>
      <c r="C1042" t="s">
        <v>2057</v>
      </c>
    </row>
    <row r="1043" spans="1:3" x14ac:dyDescent="0.2">
      <c r="A1043" t="str">
        <f t="shared" ca="1" si="17"/>
        <v>снижение финансовых вложений (возврат)</v>
      </c>
      <c r="B1043" t="s">
        <v>358</v>
      </c>
      <c r="C1043" t="s">
        <v>1998</v>
      </c>
    </row>
    <row r="1044" spans="1:3" x14ac:dyDescent="0.2">
      <c r="A1044" t="str">
        <f t="shared" ca="1" si="17"/>
        <v xml:space="preserve">доход </v>
      </c>
      <c r="B1044" t="s">
        <v>359</v>
      </c>
      <c r="C1044" t="s">
        <v>992</v>
      </c>
    </row>
    <row r="1045" spans="1:3" x14ac:dyDescent="0.2">
      <c r="A1045" t="str">
        <f t="shared" ca="1" si="17"/>
        <v>финансовые вложения на конец периода</v>
      </c>
      <c r="B1045" t="s">
        <v>360</v>
      </c>
      <c r="C1045" t="s">
        <v>2058</v>
      </c>
    </row>
    <row r="1046" spans="1:3" x14ac:dyDescent="0.2">
      <c r="A1046" t="str">
        <f t="shared" ca="1" si="17"/>
        <v>финансовые вложения на начало периода</v>
      </c>
      <c r="B1046" t="s">
        <v>361</v>
      </c>
      <c r="C1046" t="s">
        <v>2059</v>
      </c>
    </row>
    <row r="1047" spans="1:3" x14ac:dyDescent="0.2">
      <c r="A1047" t="str">
        <f t="shared" ca="1" si="17"/>
        <v>Долгосрочные вложения</v>
      </c>
      <c r="B1047" t="s">
        <v>271</v>
      </c>
      <c r="C1047" t="s">
        <v>2061</v>
      </c>
    </row>
    <row r="1048" spans="1:3" x14ac:dyDescent="0.2">
      <c r="A1048" t="str">
        <f t="shared" ca="1" si="17"/>
        <v>Краткосрочные вложения</v>
      </c>
      <c r="B1048" t="s">
        <v>272</v>
      </c>
      <c r="C1048" t="s">
        <v>2062</v>
      </c>
    </row>
    <row r="1049" spans="1:3" x14ac:dyDescent="0.2">
      <c r="A1049" t="str">
        <f t="shared" ca="1" si="17"/>
        <v>Итого: Долгосрочные вложения на конец периода</v>
      </c>
      <c r="B1049" t="s">
        <v>956</v>
      </c>
      <c r="C1049" t="s">
        <v>2063</v>
      </c>
    </row>
    <row r="1050" spans="1:3" x14ac:dyDescent="0.2">
      <c r="A1050" t="str">
        <f t="shared" ca="1" si="17"/>
        <v>увеличение финансовых вложений</v>
      </c>
      <c r="B1050" t="s">
        <v>357</v>
      </c>
      <c r="C1050" t="s">
        <v>2057</v>
      </c>
    </row>
    <row r="1051" spans="1:3" x14ac:dyDescent="0.2">
      <c r="A1051" t="str">
        <f t="shared" ca="1" si="17"/>
        <v>снижение финансовых вложений (возврат)</v>
      </c>
      <c r="B1051" t="s">
        <v>358</v>
      </c>
      <c r="C1051" t="s">
        <v>1998</v>
      </c>
    </row>
    <row r="1052" spans="1:3" x14ac:dyDescent="0.2">
      <c r="A1052" t="str">
        <f t="shared" ca="1" si="17"/>
        <v xml:space="preserve">доход </v>
      </c>
      <c r="B1052" t="s">
        <v>359</v>
      </c>
      <c r="C1052" t="s">
        <v>992</v>
      </c>
    </row>
    <row r="1053" spans="1:3" x14ac:dyDescent="0.2">
      <c r="A1053" t="str">
        <f t="shared" ca="1" si="17"/>
        <v>финансовые вложения на конец периода</v>
      </c>
      <c r="B1053" t="s">
        <v>360</v>
      </c>
      <c r="C1053" t="s">
        <v>2058</v>
      </c>
    </row>
    <row r="1054" spans="1:3" x14ac:dyDescent="0.2">
      <c r="A1054" t="str">
        <f t="shared" ca="1" si="17"/>
        <v>на конец периода (без учета изменения курса)</v>
      </c>
      <c r="B1054" t="s">
        <v>363</v>
      </c>
      <c r="C1054" t="s">
        <v>2064</v>
      </c>
    </row>
    <row r="1055" spans="1:3" x14ac:dyDescent="0.2">
      <c r="A1055" t="str">
        <f t="shared" ca="1" si="17"/>
        <v>на начало периода (без учета изменения курса)</v>
      </c>
      <c r="B1055" t="s">
        <v>362</v>
      </c>
      <c r="C1055" t="s">
        <v>2065</v>
      </c>
    </row>
    <row r="1056" spans="1:3" x14ac:dyDescent="0.2">
      <c r="A1056" t="str">
        <f t="shared" ca="1" si="17"/>
        <v>прибыль (убыток) от курсовой разницы</v>
      </c>
      <c r="B1056" t="s">
        <v>955</v>
      </c>
      <c r="C1056" t="s">
        <v>2002</v>
      </c>
    </row>
    <row r="1057" spans="1:3" x14ac:dyDescent="0.2">
      <c r="A1057" t="str">
        <f t="shared" ca="1" si="17"/>
        <v>Итого: Краткосрочные вложения на конец периода</v>
      </c>
      <c r="B1057" t="s">
        <v>957</v>
      </c>
      <c r="C1057" t="s">
        <v>2066</v>
      </c>
    </row>
    <row r="1058" spans="1:3" x14ac:dyDescent="0.2">
      <c r="A1058" t="str">
        <f t="shared" ca="1" si="17"/>
        <v>увеличение финансовых вложений</v>
      </c>
      <c r="B1058" t="s">
        <v>357</v>
      </c>
      <c r="C1058" t="s">
        <v>2057</v>
      </c>
    </row>
    <row r="1059" spans="1:3" x14ac:dyDescent="0.2">
      <c r="A1059" t="str">
        <f t="shared" ca="1" si="17"/>
        <v>снижение финансовых вложений (возврат)</v>
      </c>
      <c r="B1059" t="s">
        <v>358</v>
      </c>
      <c r="C1059" t="s">
        <v>1998</v>
      </c>
    </row>
    <row r="1060" spans="1:3" x14ac:dyDescent="0.2">
      <c r="A1060" t="str">
        <f t="shared" ca="1" si="17"/>
        <v xml:space="preserve">доход </v>
      </c>
      <c r="B1060" t="s">
        <v>359</v>
      </c>
      <c r="C1060" t="s">
        <v>992</v>
      </c>
    </row>
    <row r="1061" spans="1:3" x14ac:dyDescent="0.2">
      <c r="A1061" t="str">
        <f t="shared" ca="1" si="17"/>
        <v>финансовые вложения на конец периода</v>
      </c>
      <c r="B1061" t="s">
        <v>360</v>
      </c>
      <c r="C1061" t="s">
        <v>2058</v>
      </c>
    </row>
    <row r="1062" spans="1:3" x14ac:dyDescent="0.2">
      <c r="A1062" t="str">
        <f t="shared" ca="1" si="17"/>
        <v>на конец периода (без учета изменения курса)</v>
      </c>
      <c r="B1062" t="s">
        <v>363</v>
      </c>
      <c r="C1062" t="s">
        <v>2064</v>
      </c>
    </row>
    <row r="1063" spans="1:3" x14ac:dyDescent="0.2">
      <c r="A1063" t="str">
        <f t="shared" ca="1" si="17"/>
        <v>на начало периода (без учета изменения курса)</v>
      </c>
      <c r="B1063" t="s">
        <v>362</v>
      </c>
      <c r="C1063" t="s">
        <v>2065</v>
      </c>
    </row>
    <row r="1064" spans="1:3" x14ac:dyDescent="0.2">
      <c r="A1064" t="str">
        <f t="shared" ca="1" si="17"/>
        <v>прибыль (убыток) от курсовой разницы</v>
      </c>
      <c r="B1064" t="s">
        <v>955</v>
      </c>
      <c r="C1064" t="s">
        <v>2002</v>
      </c>
    </row>
    <row r="1065" spans="1:3" x14ac:dyDescent="0.2">
      <c r="A1065" s="24" t="str">
        <f t="shared" ca="1" si="17"/>
        <v>ПРОЧИЕ ДОХОДЫ И РАСХОДЫ</v>
      </c>
      <c r="B1065" t="s">
        <v>1433</v>
      </c>
      <c r="C1065" t="s">
        <v>2067</v>
      </c>
    </row>
    <row r="1066" spans="1:3" x14ac:dyDescent="0.2">
      <c r="A1066" t="str">
        <f t="shared" ca="1" si="17"/>
        <v>Шаблон прочих доходов</v>
      </c>
      <c r="B1066" t="s">
        <v>1434</v>
      </c>
      <c r="C1066" t="s">
        <v>2068</v>
      </c>
    </row>
    <row r="1067" spans="1:3" x14ac:dyDescent="0.2">
      <c r="A1067" t="str">
        <f t="shared" ca="1" si="17"/>
        <v>прочие доходы (без НДС)</v>
      </c>
      <c r="B1067" t="s">
        <v>1437</v>
      </c>
      <c r="C1067" t="s">
        <v>2069</v>
      </c>
    </row>
    <row r="1068" spans="1:3" x14ac:dyDescent="0.2">
      <c r="A1068" t="str">
        <f t="shared" ca="1" si="17"/>
        <v>ставка НДС</v>
      </c>
      <c r="B1068" t="s">
        <v>318</v>
      </c>
      <c r="C1068" t="s">
        <v>1900</v>
      </c>
    </row>
    <row r="1069" spans="1:3" x14ac:dyDescent="0.2">
      <c r="A1069" t="str">
        <f t="shared" ca="1" si="17"/>
        <v>НДС</v>
      </c>
      <c r="B1069" t="s">
        <v>1436</v>
      </c>
      <c r="C1069" t="s">
        <v>2031</v>
      </c>
    </row>
    <row r="1070" spans="1:3" x14ac:dyDescent="0.2">
      <c r="A1070" t="str">
        <f t="shared" ca="1" si="17"/>
        <v>Шаблон прочих расходов</v>
      </c>
      <c r="B1070" t="s">
        <v>1435</v>
      </c>
      <c r="C1070" t="s">
        <v>2070</v>
      </c>
    </row>
    <row r="1071" spans="1:3" x14ac:dyDescent="0.2">
      <c r="A1071" t="str">
        <f t="shared" ca="1" si="17"/>
        <v>прочие доходы (без НДС)</v>
      </c>
      <c r="B1071" t="s">
        <v>1437</v>
      </c>
      <c r="C1071" t="s">
        <v>2071</v>
      </c>
    </row>
    <row r="1072" spans="1:3" x14ac:dyDescent="0.2">
      <c r="A1072" t="str">
        <f t="shared" ca="1" si="17"/>
        <v>ставка НДС</v>
      </c>
      <c r="B1072" t="s">
        <v>318</v>
      </c>
      <c r="C1072" t="s">
        <v>1900</v>
      </c>
    </row>
    <row r="1073" spans="1:3" x14ac:dyDescent="0.2">
      <c r="A1073" t="str">
        <f t="shared" ca="1" si="17"/>
        <v>НДС</v>
      </c>
      <c r="B1073" t="s">
        <v>1436</v>
      </c>
      <c r="C1073" t="s">
        <v>2031</v>
      </c>
    </row>
    <row r="1074" spans="1:3" x14ac:dyDescent="0.2">
      <c r="A1074" t="str">
        <f t="shared" ca="1" si="17"/>
        <v>Прочие доходы</v>
      </c>
      <c r="B1074" t="s">
        <v>739</v>
      </c>
      <c r="C1074" t="s">
        <v>1760</v>
      </c>
    </row>
    <row r="1075" spans="1:3" x14ac:dyDescent="0.2">
      <c r="A1075" t="str">
        <f t="shared" ca="1" si="17"/>
        <v>Прочие расходы</v>
      </c>
      <c r="B1075" t="s">
        <v>740</v>
      </c>
      <c r="C1075" t="s">
        <v>1761</v>
      </c>
    </row>
    <row r="1076" spans="1:3" x14ac:dyDescent="0.2">
      <c r="A1076" t="str">
        <f t="shared" ca="1" si="17"/>
        <v>Итого: прочие доходы (с НДС)</v>
      </c>
      <c r="B1076" t="s">
        <v>1438</v>
      </c>
      <c r="C1076" t="s">
        <v>2072</v>
      </c>
    </row>
    <row r="1077" spans="1:3" x14ac:dyDescent="0.2">
      <c r="A1077" t="str">
        <f t="shared" ca="1" si="17"/>
        <v>прочие доходы (без НДС)</v>
      </c>
      <c r="B1077" t="s">
        <v>1437</v>
      </c>
      <c r="C1077" t="s">
        <v>2073</v>
      </c>
    </row>
    <row r="1078" spans="1:3" x14ac:dyDescent="0.2">
      <c r="A1078" t="str">
        <f t="shared" ca="1" si="17"/>
        <v>НДС</v>
      </c>
      <c r="B1078" t="s">
        <v>1436</v>
      </c>
      <c r="C1078" t="s">
        <v>2031</v>
      </c>
    </row>
    <row r="1079" spans="1:3" x14ac:dyDescent="0.2">
      <c r="A1079" t="str">
        <f t="shared" ca="1" si="17"/>
        <v>Итого: прочие расходы (с НДС)</v>
      </c>
      <c r="B1079" t="s">
        <v>1439</v>
      </c>
      <c r="C1079" t="s">
        <v>2074</v>
      </c>
    </row>
    <row r="1080" spans="1:3" x14ac:dyDescent="0.2">
      <c r="A1080" t="str">
        <f t="shared" ca="1" si="17"/>
        <v>прочие расходы (без НДС)</v>
      </c>
      <c r="B1080" t="s">
        <v>1440</v>
      </c>
      <c r="C1080" t="s">
        <v>2075</v>
      </c>
    </row>
    <row r="1081" spans="1:3" x14ac:dyDescent="0.2">
      <c r="A1081" t="str">
        <f t="shared" ca="1" si="17"/>
        <v>НДС</v>
      </c>
      <c r="B1081" t="s">
        <v>1436</v>
      </c>
      <c r="C1081" t="s">
        <v>2031</v>
      </c>
    </row>
    <row r="1082" spans="1:3" x14ac:dyDescent="0.2">
      <c r="A1082" s="24" t="str">
        <f t="shared" ca="1" si="17"/>
        <v>СОБСТВЕННЫЙ КАПИТАЛ</v>
      </c>
      <c r="B1082" t="s">
        <v>576</v>
      </c>
      <c r="C1082" t="s">
        <v>2076</v>
      </c>
    </row>
    <row r="1083" spans="1:3" x14ac:dyDescent="0.2">
      <c r="A1083" t="str">
        <f t="shared" ca="1" si="17"/>
        <v>Шаблон</v>
      </c>
      <c r="B1083" t="s">
        <v>730</v>
      </c>
      <c r="C1083" t="s">
        <v>2077</v>
      </c>
    </row>
    <row r="1084" spans="1:3" x14ac:dyDescent="0.2">
      <c r="A1084" t="str">
        <f t="shared" ca="1" si="17"/>
        <v>вложение собственных средств</v>
      </c>
      <c r="B1084" t="s">
        <v>578</v>
      </c>
      <c r="C1084" t="s">
        <v>2078</v>
      </c>
    </row>
    <row r="1085" spans="1:3" x14ac:dyDescent="0.2">
      <c r="A1085" t="str">
        <f t="shared" ca="1" si="17"/>
        <v>Итого: Вложение собственных средств</v>
      </c>
      <c r="B1085" t="s">
        <v>579</v>
      </c>
      <c r="C1085" t="s">
        <v>2079</v>
      </c>
    </row>
    <row r="1086" spans="1:3" x14ac:dyDescent="0.2">
      <c r="A1086" t="str">
        <f t="shared" ca="1" si="17"/>
        <v>Акционерный капитал (с учетом начального баланса)</v>
      </c>
      <c r="B1086" t="s">
        <v>778</v>
      </c>
      <c r="C1086" t="s">
        <v>2080</v>
      </c>
    </row>
    <row r="1087" spans="1:3" x14ac:dyDescent="0.2">
      <c r="A1087" t="str">
        <f t="shared" ca="1" si="17"/>
        <v>Выплата дивидендов</v>
      </c>
      <c r="B1087" t="s">
        <v>1422</v>
      </c>
      <c r="C1087" t="s">
        <v>1764</v>
      </c>
    </row>
    <row r="1088" spans="1:3" x14ac:dyDescent="0.2">
      <c r="A1088" s="24" t="str">
        <f t="shared" ca="1" si="17"/>
        <v>КРЕДИТЫ</v>
      </c>
      <c r="B1088" t="s">
        <v>580</v>
      </c>
      <c r="C1088" t="s">
        <v>2081</v>
      </c>
    </row>
    <row r="1089" spans="1:3" x14ac:dyDescent="0.2">
      <c r="A1089" t="str">
        <f t="shared" ca="1" si="17"/>
        <v>Шаблон долгосрочного кредита</v>
      </c>
      <c r="B1089" t="s">
        <v>596</v>
      </c>
      <c r="C1089" t="s">
        <v>1724</v>
      </c>
    </row>
    <row r="1090" spans="1:3" x14ac:dyDescent="0.2">
      <c r="A1090" t="str">
        <f t="shared" ca="1" si="17"/>
        <v>ставка процентов по кредиту</v>
      </c>
      <c r="B1090" t="s">
        <v>583</v>
      </c>
      <c r="C1090" t="s">
        <v>1726</v>
      </c>
    </row>
    <row r="1091" spans="1:3" x14ac:dyDescent="0.2">
      <c r="A1091" t="str">
        <f t="shared" ca="1" si="17"/>
        <v>отсрочка выплаты процентов</v>
      </c>
      <c r="B1091" t="s">
        <v>584</v>
      </c>
      <c r="C1091" t="s">
        <v>2082</v>
      </c>
    </row>
    <row r="1092" spans="1:3" x14ac:dyDescent="0.2">
      <c r="A1092" t="str">
        <f t="shared" ca="1" si="17"/>
        <v>капитализация невыплаченных процентов</v>
      </c>
      <c r="B1092" t="s">
        <v>585</v>
      </c>
      <c r="C1092" t="s">
        <v>2083</v>
      </c>
    </row>
    <row r="1093" spans="1:3" x14ac:dyDescent="0.2">
      <c r="A1093" t="str">
        <f t="shared" ca="1" si="17"/>
        <v>срок кредитования</v>
      </c>
      <c r="B1093" t="s">
        <v>2198</v>
      </c>
      <c r="C1093" t="s">
        <v>2199</v>
      </c>
    </row>
    <row r="1094" spans="1:3" x14ac:dyDescent="0.2">
      <c r="A1094" t="str">
        <f t="shared" ca="1" si="17"/>
        <v>поступление денег от кредита</v>
      </c>
      <c r="B1094" t="s">
        <v>586</v>
      </c>
      <c r="C1094" t="s">
        <v>2084</v>
      </c>
    </row>
    <row r="1095" spans="1:3" x14ac:dyDescent="0.2">
      <c r="A1095" t="str">
        <f t="shared" ca="1" si="17"/>
        <v>погашение кредита</v>
      </c>
      <c r="B1095" t="s">
        <v>587</v>
      </c>
      <c r="C1095" t="s">
        <v>1727</v>
      </c>
    </row>
    <row r="1096" spans="1:3" x14ac:dyDescent="0.2">
      <c r="A1096" t="str">
        <f t="shared" ref="A1096:A1160" ca="1" si="18">OFFSET(A1096,0,Prj_Language)</f>
        <v>задолженность по кредиту</v>
      </c>
      <c r="B1096" t="s">
        <v>590</v>
      </c>
      <c r="C1096" t="s">
        <v>1728</v>
      </c>
    </row>
    <row r="1097" spans="1:3" x14ac:dyDescent="0.2">
      <c r="A1097" t="str">
        <f t="shared" ca="1" si="18"/>
        <v>начисленные проценты</v>
      </c>
      <c r="B1097" t="s">
        <v>588</v>
      </c>
      <c r="C1097" t="s">
        <v>1729</v>
      </c>
    </row>
    <row r="1098" spans="1:3" x14ac:dyDescent="0.2">
      <c r="A1098" t="str">
        <f t="shared" ca="1" si="18"/>
        <v>выплаченные проценты</v>
      </c>
      <c r="B1098" t="s">
        <v>589</v>
      </c>
      <c r="C1098" t="s">
        <v>1730</v>
      </c>
    </row>
    <row r="1099" spans="1:3" x14ac:dyDescent="0.2">
      <c r="A1099" t="str">
        <f t="shared" ca="1" si="18"/>
        <v>период начала кредитования</v>
      </c>
      <c r="B1099" t="s">
        <v>591</v>
      </c>
      <c r="C1099" t="s">
        <v>2085</v>
      </c>
    </row>
    <row r="1100" spans="1:3" x14ac:dyDescent="0.2">
      <c r="A1100" t="str">
        <f t="shared" ca="1" si="18"/>
        <v>отнесение процентов на стоимость основных средств</v>
      </c>
      <c r="B1100" t="s">
        <v>592</v>
      </c>
      <c r="C1100" t="s">
        <v>2086</v>
      </c>
    </row>
    <row r="1101" spans="1:3" x14ac:dyDescent="0.2">
      <c r="A1101" t="str">
        <f t="shared" ca="1" si="18"/>
        <v>незавершенные инвестиции</v>
      </c>
      <c r="B1101" t="s">
        <v>307</v>
      </c>
      <c r="C1101" t="s">
        <v>2000</v>
      </c>
    </row>
    <row r="1102" spans="1:3" x14ac:dyDescent="0.2">
      <c r="A1102" t="str">
        <f t="shared" ca="1" si="18"/>
        <v>проценты в стоимости основных средств</v>
      </c>
      <c r="B1102" t="s">
        <v>1544</v>
      </c>
      <c r="C1102" t="s">
        <v>2087</v>
      </c>
    </row>
    <row r="1103" spans="1:3" x14ac:dyDescent="0.2">
      <c r="A1103" t="str">
        <f t="shared" ca="1" si="18"/>
        <v>период ввода основных средств</v>
      </c>
      <c r="B1103" t="s">
        <v>593</v>
      </c>
      <c r="C1103" t="s">
        <v>2088</v>
      </c>
    </row>
    <row r="1104" spans="1:3" x14ac:dyDescent="0.2">
      <c r="A1104" t="str">
        <f t="shared" ca="1" si="18"/>
        <v>срок амортизации основных средств</v>
      </c>
      <c r="B1104" t="s">
        <v>594</v>
      </c>
      <c r="C1104" t="s">
        <v>1718</v>
      </c>
    </row>
    <row r="1105" spans="1:3" x14ac:dyDescent="0.2">
      <c r="A1105" t="str">
        <f t="shared" ca="1" si="18"/>
        <v>списание процентов на затраты</v>
      </c>
      <c r="B1105" t="s">
        <v>595</v>
      </c>
      <c r="C1105" t="s">
        <v>2089</v>
      </c>
    </row>
    <row r="1106" spans="1:3" x14ac:dyDescent="0.2">
      <c r="A1106" t="str">
        <f t="shared" ca="1" si="18"/>
        <v>балансовая стоимость</v>
      </c>
      <c r="B1106" t="s">
        <v>309</v>
      </c>
      <c r="C1106" t="s">
        <v>1720</v>
      </c>
    </row>
    <row r="1107" spans="1:3" x14ac:dyDescent="0.2">
      <c r="A1107" t="str">
        <f t="shared" ca="1" si="18"/>
        <v>Шаблон краткосрочного кредита</v>
      </c>
      <c r="B1107" t="s">
        <v>597</v>
      </c>
      <c r="C1107" t="s">
        <v>1724</v>
      </c>
    </row>
    <row r="1108" spans="1:3" x14ac:dyDescent="0.2">
      <c r="A1108" t="str">
        <f t="shared" ca="1" si="18"/>
        <v>ставка процентов по кредиту</v>
      </c>
      <c r="B1108" t="s">
        <v>583</v>
      </c>
      <c r="C1108" t="s">
        <v>1726</v>
      </c>
    </row>
    <row r="1109" spans="1:3" x14ac:dyDescent="0.2">
      <c r="A1109" t="str">
        <f t="shared" ca="1" si="18"/>
        <v>отсрочка выплаты процентов</v>
      </c>
      <c r="B1109" t="s">
        <v>584</v>
      </c>
      <c r="C1109" t="s">
        <v>2082</v>
      </c>
    </row>
    <row r="1110" spans="1:3" x14ac:dyDescent="0.2">
      <c r="A1110" t="str">
        <f t="shared" ca="1" si="18"/>
        <v>капитализация невыплаченных процентов</v>
      </c>
      <c r="B1110" t="s">
        <v>585</v>
      </c>
      <c r="C1110" t="s">
        <v>2083</v>
      </c>
    </row>
    <row r="1111" spans="1:3" x14ac:dyDescent="0.2">
      <c r="A1111" t="str">
        <f t="shared" ca="1" si="18"/>
        <v>поступление денег от кредита</v>
      </c>
      <c r="B1111" t="s">
        <v>586</v>
      </c>
      <c r="C1111" t="s">
        <v>2084</v>
      </c>
    </row>
    <row r="1112" spans="1:3" x14ac:dyDescent="0.2">
      <c r="A1112" t="str">
        <f t="shared" ca="1" si="18"/>
        <v>погашение кредита</v>
      </c>
      <c r="B1112" t="s">
        <v>587</v>
      </c>
      <c r="C1112" t="s">
        <v>1727</v>
      </c>
    </row>
    <row r="1113" spans="1:3" x14ac:dyDescent="0.2">
      <c r="A1113" t="str">
        <f t="shared" ca="1" si="18"/>
        <v>задолженность по кредиту</v>
      </c>
      <c r="B1113" t="s">
        <v>590</v>
      </c>
      <c r="C1113" t="s">
        <v>1728</v>
      </c>
    </row>
    <row r="1114" spans="1:3" x14ac:dyDescent="0.2">
      <c r="A1114" t="str">
        <f t="shared" ca="1" si="18"/>
        <v>начисленные проценты</v>
      </c>
      <c r="B1114" t="s">
        <v>588</v>
      </c>
      <c r="C1114" t="s">
        <v>1729</v>
      </c>
    </row>
    <row r="1115" spans="1:3" x14ac:dyDescent="0.2">
      <c r="A1115" t="str">
        <f t="shared" ca="1" si="18"/>
        <v>выплаченные проценты</v>
      </c>
      <c r="B1115" t="s">
        <v>589</v>
      </c>
      <c r="C1115" t="s">
        <v>1730</v>
      </c>
    </row>
    <row r="1116" spans="1:3" x14ac:dyDescent="0.2">
      <c r="A1116" t="str">
        <f t="shared" ca="1" si="18"/>
        <v>период начала кредитования</v>
      </c>
      <c r="B1116" t="s">
        <v>591</v>
      </c>
      <c r="C1116" t="s">
        <v>2085</v>
      </c>
    </row>
    <row r="1117" spans="1:3" x14ac:dyDescent="0.2">
      <c r="A1117" t="str">
        <f t="shared" ca="1" si="18"/>
        <v>Долгосрочные кредиты</v>
      </c>
      <c r="B1117" t="s">
        <v>581</v>
      </c>
      <c r="C1117" t="s">
        <v>1700</v>
      </c>
    </row>
    <row r="1118" spans="1:3" x14ac:dyDescent="0.2">
      <c r="A1118" t="str">
        <f t="shared" ca="1" si="18"/>
        <v>Краткосрочные кредиты</v>
      </c>
      <c r="B1118" t="s">
        <v>582</v>
      </c>
      <c r="C1118" t="s">
        <v>1697</v>
      </c>
    </row>
    <row r="1119" spans="1:3" x14ac:dyDescent="0.2">
      <c r="A1119" t="str">
        <f t="shared" ca="1" si="18"/>
        <v>Итого: Задолженность на конец периода</v>
      </c>
      <c r="B1119" t="s">
        <v>1045</v>
      </c>
      <c r="C1119" t="s">
        <v>2090</v>
      </c>
    </row>
    <row r="1120" spans="1:3" x14ac:dyDescent="0.2">
      <c r="A1120" t="str">
        <f t="shared" ca="1" si="18"/>
        <v>Поступления кредитов</v>
      </c>
      <c r="B1120" t="s">
        <v>745</v>
      </c>
      <c r="C1120" t="s">
        <v>2091</v>
      </c>
    </row>
    <row r="1121" spans="1:3" x14ac:dyDescent="0.2">
      <c r="A1121" t="str">
        <f t="shared" ca="1" si="18"/>
        <v>Выплата основного долга</v>
      </c>
      <c r="B1121" t="s">
        <v>1035</v>
      </c>
      <c r="C1121" t="s">
        <v>1733</v>
      </c>
    </row>
    <row r="1122" spans="1:3" x14ac:dyDescent="0.2">
      <c r="A1122" t="str">
        <f t="shared" ca="1" si="18"/>
        <v>Проценты начисленные</v>
      </c>
      <c r="B1122" t="s">
        <v>1036</v>
      </c>
      <c r="C1122" t="s">
        <v>1734</v>
      </c>
    </row>
    <row r="1123" spans="1:3" x14ac:dyDescent="0.2">
      <c r="A1123" t="str">
        <f t="shared" ca="1" si="18"/>
        <v>Проценты уплаченные</v>
      </c>
      <c r="B1123" t="s">
        <v>1037</v>
      </c>
      <c r="C1123" t="s">
        <v>1735</v>
      </c>
    </row>
    <row r="1124" spans="1:3" x14ac:dyDescent="0.2">
      <c r="A1124" t="str">
        <f t="shared" ca="1" si="18"/>
        <v>Долгосрочные кредиты на конец периода</v>
      </c>
      <c r="B1124" t="s">
        <v>1038</v>
      </c>
      <c r="C1124" t="s">
        <v>1738</v>
      </c>
    </row>
    <row r="1125" spans="1:3" x14ac:dyDescent="0.2">
      <c r="A1125" t="str">
        <f t="shared" ca="1" si="18"/>
        <v>Краткосрочные кредиты на конец периода</v>
      </c>
      <c r="B1125" t="s">
        <v>1039</v>
      </c>
      <c r="C1125" t="s">
        <v>1739</v>
      </c>
    </row>
    <row r="1126" spans="1:3" x14ac:dyDescent="0.2">
      <c r="A1126" t="str">
        <f t="shared" ca="1" si="18"/>
        <v>Отнесение процентов на стоимость основных средств</v>
      </c>
      <c r="B1126" t="s">
        <v>1548</v>
      </c>
      <c r="C1126" t="s">
        <v>2092</v>
      </c>
    </row>
    <row r="1127" spans="1:3" x14ac:dyDescent="0.2">
      <c r="A1127" t="str">
        <f t="shared" ca="1" si="18"/>
        <v>Незавершенные инвестиции</v>
      </c>
      <c r="B1127" s="2" t="s">
        <v>1549</v>
      </c>
      <c r="C1127" t="s">
        <v>1688</v>
      </c>
    </row>
    <row r="1128" spans="1:3" x14ac:dyDescent="0.2">
      <c r="A1128" t="str">
        <f t="shared" ca="1" si="18"/>
        <v>Балансовая стоимость процентов в основных средствах</v>
      </c>
      <c r="B1128" t="s">
        <v>1545</v>
      </c>
      <c r="C1128" t="s">
        <v>2093</v>
      </c>
    </row>
    <row r="1129" spans="1:3" x14ac:dyDescent="0.2">
      <c r="A1129" t="str">
        <f t="shared" ca="1" si="18"/>
        <v>Амортизация процентов в основных средствах</v>
      </c>
      <c r="B1129" t="s">
        <v>1043</v>
      </c>
      <c r="C1129" t="s">
        <v>2094</v>
      </c>
    </row>
    <row r="1130" spans="1:3" x14ac:dyDescent="0.2">
      <c r="A1130" t="str">
        <f t="shared" ca="1" si="18"/>
        <v>Курсовые разницы</v>
      </c>
      <c r="B1130" t="s">
        <v>1250</v>
      </c>
      <c r="C1130" t="s">
        <v>1740</v>
      </c>
    </row>
    <row r="1131" spans="1:3" x14ac:dyDescent="0.2">
      <c r="A1131" t="str">
        <f t="shared" ca="1" si="18"/>
        <v>Справочно: Остаток денег на счете</v>
      </c>
      <c r="B1131" t="s">
        <v>1199</v>
      </c>
      <c r="C1131" t="s">
        <v>1789</v>
      </c>
    </row>
    <row r="1132" spans="1:3" x14ac:dyDescent="0.2">
      <c r="A1132" t="str">
        <f t="shared" ca="1" si="18"/>
        <v>Покрытие выплаты долга, DSCR</v>
      </c>
      <c r="B1132" t="s">
        <v>684</v>
      </c>
      <c r="C1132" t="s">
        <v>1795</v>
      </c>
    </row>
    <row r="1133" spans="1:3" x14ac:dyDescent="0.2">
      <c r="A1133" s="24" t="str">
        <f t="shared" ca="1" si="18"/>
        <v>НАЛОГОВЫЕ ПЛАТЕЖИ</v>
      </c>
      <c r="B1133" t="s">
        <v>777</v>
      </c>
      <c r="C1133" t="s">
        <v>1841</v>
      </c>
    </row>
    <row r="1134" spans="1:3" x14ac:dyDescent="0.2">
      <c r="A1134" t="str">
        <f t="shared" ca="1" si="18"/>
        <v>Акцизы на проданные товары</v>
      </c>
      <c r="B1134" t="s">
        <v>1002</v>
      </c>
      <c r="C1134" t="s">
        <v>2095</v>
      </c>
    </row>
    <row r="1135" spans="1:3" x14ac:dyDescent="0.2">
      <c r="A1135" t="str">
        <f t="shared" ca="1" si="18"/>
        <v>Импортная пошлина на сырье и материалы</v>
      </c>
      <c r="B1135" t="s">
        <v>1229</v>
      </c>
      <c r="C1135" t="s">
        <v>2096</v>
      </c>
    </row>
    <row r="1136" spans="1:3" x14ac:dyDescent="0.2">
      <c r="A1136" t="str">
        <f t="shared" ca="1" si="18"/>
        <v>Импортная пошлина на оборудование</v>
      </c>
      <c r="B1136" t="s">
        <v>1200</v>
      </c>
      <c r="C1136" t="s">
        <v>2097</v>
      </c>
    </row>
    <row r="1137" spans="1:3" x14ac:dyDescent="0.2">
      <c r="A1137" t="str">
        <f t="shared" ca="1" si="18"/>
        <v>Начисленный НДС</v>
      </c>
      <c r="B1137" t="s">
        <v>1204</v>
      </c>
      <c r="C1137" t="s">
        <v>1904</v>
      </c>
    </row>
    <row r="1138" spans="1:3" x14ac:dyDescent="0.2">
      <c r="A1138" t="str">
        <f t="shared" ca="1" si="18"/>
        <v>задолженность по налогу</v>
      </c>
      <c r="B1138" t="s">
        <v>1231</v>
      </c>
      <c r="C1138" t="s">
        <v>2098</v>
      </c>
    </row>
    <row r="1139" spans="1:3" x14ac:dyDescent="0.2">
      <c r="A1139" t="str">
        <f t="shared" ca="1" si="18"/>
        <v>уплаченный НДС</v>
      </c>
      <c r="B1139" t="s">
        <v>1230</v>
      </c>
      <c r="C1139" t="s">
        <v>1679</v>
      </c>
    </row>
    <row r="1140" spans="1:3" x14ac:dyDescent="0.2">
      <c r="A1140" t="str">
        <f t="shared" ca="1" si="18"/>
        <v>НДС полученный с доходами от продаж</v>
      </c>
      <c r="B1140" t="s">
        <v>1159</v>
      </c>
      <c r="C1140" t="s">
        <v>2099</v>
      </c>
    </row>
    <row r="1141" spans="1:3" x14ac:dyDescent="0.2">
      <c r="A1141" t="str">
        <f t="shared" ca="1" si="18"/>
        <v>НДС полученный при продаже основных средств</v>
      </c>
      <c r="B1141" t="s">
        <v>1158</v>
      </c>
      <c r="C1141" t="s">
        <v>2100</v>
      </c>
    </row>
    <row r="1142" spans="1:3" x14ac:dyDescent="0.2">
      <c r="A1142" t="str">
        <f t="shared" ca="1" si="18"/>
        <v>НДС уплаченный на сырье и материалы</v>
      </c>
      <c r="B1142" t="s">
        <v>1000</v>
      </c>
      <c r="C1142" t="s">
        <v>2101</v>
      </c>
    </row>
    <row r="1143" spans="1:3" x14ac:dyDescent="0.2">
      <c r="A1143" t="str">
        <f t="shared" ca="1" si="18"/>
        <v>НДС уплаченный с постоянными издержками</v>
      </c>
      <c r="B1143" t="s">
        <v>1025</v>
      </c>
      <c r="C1143" t="s">
        <v>2102</v>
      </c>
    </row>
    <row r="1144" spans="1:3" x14ac:dyDescent="0.2">
      <c r="A1144" t="str">
        <f t="shared" ca="1" si="18"/>
        <v>НДС уплаченный по финансовой аренде</v>
      </c>
      <c r="B1144" t="s">
        <v>1227</v>
      </c>
      <c r="C1144" t="s">
        <v>2103</v>
      </c>
    </row>
    <row r="1145" spans="1:3" x14ac:dyDescent="0.2">
      <c r="A1145" t="str">
        <f t="shared" ca="1" si="18"/>
        <v>НДС уплаченный по инвестициям</v>
      </c>
      <c r="B1145" t="s">
        <v>1201</v>
      </c>
      <c r="C1145" t="s">
        <v>2104</v>
      </c>
    </row>
    <row r="1146" spans="1:3" x14ac:dyDescent="0.2">
      <c r="A1146" t="str">
        <f t="shared" ca="1" si="18"/>
        <v>НДС зачтенный по финансовой аренде</v>
      </c>
      <c r="B1146" t="s">
        <v>1228</v>
      </c>
      <c r="C1146" t="s">
        <v>2105</v>
      </c>
    </row>
    <row r="1147" spans="1:3" x14ac:dyDescent="0.2">
      <c r="A1147" t="str">
        <f t="shared" ca="1" si="18"/>
        <v>НДС зачтенный по инвестициям</v>
      </c>
      <c r="B1147" t="s">
        <v>1202</v>
      </c>
      <c r="C1147" t="s">
        <v>2106</v>
      </c>
    </row>
    <row r="1148" spans="1:3" x14ac:dyDescent="0.2">
      <c r="A1148" t="str">
        <f t="shared" ca="1" si="18"/>
        <v>Зачет НДС из активов стартового баланса</v>
      </c>
      <c r="B1148" t="s">
        <v>1267</v>
      </c>
      <c r="C1148" t="s">
        <v>2107</v>
      </c>
    </row>
    <row r="1149" spans="1:3" x14ac:dyDescent="0.2">
      <c r="A1149" t="str">
        <f t="shared" ca="1" si="18"/>
        <v>Итого, баланс расчетов по НДС</v>
      </c>
      <c r="B1149" t="s">
        <v>1001</v>
      </c>
      <c r="C1149" t="s">
        <v>2108</v>
      </c>
    </row>
    <row r="1150" spans="1:3" x14ac:dyDescent="0.2">
      <c r="A1150" t="str">
        <f t="shared" ca="1" si="18"/>
        <v>НДС как актив по инвестициям</v>
      </c>
      <c r="B1150" t="s">
        <v>1205</v>
      </c>
      <c r="C1150" t="s">
        <v>2109</v>
      </c>
    </row>
    <row r="1151" spans="1:3" x14ac:dyDescent="0.2">
      <c r="A1151" t="str">
        <f t="shared" ca="1" si="18"/>
        <v>Отложенный возврат НДС</v>
      </c>
      <c r="B1151" t="s">
        <v>1203</v>
      </c>
      <c r="C1151" t="s">
        <v>2110</v>
      </c>
    </row>
    <row r="1152" spans="1:3" x14ac:dyDescent="0.2">
      <c r="A1152" t="str">
        <f t="shared" ca="1" si="18"/>
        <v>Начисленный налог на имущество</v>
      </c>
      <c r="B1152" t="s">
        <v>1162</v>
      </c>
      <c r="C1152" t="s">
        <v>2111</v>
      </c>
    </row>
    <row r="1153" spans="1:3" x14ac:dyDescent="0.2">
      <c r="A1153" t="str">
        <f t="shared" ca="1" si="18"/>
        <v>задолженность по налогу</v>
      </c>
      <c r="B1153" t="s">
        <v>1231</v>
      </c>
      <c r="C1153" t="s">
        <v>2112</v>
      </c>
    </row>
    <row r="1154" spans="1:3" x14ac:dyDescent="0.2">
      <c r="A1154" t="str">
        <f t="shared" ca="1" si="18"/>
        <v>уплаченный налог на имущество</v>
      </c>
      <c r="B1154" t="s">
        <v>1234</v>
      </c>
      <c r="C1154" t="s">
        <v>2113</v>
      </c>
    </row>
    <row r="1155" spans="1:3" x14ac:dyDescent="0.2">
      <c r="A1155" t="str">
        <f t="shared" ca="1" si="18"/>
        <v>Средняя стоимость зданий и сооружений</v>
      </c>
      <c r="B1155" t="s">
        <v>1160</v>
      </c>
      <c r="C1155" t="s">
        <v>2114</v>
      </c>
    </row>
    <row r="1156" spans="1:3" x14ac:dyDescent="0.2">
      <c r="A1156" t="str">
        <f t="shared" ca="1" si="18"/>
        <v>в том числе, не облагаемых налогом</v>
      </c>
      <c r="B1156" t="s">
        <v>1531</v>
      </c>
      <c r="C1156" t="s">
        <v>2115</v>
      </c>
    </row>
    <row r="1157" spans="1:3" x14ac:dyDescent="0.2">
      <c r="A1157" t="str">
        <f t="shared" ca="1" si="18"/>
        <v>Средняя стоимость оборудования</v>
      </c>
      <c r="B1157" t="s">
        <v>1161</v>
      </c>
      <c r="C1157" t="s">
        <v>2116</v>
      </c>
    </row>
    <row r="1158" spans="1:3" x14ac:dyDescent="0.2">
      <c r="A1158" t="str">
        <f t="shared" ca="1" si="18"/>
        <v>в том числе, не облагаемого налогом</v>
      </c>
      <c r="B1158" t="s">
        <v>1532</v>
      </c>
      <c r="C1158" t="s">
        <v>2115</v>
      </c>
    </row>
    <row r="1159" spans="1:3" x14ac:dyDescent="0.2">
      <c r="A1159" t="str">
        <f t="shared" ca="1" si="18"/>
        <v>Начисленные социальные взносы</v>
      </c>
      <c r="B1159" t="s">
        <v>1206</v>
      </c>
      <c r="C1159" t="s">
        <v>2117</v>
      </c>
    </row>
    <row r="1160" spans="1:3" x14ac:dyDescent="0.2">
      <c r="A1160" t="str">
        <f t="shared" ca="1" si="18"/>
        <v>задолженность по взносам</v>
      </c>
      <c r="B1160" t="s">
        <v>1235</v>
      </c>
      <c r="C1160" t="s">
        <v>2118</v>
      </c>
    </row>
    <row r="1161" spans="1:3" x14ac:dyDescent="0.2">
      <c r="A1161" t="str">
        <f t="shared" ref="A1161:A1224" ca="1" si="19">OFFSET(A1161,0,Prj_Language)</f>
        <v>уплаченные социальные взносы</v>
      </c>
      <c r="B1161" t="s">
        <v>1236</v>
      </c>
      <c r="C1161" t="s">
        <v>2119</v>
      </c>
    </row>
    <row r="1162" spans="1:3" x14ac:dyDescent="0.2">
      <c r="A1162" t="str">
        <f t="shared" ca="1" si="19"/>
        <v>Начисленный налог на прибыль</v>
      </c>
      <c r="B1162" t="s">
        <v>1220</v>
      </c>
      <c r="C1162" t="s">
        <v>2120</v>
      </c>
    </row>
    <row r="1163" spans="1:3" x14ac:dyDescent="0.2">
      <c r="A1163" t="str">
        <f t="shared" ca="1" si="19"/>
        <v>задолженность по налогу</v>
      </c>
      <c r="B1163" t="s">
        <v>1231</v>
      </c>
      <c r="C1163" t="s">
        <v>2121</v>
      </c>
    </row>
    <row r="1164" spans="1:3" x14ac:dyDescent="0.2">
      <c r="A1164" t="str">
        <f t="shared" ca="1" si="19"/>
        <v>уплаченный налог на прибыль</v>
      </c>
      <c r="B1164" t="s">
        <v>1238</v>
      </c>
      <c r="C1164" t="s">
        <v>2122</v>
      </c>
    </row>
    <row r="1165" spans="1:3" x14ac:dyDescent="0.2">
      <c r="A1165" t="str">
        <f t="shared" ca="1" si="19"/>
        <v>Прибыль до налогообложения</v>
      </c>
      <c r="B1165" t="s">
        <v>665</v>
      </c>
      <c r="C1165" t="s">
        <v>1762</v>
      </c>
    </row>
    <row r="1166" spans="1:3" x14ac:dyDescent="0.2">
      <c r="A1166" t="str">
        <f t="shared" ca="1" si="19"/>
        <v>Доходы, не облагаемые налогом</v>
      </c>
      <c r="B1166" t="s">
        <v>1221</v>
      </c>
      <c r="C1166" t="s">
        <v>2123</v>
      </c>
    </row>
    <row r="1167" spans="1:3" x14ac:dyDescent="0.2">
      <c r="A1167" t="str">
        <f t="shared" ca="1" si="19"/>
        <v>Убытки предыдущих периодов</v>
      </c>
      <c r="B1167" t="s">
        <v>1222</v>
      </c>
      <c r="C1167" t="s">
        <v>2124</v>
      </c>
    </row>
    <row r="1168" spans="1:3" x14ac:dyDescent="0.2">
      <c r="A1168" t="str">
        <f t="shared" ca="1" si="19"/>
        <v>Списание убытков предыдущих периодов</v>
      </c>
      <c r="B1168" t="s">
        <v>1223</v>
      </c>
      <c r="C1168" t="s">
        <v>2125</v>
      </c>
    </row>
    <row r="1169" spans="1:3" x14ac:dyDescent="0.2">
      <c r="A1169" t="str">
        <f t="shared" ca="1" si="19"/>
        <v>Прибыль для налогообложения</v>
      </c>
      <c r="B1169" t="s">
        <v>1224</v>
      </c>
      <c r="C1169" t="s">
        <v>2126</v>
      </c>
    </row>
    <row r="1170" spans="1:3" x14ac:dyDescent="0.2">
      <c r="A1170" t="str">
        <f t="shared" ca="1" si="19"/>
        <v>Начисленный налог с оборота (УСН)</v>
      </c>
      <c r="B1170" t="s">
        <v>1225</v>
      </c>
      <c r="C1170" t="s">
        <v>2127</v>
      </c>
    </row>
    <row r="1171" spans="1:3" x14ac:dyDescent="0.2">
      <c r="A1171" t="str">
        <f t="shared" ca="1" si="19"/>
        <v>задолженность по налогу</v>
      </c>
      <c r="B1171" t="s">
        <v>1231</v>
      </c>
      <c r="C1171" t="s">
        <v>2128</v>
      </c>
    </row>
    <row r="1172" spans="1:3" x14ac:dyDescent="0.2">
      <c r="A1172" t="str">
        <f t="shared" ca="1" si="19"/>
        <v>уплаченный налог с оборота</v>
      </c>
      <c r="B1172" t="s">
        <v>1239</v>
      </c>
      <c r="C1172" t="s">
        <v>2129</v>
      </c>
    </row>
    <row r="1173" spans="1:3" x14ac:dyDescent="0.2">
      <c r="A1173" t="str">
        <f t="shared" ca="1" si="19"/>
        <v>Облагаемая база</v>
      </c>
      <c r="B1173" t="s">
        <v>1226</v>
      </c>
      <c r="C1173" t="s">
        <v>2130</v>
      </c>
    </row>
    <row r="1174" spans="1:3" x14ac:dyDescent="0.2">
      <c r="A1174" t="str">
        <f t="shared" ca="1" si="19"/>
        <v>Начисленный налог с дохода минус расходы (УСН)</v>
      </c>
      <c r="B1174" t="s">
        <v>1533</v>
      </c>
      <c r="C1174" t="s">
        <v>2131</v>
      </c>
    </row>
    <row r="1175" spans="1:3" x14ac:dyDescent="0.2">
      <c r="A1175" t="str">
        <f t="shared" ca="1" si="19"/>
        <v>задолженность по налогу</v>
      </c>
      <c r="B1175" t="s">
        <v>1231</v>
      </c>
      <c r="C1175" t="s">
        <v>2112</v>
      </c>
    </row>
    <row r="1176" spans="1:3" x14ac:dyDescent="0.2">
      <c r="A1176" t="str">
        <f t="shared" ca="1" si="19"/>
        <v>уплаченный налог с дохода, уменьшенного на расходы</v>
      </c>
      <c r="B1176" t="s">
        <v>1240</v>
      </c>
      <c r="C1176" t="s">
        <v>2132</v>
      </c>
    </row>
    <row r="1177" spans="1:3" x14ac:dyDescent="0.2">
      <c r="A1177" t="str">
        <f t="shared" ca="1" si="19"/>
        <v>Облагаемая база до списания убытков</v>
      </c>
      <c r="B1177" t="s">
        <v>1241</v>
      </c>
      <c r="C1177" t="s">
        <v>2133</v>
      </c>
    </row>
    <row r="1178" spans="1:3" x14ac:dyDescent="0.2">
      <c r="A1178" t="str">
        <f t="shared" ca="1" si="19"/>
        <v>Убытки предыдущих периодов</v>
      </c>
      <c r="B1178" t="s">
        <v>1222</v>
      </c>
      <c r="C1178" t="s">
        <v>2124</v>
      </c>
    </row>
    <row r="1179" spans="1:3" x14ac:dyDescent="0.2">
      <c r="A1179" t="str">
        <f t="shared" ca="1" si="19"/>
        <v>Списание убытков предыдущих периодов</v>
      </c>
      <c r="B1179" t="s">
        <v>1223</v>
      </c>
      <c r="C1179" t="s">
        <v>2134</v>
      </c>
    </row>
    <row r="1180" spans="1:3" x14ac:dyDescent="0.2">
      <c r="A1180" t="str">
        <f t="shared" ca="1" si="19"/>
        <v>Облагаемая база</v>
      </c>
      <c r="B1180" t="s">
        <v>1226</v>
      </c>
      <c r="C1180" t="s">
        <v>2126</v>
      </c>
    </row>
    <row r="1181" spans="1:3" x14ac:dyDescent="0.2">
      <c r="A1181" t="str">
        <f t="shared" ca="1" si="19"/>
        <v>Минимальный налог (% от доходов)</v>
      </c>
      <c r="B1181" t="s">
        <v>1242</v>
      </c>
      <c r="C1181" t="s">
        <v>2135</v>
      </c>
    </row>
    <row r="1182" spans="1:3" x14ac:dyDescent="0.2">
      <c r="A1182" t="str">
        <f t="shared" ca="1" si="19"/>
        <v>Начисленные налоговые платежи</v>
      </c>
      <c r="B1182" t="s">
        <v>1232</v>
      </c>
      <c r="C1182" t="s">
        <v>2136</v>
      </c>
    </row>
    <row r="1183" spans="1:3" x14ac:dyDescent="0.2">
      <c r="A1183" t="str">
        <f t="shared" ca="1" si="19"/>
        <v>Уплаченные налоговые платежи</v>
      </c>
      <c r="B1183" t="s">
        <v>1233</v>
      </c>
      <c r="C1183" t="s">
        <v>2137</v>
      </c>
    </row>
    <row r="1184" spans="1:3" x14ac:dyDescent="0.2">
      <c r="A1184" t="str">
        <f t="shared" ca="1" si="19"/>
        <v>Задолженность перед бюджетом и фондами</v>
      </c>
      <c r="B1184" t="s">
        <v>2138</v>
      </c>
      <c r="C1184" t="s">
        <v>1694</v>
      </c>
    </row>
    <row r="1185" spans="1:3" x14ac:dyDescent="0.2">
      <c r="A1185" t="str">
        <f t="shared" ca="1" si="19"/>
        <v>Результаты</v>
      </c>
      <c r="B1185" t="s">
        <v>89</v>
      </c>
      <c r="C1185" t="s">
        <v>121</v>
      </c>
    </row>
    <row r="1186" spans="1:3" x14ac:dyDescent="0.2">
      <c r="A1186" s="24" t="str">
        <f t="shared" ca="1" si="19"/>
        <v>ОТЧЕТ О ПРИБЫЛЯХ И УБЫТКАХ</v>
      </c>
      <c r="B1186" t="s">
        <v>658</v>
      </c>
      <c r="C1186" t="s">
        <v>1745</v>
      </c>
    </row>
    <row r="1187" spans="1:3" x14ac:dyDescent="0.2">
      <c r="A1187" t="str">
        <f t="shared" ca="1" si="19"/>
        <v>Выручка</v>
      </c>
      <c r="B1187" t="s">
        <v>659</v>
      </c>
      <c r="C1187" t="s">
        <v>1746</v>
      </c>
    </row>
    <row r="1188" spans="1:3" x14ac:dyDescent="0.2">
      <c r="A1188" t="str">
        <f t="shared" ca="1" si="19"/>
        <v>Себестоимость:</v>
      </c>
      <c r="B1188" t="s">
        <v>660</v>
      </c>
      <c r="C1188" t="s">
        <v>1747</v>
      </c>
    </row>
    <row r="1189" spans="1:3" x14ac:dyDescent="0.2">
      <c r="A1189" t="str">
        <f t="shared" ca="1" si="19"/>
        <v>сырье и материалы</v>
      </c>
      <c r="B1189" t="s">
        <v>731</v>
      </c>
      <c r="C1189" t="s">
        <v>1748</v>
      </c>
    </row>
    <row r="1190" spans="1:3" x14ac:dyDescent="0.2">
      <c r="A1190" t="str">
        <f t="shared" ca="1" si="19"/>
        <v>производственный персонал</v>
      </c>
      <c r="B1190" t="s">
        <v>1023</v>
      </c>
      <c r="C1190" t="s">
        <v>1749</v>
      </c>
    </row>
    <row r="1191" spans="1:3" x14ac:dyDescent="0.2">
      <c r="A1191" t="str">
        <f t="shared" ca="1" si="19"/>
        <v>прочие производственные расходы</v>
      </c>
      <c r="B1191" t="s">
        <v>732</v>
      </c>
      <c r="C1191" t="s">
        <v>1750</v>
      </c>
    </row>
    <row r="1192" spans="1:3" x14ac:dyDescent="0.2">
      <c r="A1192" t="str">
        <f t="shared" ca="1" si="19"/>
        <v>Суммарная себестоимость</v>
      </c>
      <c r="B1192" t="s">
        <v>661</v>
      </c>
      <c r="C1192" t="s">
        <v>1751</v>
      </c>
    </row>
    <row r="1193" spans="1:3" x14ac:dyDescent="0.2">
      <c r="A1193" t="str">
        <f t="shared" ca="1" si="19"/>
        <v>Валовая прибыль</v>
      </c>
      <c r="B1193" t="s">
        <v>662</v>
      </c>
      <c r="C1193" t="s">
        <v>1752</v>
      </c>
    </row>
    <row r="1194" spans="1:3" x14ac:dyDescent="0.2">
      <c r="A1194" t="str">
        <f t="shared" ca="1" si="19"/>
        <v>Административный и коммерческий персонал</v>
      </c>
      <c r="B1194" t="s">
        <v>1024</v>
      </c>
      <c r="C1194" t="s">
        <v>1753</v>
      </c>
    </row>
    <row r="1195" spans="1:3" x14ac:dyDescent="0.2">
      <c r="A1195" t="str">
        <f t="shared" ca="1" si="19"/>
        <v>Административные расходы</v>
      </c>
      <c r="B1195" t="s">
        <v>733</v>
      </c>
      <c r="C1195" t="s">
        <v>1623</v>
      </c>
    </row>
    <row r="1196" spans="1:3" x14ac:dyDescent="0.2">
      <c r="A1196" t="str">
        <f t="shared" ca="1" si="19"/>
        <v>Коммерческие расходы</v>
      </c>
      <c r="B1196" t="s">
        <v>734</v>
      </c>
      <c r="C1196" t="s">
        <v>1624</v>
      </c>
    </row>
    <row r="1197" spans="1:3" x14ac:dyDescent="0.2">
      <c r="A1197" t="str">
        <f t="shared" ca="1" si="19"/>
        <v>Налоги и сборы</v>
      </c>
      <c r="B1197" t="s">
        <v>735</v>
      </c>
      <c r="C1197" t="s">
        <v>1754</v>
      </c>
    </row>
    <row r="1198" spans="1:3" x14ac:dyDescent="0.2">
      <c r="A1198" t="str">
        <f t="shared" ca="1" si="19"/>
        <v>EBITDA</v>
      </c>
      <c r="B1198" t="s">
        <v>663</v>
      </c>
      <c r="C1198" t="s">
        <v>663</v>
      </c>
    </row>
    <row r="1199" spans="1:3" x14ac:dyDescent="0.2">
      <c r="A1199" t="str">
        <f t="shared" ca="1" si="19"/>
        <v>Лизинговые платежи</v>
      </c>
      <c r="B1199" t="s">
        <v>736</v>
      </c>
      <c r="C1199" t="s">
        <v>1755</v>
      </c>
    </row>
    <row r="1200" spans="1:3" x14ac:dyDescent="0.2">
      <c r="A1200" t="str">
        <f t="shared" ca="1" si="19"/>
        <v>Амортизация</v>
      </c>
      <c r="B1200" t="s">
        <v>737</v>
      </c>
      <c r="C1200" t="s">
        <v>1756</v>
      </c>
    </row>
    <row r="1201" spans="1:3" x14ac:dyDescent="0.2">
      <c r="A1201" t="str">
        <f t="shared" ca="1" si="19"/>
        <v>Проценты к уплате</v>
      </c>
      <c r="B1201" t="s">
        <v>958</v>
      </c>
      <c r="C1201" t="s">
        <v>1757</v>
      </c>
    </row>
    <row r="1202" spans="1:3" x14ac:dyDescent="0.2">
      <c r="A1202" t="str">
        <f t="shared" ca="1" si="19"/>
        <v>Прибыль (убыток) от операционной деятельности</v>
      </c>
      <c r="B1202" t="s">
        <v>664</v>
      </c>
      <c r="C1202" t="s">
        <v>1758</v>
      </c>
    </row>
    <row r="1203" spans="1:3" x14ac:dyDescent="0.2">
      <c r="A1203" t="str">
        <f t="shared" ca="1" si="19"/>
        <v>Доходы от реализации внеоборотных активов</v>
      </c>
      <c r="B1203" t="s">
        <v>738</v>
      </c>
      <c r="C1203" t="s">
        <v>1759</v>
      </c>
    </row>
    <row r="1204" spans="1:3" x14ac:dyDescent="0.2">
      <c r="A1204" t="str">
        <f t="shared" ca="1" si="19"/>
        <v>Курсовые разницы</v>
      </c>
      <c r="B1204" t="s">
        <v>1250</v>
      </c>
      <c r="C1204" t="s">
        <v>1740</v>
      </c>
    </row>
    <row r="1205" spans="1:3" x14ac:dyDescent="0.2">
      <c r="A1205" t="str">
        <f t="shared" ca="1" si="19"/>
        <v>Прочие доходы</v>
      </c>
      <c r="B1205" t="s">
        <v>739</v>
      </c>
      <c r="C1205" t="s">
        <v>1760</v>
      </c>
    </row>
    <row r="1206" spans="1:3" x14ac:dyDescent="0.2">
      <c r="A1206" t="str">
        <f t="shared" ca="1" si="19"/>
        <v>Прочие расходы</v>
      </c>
      <c r="B1206" t="s">
        <v>740</v>
      </c>
      <c r="C1206" t="s">
        <v>1761</v>
      </c>
    </row>
    <row r="1207" spans="1:3" x14ac:dyDescent="0.2">
      <c r="A1207" t="str">
        <f t="shared" ca="1" si="19"/>
        <v>Прибыль до налогообложения</v>
      </c>
      <c r="B1207" t="s">
        <v>665</v>
      </c>
      <c r="C1207" t="s">
        <v>1762</v>
      </c>
    </row>
    <row r="1208" spans="1:3" x14ac:dyDescent="0.2">
      <c r="A1208" t="str">
        <f t="shared" ca="1" si="19"/>
        <v>Налог на прибыль</v>
      </c>
      <c r="B1208" t="s">
        <v>241</v>
      </c>
      <c r="C1208" t="s">
        <v>428</v>
      </c>
    </row>
    <row r="1209" spans="1:3" x14ac:dyDescent="0.2">
      <c r="A1209" t="str">
        <f t="shared" ca="1" si="19"/>
        <v>Чистая прибыль (убыток)</v>
      </c>
      <c r="B1209" t="s">
        <v>666</v>
      </c>
      <c r="C1209" t="s">
        <v>1763</v>
      </c>
    </row>
    <row r="1210" spans="1:3" x14ac:dyDescent="0.2">
      <c r="A1210" t="str">
        <f t="shared" ca="1" si="19"/>
        <v>Выплаченные дивиденды</v>
      </c>
      <c r="B1210" t="s">
        <v>741</v>
      </c>
      <c r="C1210" t="s">
        <v>1764</v>
      </c>
    </row>
    <row r="1211" spans="1:3" x14ac:dyDescent="0.2">
      <c r="A1211" t="str">
        <f t="shared" ca="1" si="19"/>
        <v>Нераспределенная чистая прибыль за период</v>
      </c>
      <c r="B1211" t="s">
        <v>2160</v>
      </c>
      <c r="C1211" t="s">
        <v>1765</v>
      </c>
    </row>
    <row r="1212" spans="1:3" x14ac:dyDescent="0.2">
      <c r="A1212" s="24" t="str">
        <f t="shared" ca="1" si="19"/>
        <v>ОТЧЕТ О ДВИЖЕНИИ ДЕНЕЖНЫХ СРЕДСТВ</v>
      </c>
      <c r="B1212" t="s">
        <v>667</v>
      </c>
      <c r="C1212" t="s">
        <v>1766</v>
      </c>
    </row>
    <row r="1213" spans="1:3" x14ac:dyDescent="0.2">
      <c r="A1213" t="str">
        <f t="shared" ca="1" si="19"/>
        <v>Поступления от продаж</v>
      </c>
      <c r="B1213" t="s">
        <v>1409</v>
      </c>
      <c r="C1213" t="s">
        <v>1767</v>
      </c>
    </row>
    <row r="1214" spans="1:3" x14ac:dyDescent="0.2">
      <c r="A1214" t="str">
        <f t="shared" ca="1" si="19"/>
        <v>Оплата материалов и комплектующих</v>
      </c>
      <c r="B1214" t="s">
        <v>1410</v>
      </c>
      <c r="C1214" t="s">
        <v>1768</v>
      </c>
    </row>
    <row r="1215" spans="1:3" x14ac:dyDescent="0.2">
      <c r="A1215" t="str">
        <f t="shared" ca="1" si="19"/>
        <v>Заработная плата</v>
      </c>
      <c r="B1215" t="s">
        <v>1411</v>
      </c>
      <c r="C1215" t="s">
        <v>1769</v>
      </c>
    </row>
    <row r="1216" spans="1:3" x14ac:dyDescent="0.2">
      <c r="A1216" t="str">
        <f t="shared" ca="1" si="19"/>
        <v>Постоянные издержки</v>
      </c>
      <c r="B1216" t="s">
        <v>1412</v>
      </c>
      <c r="C1216" t="s">
        <v>1770</v>
      </c>
    </row>
    <row r="1217" spans="1:3" x14ac:dyDescent="0.2">
      <c r="A1217" t="str">
        <f t="shared" ca="1" si="19"/>
        <v>Налоги</v>
      </c>
      <c r="B1217" t="s">
        <v>236</v>
      </c>
      <c r="C1217" t="s">
        <v>423</v>
      </c>
    </row>
    <row r="1218" spans="1:3" x14ac:dyDescent="0.2">
      <c r="A1218" t="str">
        <f t="shared" ca="1" si="19"/>
        <v>Выплата процентов по кредитам</v>
      </c>
      <c r="B1218" t="s">
        <v>1413</v>
      </c>
      <c r="C1218" t="s">
        <v>1735</v>
      </c>
    </row>
    <row r="1219" spans="1:3" x14ac:dyDescent="0.2">
      <c r="A1219" t="str">
        <f t="shared" ca="1" si="19"/>
        <v>Лизинговые платежи</v>
      </c>
      <c r="B1219" t="s">
        <v>736</v>
      </c>
      <c r="C1219" t="s">
        <v>1771</v>
      </c>
    </row>
    <row r="1220" spans="1:3" x14ac:dyDescent="0.2">
      <c r="A1220" t="str">
        <f t="shared" ca="1" si="19"/>
        <v>Прочие поступления</v>
      </c>
      <c r="B1220" t="s">
        <v>1414</v>
      </c>
      <c r="C1220" t="s">
        <v>1772</v>
      </c>
    </row>
    <row r="1221" spans="1:3" x14ac:dyDescent="0.2">
      <c r="A1221" t="str">
        <f t="shared" ca="1" si="19"/>
        <v>Прочие затраты</v>
      </c>
      <c r="B1221" t="s">
        <v>1415</v>
      </c>
      <c r="C1221" t="s">
        <v>1773</v>
      </c>
    </row>
    <row r="1222" spans="1:3" x14ac:dyDescent="0.2">
      <c r="A1222" t="str">
        <f t="shared" ca="1" si="19"/>
        <v>Денежные потоки от операционной деятельности</v>
      </c>
      <c r="B1222" t="s">
        <v>668</v>
      </c>
      <c r="C1222" t="s">
        <v>1774</v>
      </c>
    </row>
    <row r="1223" spans="1:3" x14ac:dyDescent="0.2">
      <c r="A1223" t="str">
        <f t="shared" ca="1" si="19"/>
        <v>Инвестиции в земельные участки</v>
      </c>
      <c r="B1223" t="s">
        <v>1416</v>
      </c>
      <c r="C1223" t="s">
        <v>1775</v>
      </c>
    </row>
    <row r="1224" spans="1:3" x14ac:dyDescent="0.2">
      <c r="A1224" t="str">
        <f t="shared" ca="1" si="19"/>
        <v>Инвестиции в здания и сооружения</v>
      </c>
      <c r="B1224" t="s">
        <v>1417</v>
      </c>
      <c r="C1224" t="s">
        <v>1776</v>
      </c>
    </row>
    <row r="1225" spans="1:3" x14ac:dyDescent="0.2">
      <c r="A1225" t="str">
        <f t="shared" ref="A1225:A1288" ca="1" si="20">OFFSET(A1225,0,Prj_Language)</f>
        <v>Инвестиции в оборудование и прочие активы</v>
      </c>
      <c r="B1225" t="s">
        <v>1418</v>
      </c>
      <c r="C1225" t="s">
        <v>1777</v>
      </c>
    </row>
    <row r="1226" spans="1:3" x14ac:dyDescent="0.2">
      <c r="A1226" t="str">
        <f t="shared" ca="1" si="20"/>
        <v>Инвестиции в нематериальные активы</v>
      </c>
      <c r="B1226" t="s">
        <v>1419</v>
      </c>
      <c r="C1226" t="s">
        <v>1778</v>
      </c>
    </row>
    <row r="1227" spans="1:3" x14ac:dyDescent="0.2">
      <c r="A1227" t="str">
        <f t="shared" ca="1" si="20"/>
        <v>Инвестиции в финансовые активы</v>
      </c>
      <c r="B1227" t="s">
        <v>1420</v>
      </c>
      <c r="C1227" t="s">
        <v>1779</v>
      </c>
    </row>
    <row r="1228" spans="1:3" x14ac:dyDescent="0.2">
      <c r="A1228" t="str">
        <f t="shared" ca="1" si="20"/>
        <v>Выручка от реализации активов</v>
      </c>
      <c r="B1228" t="s">
        <v>1421</v>
      </c>
      <c r="C1228" t="s">
        <v>1780</v>
      </c>
    </row>
    <row r="1229" spans="1:3" x14ac:dyDescent="0.2">
      <c r="A1229" t="str">
        <f t="shared" ca="1" si="20"/>
        <v>Денежные потоки от инвестиционной деятельности</v>
      </c>
      <c r="B1229" t="s">
        <v>669</v>
      </c>
      <c r="C1229" t="s">
        <v>1781</v>
      </c>
    </row>
    <row r="1230" spans="1:3" x14ac:dyDescent="0.2">
      <c r="A1230" t="str">
        <f t="shared" ca="1" si="20"/>
        <v>Поступления собственного капитала</v>
      </c>
      <c r="B1230" t="s">
        <v>751</v>
      </c>
      <c r="C1230" t="s">
        <v>1782</v>
      </c>
    </row>
    <row r="1231" spans="1:3" x14ac:dyDescent="0.2">
      <c r="A1231" t="str">
        <f t="shared" ca="1" si="20"/>
        <v>Поступления кредитов</v>
      </c>
      <c r="B1231" t="s">
        <v>745</v>
      </c>
      <c r="C1231" t="s">
        <v>1783</v>
      </c>
    </row>
    <row r="1232" spans="1:3" x14ac:dyDescent="0.2">
      <c r="A1232" t="str">
        <f t="shared" ca="1" si="20"/>
        <v>Возврат кредитов</v>
      </c>
      <c r="B1232" t="s">
        <v>1408</v>
      </c>
      <c r="C1232" t="s">
        <v>1784</v>
      </c>
    </row>
    <row r="1233" spans="1:3" x14ac:dyDescent="0.2">
      <c r="A1233" t="str">
        <f t="shared" ca="1" si="20"/>
        <v>Выплата дивидендов</v>
      </c>
      <c r="B1233" t="s">
        <v>1422</v>
      </c>
      <c r="C1233" t="s">
        <v>1785</v>
      </c>
    </row>
    <row r="1234" spans="1:3" x14ac:dyDescent="0.2">
      <c r="A1234" t="str">
        <f t="shared" ca="1" si="20"/>
        <v>Денежные потоки от финансовой деятельности</v>
      </c>
      <c r="B1234" t="s">
        <v>670</v>
      </c>
      <c r="C1234" t="s">
        <v>1786</v>
      </c>
    </row>
    <row r="1235" spans="1:3" x14ac:dyDescent="0.2">
      <c r="A1235" t="str">
        <f t="shared" ca="1" si="20"/>
        <v>Суммарный денежный поток за период</v>
      </c>
      <c r="B1235" t="s">
        <v>671</v>
      </c>
      <c r="C1235" t="s">
        <v>1787</v>
      </c>
    </row>
    <row r="1236" spans="1:3" x14ac:dyDescent="0.2">
      <c r="A1236" t="str">
        <f t="shared" ca="1" si="20"/>
        <v>Денежные средства на начало периода</v>
      </c>
      <c r="B1236" t="s">
        <v>672</v>
      </c>
      <c r="C1236" t="s">
        <v>1788</v>
      </c>
    </row>
    <row r="1237" spans="1:3" x14ac:dyDescent="0.2">
      <c r="A1237" t="str">
        <f t="shared" ca="1" si="20"/>
        <v>Денежные средства на конец периода</v>
      </c>
      <c r="B1237" t="s">
        <v>673</v>
      </c>
      <c r="C1237" t="s">
        <v>1789</v>
      </c>
    </row>
    <row r="1238" spans="1:3" x14ac:dyDescent="0.2">
      <c r="A1238" s="24" t="str">
        <f t="shared" ca="1" si="20"/>
        <v>БАЛАНС</v>
      </c>
      <c r="B1238" t="s">
        <v>674</v>
      </c>
      <c r="C1238" t="s">
        <v>1790</v>
      </c>
    </row>
    <row r="1239" spans="1:3" x14ac:dyDescent="0.2">
      <c r="A1239" t="str">
        <f t="shared" ca="1" si="20"/>
        <v>Денежные средства</v>
      </c>
      <c r="B1239" t="s">
        <v>1392</v>
      </c>
      <c r="C1239" t="s">
        <v>1674</v>
      </c>
    </row>
    <row r="1240" spans="1:3" x14ac:dyDescent="0.2">
      <c r="A1240" t="str">
        <f t="shared" ca="1" si="20"/>
        <v>Дебиторская задолженность</v>
      </c>
      <c r="B1240" t="s">
        <v>985</v>
      </c>
      <c r="C1240" t="s">
        <v>1675</v>
      </c>
    </row>
    <row r="1241" spans="1:3" x14ac:dyDescent="0.2">
      <c r="A1241" t="str">
        <f t="shared" ca="1" si="20"/>
        <v>Авансы уплаченные поставщикам</v>
      </c>
      <c r="B1241" t="s">
        <v>1393</v>
      </c>
      <c r="C1241" t="s">
        <v>1676</v>
      </c>
    </row>
    <row r="1242" spans="1:3" x14ac:dyDescent="0.2">
      <c r="A1242" t="str">
        <f t="shared" ca="1" si="20"/>
        <v>Готовая продукция на складе</v>
      </c>
      <c r="B1242" t="s">
        <v>1394</v>
      </c>
      <c r="C1242" t="s">
        <v>1677</v>
      </c>
    </row>
    <row r="1243" spans="1:3" x14ac:dyDescent="0.2">
      <c r="A1243" t="str">
        <f t="shared" ca="1" si="20"/>
        <v>Незавершенное производство</v>
      </c>
      <c r="B1243" t="s">
        <v>1004</v>
      </c>
      <c r="C1243" t="s">
        <v>1678</v>
      </c>
    </row>
    <row r="1244" spans="1:3" x14ac:dyDescent="0.2">
      <c r="A1244" t="str">
        <f t="shared" ca="1" si="20"/>
        <v>Запасы материалов и комплектующих</v>
      </c>
      <c r="B1244" t="s">
        <v>1019</v>
      </c>
      <c r="C1244" t="s">
        <v>1620</v>
      </c>
    </row>
    <row r="1245" spans="1:3" x14ac:dyDescent="0.2">
      <c r="A1245" t="str">
        <f t="shared" ca="1" si="20"/>
        <v>НДС на приобретенные товары</v>
      </c>
      <c r="B1245" t="s">
        <v>1395</v>
      </c>
      <c r="C1245" t="s">
        <v>1679</v>
      </c>
    </row>
    <row r="1246" spans="1:3" x14ac:dyDescent="0.2">
      <c r="A1246" t="str">
        <f t="shared" ca="1" si="20"/>
        <v>Краткосрочные финансовые вложения</v>
      </c>
      <c r="B1246" t="s">
        <v>1274</v>
      </c>
      <c r="C1246" t="s">
        <v>1680</v>
      </c>
    </row>
    <row r="1247" spans="1:3" x14ac:dyDescent="0.2">
      <c r="A1247" t="str">
        <f t="shared" ca="1" si="20"/>
        <v>Прочие оборотные активы</v>
      </c>
      <c r="B1247" t="s">
        <v>1396</v>
      </c>
      <c r="C1247" t="s">
        <v>1681</v>
      </c>
    </row>
    <row r="1248" spans="1:3" x14ac:dyDescent="0.2">
      <c r="A1248" t="str">
        <f t="shared" ca="1" si="20"/>
        <v>Суммарные оборотные активы</v>
      </c>
      <c r="B1248" t="s">
        <v>675</v>
      </c>
      <c r="C1248" t="s">
        <v>1682</v>
      </c>
    </row>
    <row r="1249" spans="1:3" x14ac:dyDescent="0.2">
      <c r="A1249" t="str">
        <f t="shared" ca="1" si="20"/>
        <v>Земельные участки</v>
      </c>
      <c r="B1249" t="s">
        <v>936</v>
      </c>
      <c r="C1249" t="s">
        <v>1683</v>
      </c>
    </row>
    <row r="1250" spans="1:3" x14ac:dyDescent="0.2">
      <c r="A1250" t="str">
        <f t="shared" ca="1" si="20"/>
        <v>Здания и сооружения</v>
      </c>
      <c r="B1250" t="s">
        <v>250</v>
      </c>
      <c r="C1250" t="s">
        <v>1684</v>
      </c>
    </row>
    <row r="1251" spans="1:3" x14ac:dyDescent="0.2">
      <c r="A1251" t="str">
        <f t="shared" ca="1" si="20"/>
        <v>Оборудование и прочие активы</v>
      </c>
      <c r="B1251" t="s">
        <v>938</v>
      </c>
      <c r="C1251" t="s">
        <v>1685</v>
      </c>
    </row>
    <row r="1252" spans="1:3" x14ac:dyDescent="0.2">
      <c r="A1252" t="str">
        <f t="shared" ca="1" si="20"/>
        <v>Нематериальные активы</v>
      </c>
      <c r="B1252" t="s">
        <v>252</v>
      </c>
      <c r="C1252" t="s">
        <v>1686</v>
      </c>
    </row>
    <row r="1253" spans="1:3" x14ac:dyDescent="0.2">
      <c r="A1253" t="str">
        <f t="shared" ca="1" si="20"/>
        <v>Долгосрочные финансовые вложения</v>
      </c>
      <c r="B1253" t="s">
        <v>939</v>
      </c>
      <c r="C1253" t="s">
        <v>1687</v>
      </c>
    </row>
    <row r="1254" spans="1:3" x14ac:dyDescent="0.2">
      <c r="A1254" t="str">
        <f t="shared" ca="1" si="20"/>
        <v>Незавершенные капиталовложения</v>
      </c>
      <c r="B1254" t="s">
        <v>1397</v>
      </c>
      <c r="C1254" t="s">
        <v>1688</v>
      </c>
    </row>
    <row r="1255" spans="1:3" x14ac:dyDescent="0.2">
      <c r="A1255" t="str">
        <f t="shared" ca="1" si="20"/>
        <v>Прочие внеоборотные активы</v>
      </c>
      <c r="B1255" t="s">
        <v>1398</v>
      </c>
      <c r="C1255" t="s">
        <v>1689</v>
      </c>
    </row>
    <row r="1256" spans="1:3" x14ac:dyDescent="0.2">
      <c r="A1256" t="str">
        <f t="shared" ca="1" si="20"/>
        <v>Суммарные внеоборотные активы</v>
      </c>
      <c r="B1256" t="s">
        <v>676</v>
      </c>
      <c r="C1256" t="s">
        <v>1690</v>
      </c>
    </row>
    <row r="1257" spans="1:3" x14ac:dyDescent="0.2">
      <c r="A1257" t="str">
        <f t="shared" ca="1" si="20"/>
        <v>ИТОГО АКТИВОВ</v>
      </c>
      <c r="B1257" t="s">
        <v>677</v>
      </c>
      <c r="C1257" t="s">
        <v>1691</v>
      </c>
    </row>
    <row r="1258" spans="1:3" x14ac:dyDescent="0.2">
      <c r="A1258" t="str">
        <f t="shared" ca="1" si="20"/>
        <v>Кредиторская задолженность перед поставщиками</v>
      </c>
      <c r="B1258" t="s">
        <v>1275</v>
      </c>
      <c r="C1258" t="s">
        <v>1692</v>
      </c>
    </row>
    <row r="1259" spans="1:3" x14ac:dyDescent="0.2">
      <c r="A1259" t="str">
        <f t="shared" ca="1" si="20"/>
        <v>Кредиторская задолженность за внеоборотные активы</v>
      </c>
      <c r="B1259" t="s">
        <v>1276</v>
      </c>
      <c r="C1259" t="s">
        <v>1693</v>
      </c>
    </row>
    <row r="1260" spans="1:3" x14ac:dyDescent="0.2">
      <c r="A1260" t="str">
        <f t="shared" ca="1" si="20"/>
        <v>Расчеты с бюджетом и внебюджетными фондами</v>
      </c>
      <c r="B1260" t="s">
        <v>1423</v>
      </c>
      <c r="C1260" t="s">
        <v>1694</v>
      </c>
    </row>
    <row r="1261" spans="1:3" x14ac:dyDescent="0.2">
      <c r="A1261" t="str">
        <f t="shared" ca="1" si="20"/>
        <v>Расчеты с персоналом</v>
      </c>
      <c r="B1261" t="s">
        <v>1400</v>
      </c>
      <c r="C1261" t="s">
        <v>1695</v>
      </c>
    </row>
    <row r="1262" spans="1:3" x14ac:dyDescent="0.2">
      <c r="A1262" t="str">
        <f t="shared" ca="1" si="20"/>
        <v>Полученные авансы покупателей</v>
      </c>
      <c r="B1262" t="s">
        <v>1401</v>
      </c>
      <c r="C1262" t="s">
        <v>1696</v>
      </c>
    </row>
    <row r="1263" spans="1:3" x14ac:dyDescent="0.2">
      <c r="A1263" t="str">
        <f t="shared" ca="1" si="20"/>
        <v>Краткосрочные кредиты</v>
      </c>
      <c r="B1263" t="s">
        <v>582</v>
      </c>
      <c r="C1263" t="s">
        <v>1697</v>
      </c>
    </row>
    <row r="1264" spans="1:3" x14ac:dyDescent="0.2">
      <c r="A1264" t="str">
        <f t="shared" ca="1" si="20"/>
        <v>Прочие краткосрочные обязательства</v>
      </c>
      <c r="B1264" t="s">
        <v>1402</v>
      </c>
      <c r="C1264" t="s">
        <v>1698</v>
      </c>
    </row>
    <row r="1265" spans="1:3" x14ac:dyDescent="0.2">
      <c r="A1265" t="str">
        <f t="shared" ca="1" si="20"/>
        <v>Суммарные краткосрочные обязательства</v>
      </c>
      <c r="B1265" t="s">
        <v>678</v>
      </c>
      <c r="C1265" t="s">
        <v>1699</v>
      </c>
    </row>
    <row r="1266" spans="1:3" x14ac:dyDescent="0.2">
      <c r="A1266" t="str">
        <f t="shared" ca="1" si="20"/>
        <v>Долгосрочные кредиты</v>
      </c>
      <c r="B1266" t="s">
        <v>581</v>
      </c>
      <c r="C1266" t="s">
        <v>1700</v>
      </c>
    </row>
    <row r="1267" spans="1:3" x14ac:dyDescent="0.2">
      <c r="A1267" t="str">
        <f t="shared" ca="1" si="20"/>
        <v>Обязательства по финансовой аренде</v>
      </c>
      <c r="B1267" t="s">
        <v>1424</v>
      </c>
      <c r="C1267" t="s">
        <v>1791</v>
      </c>
    </row>
    <row r="1268" spans="1:3" x14ac:dyDescent="0.2">
      <c r="A1268" t="str">
        <f t="shared" ca="1" si="20"/>
        <v>Прочие долгосрочные обязательства</v>
      </c>
      <c r="B1268" t="s">
        <v>1403</v>
      </c>
      <c r="C1268" t="s">
        <v>1701</v>
      </c>
    </row>
    <row r="1269" spans="1:3" x14ac:dyDescent="0.2">
      <c r="A1269" t="str">
        <f t="shared" ca="1" si="20"/>
        <v>Суммарные долгосрочные обязательства</v>
      </c>
      <c r="B1269" t="s">
        <v>679</v>
      </c>
      <c r="C1269" t="s">
        <v>1702</v>
      </c>
    </row>
    <row r="1270" spans="1:3" x14ac:dyDescent="0.2">
      <c r="A1270" t="str">
        <f t="shared" ca="1" si="20"/>
        <v>Акционерный капитал</v>
      </c>
      <c r="B1270" t="s">
        <v>1404</v>
      </c>
      <c r="C1270" t="s">
        <v>1703</v>
      </c>
    </row>
    <row r="1271" spans="1:3" x14ac:dyDescent="0.2">
      <c r="A1271" t="str">
        <f t="shared" ca="1" si="20"/>
        <v>Нераспределенная прибыль</v>
      </c>
      <c r="B1271" t="s">
        <v>1405</v>
      </c>
      <c r="C1271" t="s">
        <v>1704</v>
      </c>
    </row>
    <row r="1272" spans="1:3" x14ac:dyDescent="0.2">
      <c r="A1272" t="str">
        <f t="shared" ca="1" si="20"/>
        <v>Прочий собственный капитал</v>
      </c>
      <c r="B1272" t="s">
        <v>1406</v>
      </c>
      <c r="C1272" t="s">
        <v>1705</v>
      </c>
    </row>
    <row r="1273" spans="1:3" x14ac:dyDescent="0.2">
      <c r="A1273" t="str">
        <f t="shared" ca="1" si="20"/>
        <v>Суммарный собственный капитал</v>
      </c>
      <c r="B1273" t="s">
        <v>680</v>
      </c>
      <c r="C1273" t="s">
        <v>1706</v>
      </c>
    </row>
    <row r="1274" spans="1:3" x14ac:dyDescent="0.2">
      <c r="A1274" t="str">
        <f t="shared" ca="1" si="20"/>
        <v>ИТОГО ПАССИВОВ</v>
      </c>
      <c r="B1274" t="s">
        <v>681</v>
      </c>
      <c r="C1274" t="s">
        <v>1707</v>
      </c>
    </row>
    <row r="1275" spans="1:3" x14ac:dyDescent="0.2">
      <c r="A1275" t="str">
        <f t="shared" ca="1" si="20"/>
        <v>Контроль сходимости баланса</v>
      </c>
      <c r="B1275" t="s">
        <v>933</v>
      </c>
      <c r="C1275" t="s">
        <v>1708</v>
      </c>
    </row>
    <row r="1276" spans="1:3" x14ac:dyDescent="0.2">
      <c r="A1276" s="24" t="str">
        <f t="shared" ca="1" si="20"/>
        <v>ПОКАЗАТЕЛИ ДОЛГА</v>
      </c>
      <c r="B1276" t="s">
        <v>682</v>
      </c>
      <c r="C1276" t="s">
        <v>1792</v>
      </c>
    </row>
    <row r="1277" spans="1:3" x14ac:dyDescent="0.2">
      <c r="A1277" t="str">
        <f t="shared" ca="1" si="20"/>
        <v>EBITDA (в годовом выражении)</v>
      </c>
      <c r="B1277" t="s">
        <v>2183</v>
      </c>
      <c r="C1277" t="s">
        <v>2182</v>
      </c>
    </row>
    <row r="1278" spans="1:3" x14ac:dyDescent="0.2">
      <c r="A1278" t="str">
        <f t="shared" ca="1" si="20"/>
        <v>Суммарная задолженность, TD</v>
      </c>
      <c r="B1278" t="s">
        <v>1425</v>
      </c>
      <c r="C1278" t="s">
        <v>1793</v>
      </c>
    </row>
    <row r="1279" spans="1:3" x14ac:dyDescent="0.2">
      <c r="A1279" t="str">
        <f t="shared" ca="1" si="20"/>
        <v>TD / EBITDA</v>
      </c>
      <c r="B1279" t="s">
        <v>683</v>
      </c>
      <c r="C1279" t="s">
        <v>683</v>
      </c>
    </row>
    <row r="1280" spans="1:3" x14ac:dyDescent="0.2">
      <c r="A1280" t="str">
        <f t="shared" ca="1" si="20"/>
        <v>Денежный поток, доступный для погашения долга</v>
      </c>
      <c r="B1280" t="s">
        <v>1426</v>
      </c>
      <c r="C1280" t="s">
        <v>1794</v>
      </c>
    </row>
    <row r="1281" spans="1:3" x14ac:dyDescent="0.2">
      <c r="A1281" t="str">
        <f t="shared" ca="1" si="20"/>
        <v>Выплаты процентов</v>
      </c>
      <c r="B1281" t="s">
        <v>1427</v>
      </c>
      <c r="C1281" t="s">
        <v>1735</v>
      </c>
    </row>
    <row r="1282" spans="1:3" x14ac:dyDescent="0.2">
      <c r="A1282" t="str">
        <f t="shared" ca="1" si="20"/>
        <v>Выплаты основной суммы долга</v>
      </c>
      <c r="B1282" t="s">
        <v>1428</v>
      </c>
      <c r="C1282" t="s">
        <v>1784</v>
      </c>
    </row>
    <row r="1283" spans="1:3" x14ac:dyDescent="0.2">
      <c r="A1283" t="str">
        <f t="shared" ca="1" si="20"/>
        <v>Покрытие выплаты долга, DSCR</v>
      </c>
      <c r="B1283" t="s">
        <v>684</v>
      </c>
      <c r="C1283" t="s">
        <v>1795</v>
      </c>
    </row>
    <row r="1284" spans="1:3" x14ac:dyDescent="0.2">
      <c r="A1284" t="str">
        <f t="shared" ca="1" si="20"/>
        <v>Отношение Долг / Собственный капитал</v>
      </c>
      <c r="B1284" t="s">
        <v>685</v>
      </c>
      <c r="C1284" t="s">
        <v>1796</v>
      </c>
    </row>
    <row r="1285" spans="1:3" x14ac:dyDescent="0.2">
      <c r="A1285" t="str">
        <f t="shared" ca="1" si="20"/>
        <v>Суммарные привлеченные кредиты</v>
      </c>
      <c r="B1285" t="s">
        <v>1429</v>
      </c>
      <c r="C1285" t="s">
        <v>1797</v>
      </c>
    </row>
    <row r="1286" spans="1:3" x14ac:dyDescent="0.2">
      <c r="A1286" t="str">
        <f t="shared" ca="1" si="20"/>
        <v>Суммарный вклад собственного капитала</v>
      </c>
      <c r="B1286" t="s">
        <v>1430</v>
      </c>
      <c r="C1286" t="s">
        <v>1798</v>
      </c>
    </row>
    <row r="1287" spans="1:3" x14ac:dyDescent="0.2">
      <c r="A1287" t="str">
        <f t="shared" ca="1" si="20"/>
        <v>Доля кредитов в источниках финансирования</v>
      </c>
      <c r="B1287" t="s">
        <v>686</v>
      </c>
      <c r="C1287" t="s">
        <v>1799</v>
      </c>
    </row>
    <row r="1288" spans="1:3" x14ac:dyDescent="0.2">
      <c r="A1288" s="24" t="str">
        <f t="shared" ca="1" si="20"/>
        <v>РЕНТАБЕЛЬНОСТЬ И ОБОРАЧИВАЕМОСТЬ</v>
      </c>
      <c r="B1288" t="s">
        <v>687</v>
      </c>
      <c r="C1288" t="s">
        <v>1800</v>
      </c>
    </row>
    <row r="1289" spans="1:3" x14ac:dyDescent="0.2">
      <c r="A1289" t="str">
        <f t="shared" ref="A1289:A1365" ca="1" si="21">OFFSET(A1289,0,Prj_Language)</f>
        <v>Структура затрат:</v>
      </c>
      <c r="B1289" t="s">
        <v>1157</v>
      </c>
      <c r="C1289" t="s">
        <v>1801</v>
      </c>
    </row>
    <row r="1290" spans="1:3" x14ac:dyDescent="0.2">
      <c r="A1290" t="str">
        <f t="shared" ca="1" si="21"/>
        <v>Выручка</v>
      </c>
      <c r="B1290" t="s">
        <v>659</v>
      </c>
      <c r="C1290" t="s">
        <v>1802</v>
      </c>
    </row>
    <row r="1291" spans="1:3" x14ac:dyDescent="0.2">
      <c r="A1291" t="str">
        <f t="shared" ca="1" si="21"/>
        <v>Сырье и материалы</v>
      </c>
      <c r="B1291" t="s">
        <v>1152</v>
      </c>
      <c r="C1291" t="s">
        <v>1620</v>
      </c>
    </row>
    <row r="1292" spans="1:3" x14ac:dyDescent="0.2">
      <c r="A1292" t="str">
        <f t="shared" ca="1" si="21"/>
        <v>Операционные расходы</v>
      </c>
      <c r="B1292" t="s">
        <v>1153</v>
      </c>
      <c r="C1292" t="s">
        <v>1770</v>
      </c>
    </row>
    <row r="1293" spans="1:3" x14ac:dyDescent="0.2">
      <c r="A1293" t="str">
        <f t="shared" ca="1" si="21"/>
        <v>Расходы на персонал</v>
      </c>
      <c r="B1293" t="s">
        <v>1154</v>
      </c>
      <c r="C1293" t="s">
        <v>1625</v>
      </c>
    </row>
    <row r="1294" spans="1:3" x14ac:dyDescent="0.2">
      <c r="A1294" t="str">
        <f t="shared" ca="1" si="21"/>
        <v>Амортизация, лизинг и проценты</v>
      </c>
      <c r="B1294" t="s">
        <v>1155</v>
      </c>
      <c r="C1294" t="s">
        <v>1756</v>
      </c>
    </row>
    <row r="1295" spans="1:3" x14ac:dyDescent="0.2">
      <c r="A1295" t="str">
        <f t="shared" ca="1" si="21"/>
        <v>Прочие расходы</v>
      </c>
      <c r="B1295" t="s">
        <v>740</v>
      </c>
      <c r="C1295" t="s">
        <v>1803</v>
      </c>
    </row>
    <row r="1296" spans="1:3" x14ac:dyDescent="0.2">
      <c r="A1296" t="str">
        <f t="shared" ca="1" si="21"/>
        <v>Налоги</v>
      </c>
      <c r="B1296" t="s">
        <v>236</v>
      </c>
      <c r="C1296" t="s">
        <v>423</v>
      </c>
    </row>
    <row r="1297" spans="1:3" x14ac:dyDescent="0.2">
      <c r="A1297" t="str">
        <f t="shared" ca="1" si="21"/>
        <v>Все операционные затраты</v>
      </c>
      <c r="B1297" t="s">
        <v>1558</v>
      </c>
      <c r="C1297" t="s">
        <v>1815</v>
      </c>
    </row>
    <row r="1298" spans="1:3" x14ac:dyDescent="0.2">
      <c r="A1298" t="str">
        <f t="shared" ca="1" si="21"/>
        <v>Рентабельность продаж по чистой прибыли, NPM</v>
      </c>
      <c r="B1298" t="s">
        <v>688</v>
      </c>
      <c r="C1298" t="s">
        <v>1804</v>
      </c>
    </row>
    <row r="1299" spans="1:3" x14ac:dyDescent="0.2">
      <c r="A1299" t="str">
        <f t="shared" ca="1" si="21"/>
        <v>Рентабельность продаж по EBITDA</v>
      </c>
      <c r="B1299" t="s">
        <v>689</v>
      </c>
      <c r="C1299" t="s">
        <v>1805</v>
      </c>
    </row>
    <row r="1300" spans="1:3" x14ac:dyDescent="0.2">
      <c r="A1300" t="str">
        <f t="shared" ca="1" si="21"/>
        <v>Доля постоянных затрат</v>
      </c>
      <c r="B1300" t="s">
        <v>2175</v>
      </c>
      <c r="C1300" t="s">
        <v>2174</v>
      </c>
    </row>
    <row r="1301" spans="1:3" x14ac:dyDescent="0.2">
      <c r="A1301" t="str">
        <f t="shared" ca="1" si="21"/>
        <v>Точка безубыточности</v>
      </c>
      <c r="B1301" t="s">
        <v>2178</v>
      </c>
      <c r="C1301" t="s">
        <v>2176</v>
      </c>
    </row>
    <row r="1302" spans="1:3" x14ac:dyDescent="0.2">
      <c r="A1302" t="str">
        <f t="shared" ca="1" si="21"/>
        <v>"Запас прочности"</v>
      </c>
      <c r="B1302" t="s">
        <v>2179</v>
      </c>
      <c r="C1302" t="s">
        <v>2177</v>
      </c>
    </row>
    <row r="1303" spans="1:3" x14ac:dyDescent="0.2">
      <c r="A1303" t="str">
        <f t="shared" ca="1" si="21"/>
        <v>Рентабельность собственного капитала, ROE</v>
      </c>
      <c r="B1303" t="s">
        <v>690</v>
      </c>
      <c r="C1303" t="s">
        <v>1806</v>
      </c>
    </row>
    <row r="1304" spans="1:3" x14ac:dyDescent="0.2">
      <c r="A1304" t="str">
        <f t="shared" ca="1" si="21"/>
        <v>Рентабельность инвестированного капитала, ROIC</v>
      </c>
      <c r="B1304" t="s">
        <v>691</v>
      </c>
      <c r="C1304" t="s">
        <v>1807</v>
      </c>
    </row>
    <row r="1305" spans="1:3" x14ac:dyDescent="0.2">
      <c r="A1305" t="str">
        <f t="shared" ca="1" si="21"/>
        <v>Рентабельность суммарных активов, ROTA</v>
      </c>
      <c r="B1305" t="s">
        <v>692</v>
      </c>
      <c r="C1305" t="s">
        <v>1808</v>
      </c>
    </row>
    <row r="1306" spans="1:3" x14ac:dyDescent="0.2">
      <c r="A1306" t="str">
        <f t="shared" ca="1" si="21"/>
        <v>Рентабельность внеоборотных активов, ROFA</v>
      </c>
      <c r="B1306" t="s">
        <v>693</v>
      </c>
      <c r="C1306" t="s">
        <v>1809</v>
      </c>
    </row>
    <row r="1307" spans="1:3" x14ac:dyDescent="0.2">
      <c r="A1307" t="str">
        <f t="shared" ca="1" si="21"/>
        <v>Коэффициент текущей ликвидности</v>
      </c>
      <c r="B1307" t="s">
        <v>2180</v>
      </c>
      <c r="C1307" t="s">
        <v>2181</v>
      </c>
    </row>
    <row r="1308" spans="1:3" x14ac:dyDescent="0.2">
      <c r="A1308" t="str">
        <f t="shared" ca="1" si="21"/>
        <v>Период сбора дебиторской задолженности</v>
      </c>
      <c r="B1308" t="s">
        <v>694</v>
      </c>
      <c r="C1308" t="s">
        <v>1810</v>
      </c>
    </row>
    <row r="1309" spans="1:3" x14ac:dyDescent="0.2">
      <c r="A1309" t="str">
        <f t="shared" ca="1" si="21"/>
        <v>Период хранения запасов продукции</v>
      </c>
      <c r="B1309" t="s">
        <v>695</v>
      </c>
      <c r="C1309" t="s">
        <v>1811</v>
      </c>
    </row>
    <row r="1310" spans="1:3" x14ac:dyDescent="0.2">
      <c r="A1310" t="str">
        <f t="shared" ca="1" si="21"/>
        <v>Период хранения сырья и материалов</v>
      </c>
      <c r="B1310" t="s">
        <v>696</v>
      </c>
      <c r="C1310" t="s">
        <v>1812</v>
      </c>
    </row>
    <row r="1311" spans="1:3" x14ac:dyDescent="0.2">
      <c r="A1311" t="str">
        <f t="shared" ca="1" si="21"/>
        <v>Оборачиваемость внеоборотных активов</v>
      </c>
      <c r="B1311" t="s">
        <v>697</v>
      </c>
      <c r="C1311" t="s">
        <v>1813</v>
      </c>
    </row>
    <row r="1312" spans="1:3" x14ac:dyDescent="0.2">
      <c r="A1312" t="str">
        <f t="shared" ca="1" si="21"/>
        <v>Оборачиваемость суммарных активов</v>
      </c>
      <c r="B1312" t="s">
        <v>1156</v>
      </c>
      <c r="C1312" t="s">
        <v>1814</v>
      </c>
    </row>
    <row r="1313" spans="1:3" x14ac:dyDescent="0.2">
      <c r="A1313" s="24" t="str">
        <f t="shared" ca="1" si="21"/>
        <v>ЭФФЕКТИВНОСТЬ ДЛЯ ПРОЕКТА (FCFF)</v>
      </c>
      <c r="B1313" t="s">
        <v>1163</v>
      </c>
      <c r="C1313" t="s">
        <v>1816</v>
      </c>
    </row>
    <row r="1314" spans="1:3" x14ac:dyDescent="0.2">
      <c r="A1314" t="str">
        <f t="shared" ca="1" si="21"/>
        <v>Ставка дисконтирования</v>
      </c>
      <c r="B1314" t="s">
        <v>699</v>
      </c>
      <c r="C1314" t="s">
        <v>1817</v>
      </c>
    </row>
    <row r="1315" spans="1:3" x14ac:dyDescent="0.2">
      <c r="A1315" t="str">
        <f t="shared" ca="1" si="21"/>
        <v>ставка на расчетный период</v>
      </c>
      <c r="B1315" t="s">
        <v>478</v>
      </c>
      <c r="C1315" t="s">
        <v>1818</v>
      </c>
    </row>
    <row r="1316" spans="1:3" x14ac:dyDescent="0.2">
      <c r="A1316" t="str">
        <f t="shared" ca="1" si="21"/>
        <v>коэффициент дисконта на начало периода</v>
      </c>
      <c r="B1316" t="s">
        <v>1249</v>
      </c>
      <c r="C1316" t="s">
        <v>1819</v>
      </c>
    </row>
    <row r="1317" spans="1:3" x14ac:dyDescent="0.2">
      <c r="A1317" t="str">
        <f t="shared" ca="1" si="21"/>
        <v>Свободный денежный поток компании, FCFF</v>
      </c>
      <c r="B1317" t="s">
        <v>701</v>
      </c>
      <c r="C1317" t="s">
        <v>1820</v>
      </c>
    </row>
    <row r="1318" spans="1:3" x14ac:dyDescent="0.2">
      <c r="A1318" t="str">
        <f t="shared" ca="1" si="21"/>
        <v>Денежные потоки от операционной деятельности</v>
      </c>
      <c r="B1318" t="s">
        <v>668</v>
      </c>
      <c r="C1318" t="s">
        <v>1774</v>
      </c>
    </row>
    <row r="1319" spans="1:3" x14ac:dyDescent="0.2">
      <c r="A1319" t="str">
        <f t="shared" ca="1" si="21"/>
        <v>Скорректированные проценты по кредитам, * (1 - налог)</v>
      </c>
      <c r="B1319" t="s">
        <v>700</v>
      </c>
      <c r="C1319" t="s">
        <v>1821</v>
      </c>
    </row>
    <row r="1320" spans="1:3" x14ac:dyDescent="0.2">
      <c r="A1320" t="str">
        <f t="shared" ca="1" si="21"/>
        <v>Денежные потоки от инвестиционной деятельности</v>
      </c>
      <c r="B1320" t="s">
        <v>669</v>
      </c>
      <c r="C1320" t="s">
        <v>1781</v>
      </c>
    </row>
    <row r="1321" spans="1:3" x14ac:dyDescent="0.2">
      <c r="A1321" t="str">
        <f t="shared" ca="1" si="21"/>
        <v>Стоимость активов начального баланса</v>
      </c>
      <c r="B1321" t="s">
        <v>1537</v>
      </c>
      <c r="C1321" t="s">
        <v>1825</v>
      </c>
    </row>
    <row r="1322" spans="1:3" x14ac:dyDescent="0.2">
      <c r="A1322" t="str">
        <f t="shared" ca="1" si="21"/>
        <v>Продленная стоимость проекта</v>
      </c>
      <c r="B1322" t="s">
        <v>1538</v>
      </c>
      <c r="C1322" t="s">
        <v>1826</v>
      </c>
    </row>
    <row r="1323" spans="1:3" x14ac:dyDescent="0.2">
      <c r="A1323" t="str">
        <f t="shared" ca="1" si="21"/>
        <v>Денежный поток для расчета эффективности</v>
      </c>
      <c r="B1323" t="s">
        <v>1559</v>
      </c>
      <c r="C1323" t="s">
        <v>1834</v>
      </c>
    </row>
    <row r="1324" spans="1:3" x14ac:dyDescent="0.2">
      <c r="A1324" t="str">
        <f t="shared" ca="1" si="21"/>
        <v>Дисконтированный денежный поток</v>
      </c>
      <c r="B1324" t="s">
        <v>702</v>
      </c>
      <c r="C1324" t="s">
        <v>1822</v>
      </c>
    </row>
    <row r="1325" spans="1:3" x14ac:dyDescent="0.2">
      <c r="A1325" t="str">
        <f t="shared" ca="1" si="21"/>
        <v>Дисконтированный поток нарастающим итогом</v>
      </c>
      <c r="B1325" t="s">
        <v>703</v>
      </c>
      <c r="C1325" t="s">
        <v>1823</v>
      </c>
    </row>
    <row r="1326" spans="1:3" x14ac:dyDescent="0.2">
      <c r="A1326" t="str">
        <f t="shared" ca="1" si="21"/>
        <v>Чистая приведенная стоимость потоков проекта</v>
      </c>
      <c r="B1326" t="s">
        <v>1143</v>
      </c>
      <c r="C1326" t="s">
        <v>1824</v>
      </c>
    </row>
    <row r="1327" spans="1:3" x14ac:dyDescent="0.2">
      <c r="A1327" t="str">
        <f t="shared" ca="1" si="21"/>
        <v>Учет активов начального баланса</v>
      </c>
      <c r="B1327" t="s">
        <v>1144</v>
      </c>
      <c r="C1327" t="s">
        <v>1825</v>
      </c>
    </row>
    <row r="1328" spans="1:3" x14ac:dyDescent="0.2">
      <c r="A1328" t="str">
        <f t="shared" ca="1" si="21"/>
        <v>Учет продленной стоимости</v>
      </c>
      <c r="B1328" t="s">
        <v>1145</v>
      </c>
      <c r="C1328" t="s">
        <v>1826</v>
      </c>
    </row>
    <row r="1329" spans="1:3" x14ac:dyDescent="0.2">
      <c r="A1329" t="str">
        <f t="shared" ca="1" si="21"/>
        <v>NOPLAT</v>
      </c>
      <c r="B1329" t="s">
        <v>1150</v>
      </c>
      <c r="C1329" t="s">
        <v>1150</v>
      </c>
    </row>
    <row r="1330" spans="1:3" x14ac:dyDescent="0.2">
      <c r="A1330" t="str">
        <f t="shared" ca="1" si="21"/>
        <v>Продленная стоимость, на конец проекта</v>
      </c>
      <c r="B1330" t="s">
        <v>1149</v>
      </c>
      <c r="C1330" t="s">
        <v>1827</v>
      </c>
    </row>
    <row r="1331" spans="1:3" x14ac:dyDescent="0.2">
      <c r="A1331" t="str">
        <f t="shared" ca="1" si="21"/>
        <v>Чистая приведенная стоимость, NPV</v>
      </c>
      <c r="B1331" t="s">
        <v>704</v>
      </c>
      <c r="C1331" t="s">
        <v>1828</v>
      </c>
    </row>
    <row r="1332" spans="1:3" x14ac:dyDescent="0.2">
      <c r="A1332" t="str">
        <f t="shared" ca="1" si="21"/>
        <v>Внутренняя норма рентабельности, IRR</v>
      </c>
      <c r="B1332" t="s">
        <v>705</v>
      </c>
      <c r="C1332" t="s">
        <v>1829</v>
      </c>
    </row>
    <row r="1333" spans="1:3" x14ac:dyDescent="0.2">
      <c r="A1333" t="str">
        <f t="shared" ca="1" si="21"/>
        <v>(с учетом инфляции, номинальная)</v>
      </c>
      <c r="B1333" t="s">
        <v>1594</v>
      </c>
      <c r="C1333" t="s">
        <v>1835</v>
      </c>
    </row>
    <row r="1334" spans="1:3" x14ac:dyDescent="0.2">
      <c r="A1334" t="str">
        <f t="shared" ca="1" si="21"/>
        <v>(без учета инфляции, реальная)</v>
      </c>
      <c r="B1334" t="s">
        <v>1595</v>
      </c>
      <c r="C1334" t="s">
        <v>1836</v>
      </c>
    </row>
    <row r="1335" spans="1:3" x14ac:dyDescent="0.2">
      <c r="A1335" t="str">
        <f t="shared" ca="1" si="21"/>
        <v>Модифицированная IRR, MIRR</v>
      </c>
      <c r="B1335" t="s">
        <v>707</v>
      </c>
      <c r="C1335" t="s">
        <v>1830</v>
      </c>
    </row>
    <row r="1336" spans="1:3" x14ac:dyDescent="0.2">
      <c r="A1336" t="str">
        <f t="shared" ca="1" si="21"/>
        <v>Дисконтированный срок окупаемости, PBP</v>
      </c>
      <c r="B1336" t="s">
        <v>706</v>
      </c>
      <c r="C1336" t="s">
        <v>1831</v>
      </c>
    </row>
    <row r="1337" spans="1:3" x14ac:dyDescent="0.2">
      <c r="A1337" t="str">
        <f t="shared" ca="1" si="21"/>
        <v>Флаг периода окупаемости</v>
      </c>
      <c r="B1337" t="s">
        <v>2204</v>
      </c>
      <c r="C1337" t="s">
        <v>2205</v>
      </c>
    </row>
    <row r="1338" spans="1:3" x14ac:dyDescent="0.2">
      <c r="A1338" t="str">
        <f t="shared" ca="1" si="21"/>
        <v>Расчет окупаемости в месяцах</v>
      </c>
      <c r="B1338" t="s">
        <v>1151</v>
      </c>
      <c r="C1338" t="s">
        <v>1833</v>
      </c>
    </row>
    <row r="1339" spans="1:3" x14ac:dyDescent="0.2">
      <c r="A1339" t="str">
        <f t="shared" ca="1" si="21"/>
        <v>Простой срок окупаемости</v>
      </c>
      <c r="B1339" t="s">
        <v>2200</v>
      </c>
      <c r="C1339" t="s">
        <v>2201</v>
      </c>
    </row>
    <row r="1340" spans="1:3" x14ac:dyDescent="0.2">
      <c r="A1340" t="str">
        <f t="shared" ca="1" si="21"/>
        <v>Недисконтированный поток нарастающим итогом</v>
      </c>
      <c r="B1340" t="s">
        <v>2202</v>
      </c>
      <c r="C1340" t="s">
        <v>2203</v>
      </c>
    </row>
    <row r="1341" spans="1:3" x14ac:dyDescent="0.2">
      <c r="A1341" t="str">
        <f t="shared" ca="1" si="21"/>
        <v>Норма доходности дисконтированных затрат (PI)</v>
      </c>
      <c r="B1341" t="s">
        <v>2188</v>
      </c>
      <c r="C1341" t="s">
        <v>2189</v>
      </c>
    </row>
    <row r="1342" spans="1:3" x14ac:dyDescent="0.2">
      <c r="A1342" t="str">
        <f t="shared" ca="1" si="21"/>
        <v>притоки</v>
      </c>
      <c r="B1342" t="s">
        <v>2194</v>
      </c>
      <c r="C1342" t="s">
        <v>2190</v>
      </c>
    </row>
    <row r="1343" spans="1:3" x14ac:dyDescent="0.2">
      <c r="A1343" t="str">
        <f t="shared" ca="1" si="21"/>
        <v>дисконтированные притоки</v>
      </c>
      <c r="B1343" t="s">
        <v>2195</v>
      </c>
      <c r="C1343" t="s">
        <v>2191</v>
      </c>
    </row>
    <row r="1344" spans="1:3" x14ac:dyDescent="0.2">
      <c r="A1344" t="str">
        <f t="shared" ca="1" si="21"/>
        <v>оттоки</v>
      </c>
      <c r="B1344" t="s">
        <v>2196</v>
      </c>
      <c r="C1344" t="s">
        <v>2192</v>
      </c>
    </row>
    <row r="1345" spans="1:3" x14ac:dyDescent="0.2">
      <c r="A1345" t="str">
        <f t="shared" ca="1" si="21"/>
        <v>дисконтированные оттоки</v>
      </c>
      <c r="B1345" t="s">
        <v>2197</v>
      </c>
      <c r="C1345" t="s">
        <v>2193</v>
      </c>
    </row>
    <row r="1346" spans="1:3" x14ac:dyDescent="0.2">
      <c r="A1346" s="24" t="str">
        <f t="shared" ca="1" si="21"/>
        <v>ЭФФЕКТИВНОСТЬ ДЛЯ АКЦИОНЕРОВ (FCFE)</v>
      </c>
      <c r="B1346" t="s">
        <v>1164</v>
      </c>
      <c r="C1346" t="s">
        <v>1837</v>
      </c>
    </row>
    <row r="1347" spans="1:3" x14ac:dyDescent="0.2">
      <c r="A1347" t="str">
        <f t="shared" ca="1" si="21"/>
        <v>Ставка дисконтирования</v>
      </c>
      <c r="B1347" t="s">
        <v>699</v>
      </c>
      <c r="C1347" t="s">
        <v>1817</v>
      </c>
    </row>
    <row r="1348" spans="1:3" x14ac:dyDescent="0.2">
      <c r="A1348" t="str">
        <f t="shared" ca="1" si="21"/>
        <v>ставка на расчетный период</v>
      </c>
      <c r="B1348" t="s">
        <v>478</v>
      </c>
      <c r="C1348" t="s">
        <v>1818</v>
      </c>
    </row>
    <row r="1349" spans="1:3" x14ac:dyDescent="0.2">
      <c r="A1349" t="str">
        <f t="shared" ca="1" si="21"/>
        <v>коэффициент дисконта на начало периода</v>
      </c>
      <c r="B1349" t="s">
        <v>1249</v>
      </c>
      <c r="C1349" t="s">
        <v>1819</v>
      </c>
    </row>
    <row r="1350" spans="1:3" x14ac:dyDescent="0.2">
      <c r="A1350" t="str">
        <f t="shared" ca="1" si="21"/>
        <v>Свободный денежный поток акционеров, FCFE</v>
      </c>
      <c r="B1350" t="s">
        <v>1165</v>
      </c>
      <c r="C1350" t="s">
        <v>1838</v>
      </c>
    </row>
    <row r="1351" spans="1:3" x14ac:dyDescent="0.2">
      <c r="A1351" t="str">
        <f t="shared" ca="1" si="21"/>
        <v>Денежные потоки от операционной деятельности</v>
      </c>
      <c r="B1351" t="s">
        <v>668</v>
      </c>
      <c r="C1351" t="s">
        <v>1774</v>
      </c>
    </row>
    <row r="1352" spans="1:3" x14ac:dyDescent="0.2">
      <c r="A1352" t="str">
        <f t="shared" ca="1" si="21"/>
        <v>Денежные потоки от инвестиционной деятельности</v>
      </c>
      <c r="B1352" t="s">
        <v>669</v>
      </c>
      <c r="C1352" t="s">
        <v>1781</v>
      </c>
    </row>
    <row r="1353" spans="1:3" x14ac:dyDescent="0.2">
      <c r="A1353" t="str">
        <f t="shared" ca="1" si="21"/>
        <v>Поступления кредитов</v>
      </c>
      <c r="B1353" t="s">
        <v>745</v>
      </c>
      <c r="C1353" s="37" t="s">
        <v>1783</v>
      </c>
    </row>
    <row r="1354" spans="1:3" x14ac:dyDescent="0.2">
      <c r="A1354" t="str">
        <f t="shared" ca="1" si="21"/>
        <v>Возврат кредитов</v>
      </c>
      <c r="B1354" t="s">
        <v>1408</v>
      </c>
      <c r="C1354" s="37" t="s">
        <v>1784</v>
      </c>
    </row>
    <row r="1355" spans="1:3" x14ac:dyDescent="0.2">
      <c r="A1355" t="str">
        <f t="shared" ca="1" si="21"/>
        <v>Дисконтированный денежный поток</v>
      </c>
      <c r="B1355" t="s">
        <v>702</v>
      </c>
      <c r="C1355" t="s">
        <v>1822</v>
      </c>
    </row>
    <row r="1356" spans="1:3" x14ac:dyDescent="0.2">
      <c r="A1356" t="str">
        <f t="shared" ca="1" si="21"/>
        <v>Дисконтированный поток нарастающим итогом</v>
      </c>
      <c r="B1356" t="s">
        <v>703</v>
      </c>
      <c r="C1356" t="s">
        <v>1823</v>
      </c>
    </row>
    <row r="1357" spans="1:3" x14ac:dyDescent="0.2">
      <c r="A1357" t="str">
        <f t="shared" ca="1" si="21"/>
        <v>Чистая приведенная стоимость потоков проекта</v>
      </c>
      <c r="B1357" t="s">
        <v>1143</v>
      </c>
      <c r="C1357" t="s">
        <v>1824</v>
      </c>
    </row>
    <row r="1358" spans="1:3" x14ac:dyDescent="0.2">
      <c r="A1358" t="str">
        <f t="shared" ca="1" si="21"/>
        <v>Учет активов начального баланса</v>
      </c>
      <c r="B1358" t="s">
        <v>1144</v>
      </c>
      <c r="C1358" t="s">
        <v>1825</v>
      </c>
    </row>
    <row r="1359" spans="1:3" x14ac:dyDescent="0.2">
      <c r="A1359" t="str">
        <f t="shared" ca="1" si="21"/>
        <v>Учет продленной стоимости</v>
      </c>
      <c r="B1359" t="s">
        <v>1145</v>
      </c>
      <c r="C1359" t="s">
        <v>1826</v>
      </c>
    </row>
    <row r="1360" spans="1:3" x14ac:dyDescent="0.2">
      <c r="A1360" t="str">
        <f t="shared" ca="1" si="21"/>
        <v>NOPLAT</v>
      </c>
      <c r="B1360" t="s">
        <v>1150</v>
      </c>
      <c r="C1360" t="s">
        <v>1150</v>
      </c>
    </row>
    <row r="1361" spans="1:3" x14ac:dyDescent="0.2">
      <c r="A1361" t="str">
        <f t="shared" ca="1" si="21"/>
        <v>Продленная стоимость, на конец проекта</v>
      </c>
      <c r="B1361" t="s">
        <v>1149</v>
      </c>
      <c r="C1361" t="s">
        <v>1827</v>
      </c>
    </row>
    <row r="1362" spans="1:3" x14ac:dyDescent="0.2">
      <c r="A1362" t="str">
        <f t="shared" ca="1" si="21"/>
        <v>Чистая приведенная стоимость, NPV</v>
      </c>
      <c r="B1362" t="s">
        <v>704</v>
      </c>
      <c r="C1362" t="s">
        <v>1828</v>
      </c>
    </row>
    <row r="1363" spans="1:3" x14ac:dyDescent="0.2">
      <c r="A1363" t="str">
        <f t="shared" ca="1" si="21"/>
        <v>Внутренняя норма рентабельности, IRR</v>
      </c>
      <c r="B1363" t="s">
        <v>705</v>
      </c>
      <c r="C1363" t="s">
        <v>1829</v>
      </c>
    </row>
    <row r="1364" spans="1:3" x14ac:dyDescent="0.2">
      <c r="A1364" t="str">
        <f t="shared" ca="1" si="21"/>
        <v>Модифицированная IRR, MIRR</v>
      </c>
      <c r="B1364" t="s">
        <v>707</v>
      </c>
      <c r="C1364" t="s">
        <v>1830</v>
      </c>
    </row>
    <row r="1365" spans="1:3" x14ac:dyDescent="0.2">
      <c r="A1365" t="str">
        <f t="shared" ca="1" si="21"/>
        <v>Дисконтированный срок окупаемости, PBP</v>
      </c>
      <c r="B1365" t="s">
        <v>706</v>
      </c>
      <c r="C1365" t="s">
        <v>1831</v>
      </c>
    </row>
    <row r="1366" spans="1:3" x14ac:dyDescent="0.2">
      <c r="A1366" t="str">
        <f t="shared" ref="A1366:A1442" ca="1" si="22">OFFSET(A1366,0,Prj_Language)</f>
        <v>Флаг периода окупаемости (число целых лет)</v>
      </c>
      <c r="B1366" t="s">
        <v>1146</v>
      </c>
      <c r="C1366" t="s">
        <v>1832</v>
      </c>
    </row>
    <row r="1367" spans="1:3" x14ac:dyDescent="0.2">
      <c r="A1367" t="str">
        <f t="shared" ca="1" si="22"/>
        <v>Расчет окупаемости в месяцах</v>
      </c>
      <c r="B1367" t="s">
        <v>1151</v>
      </c>
      <c r="C1367" t="s">
        <v>1833</v>
      </c>
    </row>
    <row r="1368" spans="1:3" x14ac:dyDescent="0.2">
      <c r="A1368" s="24" t="str">
        <f t="shared" ca="1" si="22"/>
        <v>ЭФФЕКТИВНОСТЬ ДЛЯ БАНКА (CFADS)</v>
      </c>
      <c r="B1368" t="s">
        <v>1166</v>
      </c>
      <c r="C1368" t="s">
        <v>1839</v>
      </c>
    </row>
    <row r="1369" spans="1:3" x14ac:dyDescent="0.2">
      <c r="A1369" t="str">
        <f t="shared" ca="1" si="22"/>
        <v>Ставка дисконтирования</v>
      </c>
      <c r="B1369" t="s">
        <v>699</v>
      </c>
      <c r="C1369" t="s">
        <v>1817</v>
      </c>
    </row>
    <row r="1370" spans="1:3" x14ac:dyDescent="0.2">
      <c r="A1370" t="str">
        <f t="shared" ca="1" si="22"/>
        <v>ставка на расчетный период</v>
      </c>
      <c r="B1370" t="s">
        <v>478</v>
      </c>
      <c r="C1370" t="s">
        <v>1818</v>
      </c>
    </row>
    <row r="1371" spans="1:3" x14ac:dyDescent="0.2">
      <c r="A1371" t="str">
        <f t="shared" ca="1" si="22"/>
        <v>коэффициент дисконта на начало периода</v>
      </c>
      <c r="B1371" t="s">
        <v>1249</v>
      </c>
      <c r="C1371" t="s">
        <v>1819</v>
      </c>
    </row>
    <row r="1372" spans="1:3" x14ac:dyDescent="0.2">
      <c r="A1372" t="str">
        <f t="shared" ca="1" si="22"/>
        <v>Денежный поток, доступный для погашения долга (CFADS)</v>
      </c>
      <c r="B1372" t="s">
        <v>1167</v>
      </c>
      <c r="C1372" t="s">
        <v>1840</v>
      </c>
    </row>
    <row r="1373" spans="1:3" x14ac:dyDescent="0.2">
      <c r="A1373" t="str">
        <f t="shared" ca="1" si="22"/>
        <v>Денежные потоки от операционной деятельности</v>
      </c>
      <c r="B1373" t="s">
        <v>668</v>
      </c>
      <c r="C1373" t="s">
        <v>1774</v>
      </c>
    </row>
    <row r="1374" spans="1:3" x14ac:dyDescent="0.2">
      <c r="A1374" t="str">
        <f t="shared" ca="1" si="22"/>
        <v>Скорректированные проценты по кредитам, * (1 - налог)</v>
      </c>
      <c r="B1374" t="s">
        <v>700</v>
      </c>
      <c r="C1374" t="s">
        <v>1821</v>
      </c>
    </row>
    <row r="1375" spans="1:3" x14ac:dyDescent="0.2">
      <c r="A1375" t="str">
        <f t="shared" ca="1" si="22"/>
        <v>Денежные потоки от инвестиционной деятельности</v>
      </c>
      <c r="B1375" t="s">
        <v>669</v>
      </c>
      <c r="C1375" t="s">
        <v>1781</v>
      </c>
    </row>
    <row r="1376" spans="1:3" x14ac:dyDescent="0.2">
      <c r="A1376" t="str">
        <f t="shared" ca="1" si="22"/>
        <v>Поступления собственного капитала</v>
      </c>
      <c r="B1376" t="s">
        <v>751</v>
      </c>
      <c r="C1376" t="s">
        <v>1782</v>
      </c>
    </row>
    <row r="1377" spans="1:3" x14ac:dyDescent="0.2">
      <c r="A1377" t="str">
        <f t="shared" ca="1" si="22"/>
        <v>Дисконтированный денежный поток</v>
      </c>
      <c r="B1377" t="s">
        <v>702</v>
      </c>
      <c r="C1377" t="s">
        <v>1822</v>
      </c>
    </row>
    <row r="1378" spans="1:3" x14ac:dyDescent="0.2">
      <c r="A1378" t="str">
        <f t="shared" ca="1" si="22"/>
        <v>Дисконтированный поток нарастающим итогом</v>
      </c>
      <c r="B1378" t="s">
        <v>703</v>
      </c>
      <c r="C1378" t="s">
        <v>1823</v>
      </c>
    </row>
    <row r="1379" spans="1:3" x14ac:dyDescent="0.2">
      <c r="A1379" t="str">
        <f t="shared" ca="1" si="22"/>
        <v>Чистая приведенная стоимость, NPV</v>
      </c>
      <c r="B1379" t="s">
        <v>704</v>
      </c>
      <c r="C1379" t="s">
        <v>1828</v>
      </c>
    </row>
    <row r="1380" spans="1:3" x14ac:dyDescent="0.2">
      <c r="A1380" t="str">
        <f t="shared" ca="1" si="22"/>
        <v>Внутренняя норма рентабельности, IRR</v>
      </c>
      <c r="B1380" t="s">
        <v>705</v>
      </c>
      <c r="C1380" t="s">
        <v>1829</v>
      </c>
    </row>
    <row r="1381" spans="1:3" x14ac:dyDescent="0.2">
      <c r="A1381" t="str">
        <f t="shared" ca="1" si="22"/>
        <v>Модифицированная IRR, MIRR</v>
      </c>
      <c r="B1381" t="s">
        <v>707</v>
      </c>
      <c r="C1381" t="s">
        <v>1830</v>
      </c>
    </row>
    <row r="1382" spans="1:3" x14ac:dyDescent="0.2">
      <c r="A1382" t="str">
        <f t="shared" ca="1" si="22"/>
        <v>Дисконтированный срок окупаемости, PBP</v>
      </c>
      <c r="B1382" t="s">
        <v>706</v>
      </c>
      <c r="C1382" t="s">
        <v>1831</v>
      </c>
    </row>
    <row r="1383" spans="1:3" x14ac:dyDescent="0.2">
      <c r="A1383" t="str">
        <f t="shared" ca="1" si="22"/>
        <v>Флаг периода окупаемости (число целых периодов)</v>
      </c>
      <c r="B1383" t="s">
        <v>1168</v>
      </c>
      <c r="C1383" t="s">
        <v>1832</v>
      </c>
    </row>
    <row r="1384" spans="1:3" x14ac:dyDescent="0.2">
      <c r="A1384" t="str">
        <f t="shared" ca="1" si="22"/>
        <v>Расчет окупаемости в месяцах</v>
      </c>
      <c r="B1384" t="s">
        <v>1151</v>
      </c>
      <c r="C1384" t="s">
        <v>1833</v>
      </c>
    </row>
    <row r="1385" spans="1:3" x14ac:dyDescent="0.2">
      <c r="A1385" s="24" t="str">
        <f t="shared" ca="1" si="22"/>
        <v>БЮДЖЕТНАЯ ЭФФЕКТИВНОСТЬ</v>
      </c>
      <c r="B1385" t="s">
        <v>983</v>
      </c>
      <c r="C1385" t="s">
        <v>1841</v>
      </c>
    </row>
    <row r="1386" spans="1:3" x14ac:dyDescent="0.2">
      <c r="A1386" t="str">
        <f t="shared" ca="1" si="22"/>
        <v>Поступление налогов в бюджет</v>
      </c>
      <c r="B1386" t="s">
        <v>1561</v>
      </c>
      <c r="C1386" t="s">
        <v>1846</v>
      </c>
    </row>
    <row r="1387" spans="1:3" x14ac:dyDescent="0.2">
      <c r="A1387" t="str">
        <f t="shared" ca="1" si="22"/>
        <v>Налог на добавленную стоимость</v>
      </c>
      <c r="B1387" t="s">
        <v>240</v>
      </c>
      <c r="C1387" t="s">
        <v>1842</v>
      </c>
    </row>
    <row r="1388" spans="1:3" x14ac:dyDescent="0.2">
      <c r="A1388" t="str">
        <f t="shared" ca="1" si="22"/>
        <v>Налог на прибыль</v>
      </c>
      <c r="B1388" t="s">
        <v>241</v>
      </c>
      <c r="C1388" t="s">
        <v>428</v>
      </c>
    </row>
    <row r="1389" spans="1:3" x14ac:dyDescent="0.2">
      <c r="A1389" t="str">
        <f t="shared" ca="1" si="22"/>
        <v>Налог на имущество</v>
      </c>
      <c r="B1389" t="s">
        <v>242</v>
      </c>
      <c r="C1389" t="s">
        <v>430</v>
      </c>
    </row>
    <row r="1390" spans="1:3" x14ac:dyDescent="0.2">
      <c r="A1390" t="str">
        <f t="shared" ca="1" si="22"/>
        <v>Социальные взносы</v>
      </c>
      <c r="B1390" t="s">
        <v>1445</v>
      </c>
      <c r="C1390" t="s">
        <v>1843</v>
      </c>
    </row>
    <row r="1391" spans="1:3" x14ac:dyDescent="0.2">
      <c r="A1391" t="str">
        <f t="shared" ca="1" si="22"/>
        <v>Налог с оборота</v>
      </c>
      <c r="B1391" t="s">
        <v>773</v>
      </c>
      <c r="C1391" t="s">
        <v>431</v>
      </c>
    </row>
    <row r="1392" spans="1:3" x14ac:dyDescent="0.2">
      <c r="A1392" t="str">
        <f t="shared" ca="1" si="22"/>
        <v>Налог с дохода, уменьшенного на расходы</v>
      </c>
      <c r="B1392" t="s">
        <v>774</v>
      </c>
      <c r="C1392" t="s">
        <v>1844</v>
      </c>
    </row>
    <row r="1393" spans="1:3" x14ac:dyDescent="0.2">
      <c r="A1393" t="str">
        <f t="shared" ca="1" si="22"/>
        <v>Суммарные налоговые и социальные выплаты</v>
      </c>
      <c r="B1393" t="s">
        <v>775</v>
      </c>
      <c r="C1393" t="s">
        <v>1845</v>
      </c>
    </row>
    <row r="1394" spans="1:3" x14ac:dyDescent="0.2">
      <c r="A1394" t="str">
        <f t="shared" ca="1" si="22"/>
        <v>Бюджетное финансирование</v>
      </c>
      <c r="B1394" s="31" t="s">
        <v>1565</v>
      </c>
      <c r="C1394" t="s">
        <v>1885</v>
      </c>
    </row>
    <row r="1395" spans="1:3" x14ac:dyDescent="0.2">
      <c r="A1395" t="str">
        <f t="shared" ca="1" si="22"/>
        <v>Поступление бюджетного финансирования в проект</v>
      </c>
      <c r="B1395" s="32" t="s">
        <v>1562</v>
      </c>
      <c r="C1395" t="s">
        <v>1886</v>
      </c>
    </row>
    <row r="1396" spans="1:3" x14ac:dyDescent="0.2">
      <c r="A1396" t="str">
        <f t="shared" ca="1" si="22"/>
        <v>Возврат бюджетного финансирования</v>
      </c>
      <c r="B1396" s="32" t="s">
        <v>1563</v>
      </c>
      <c r="C1396" t="s">
        <v>1887</v>
      </c>
    </row>
    <row r="1397" spans="1:3" x14ac:dyDescent="0.2">
      <c r="A1397" t="str">
        <f t="shared" ca="1" si="22"/>
        <v>Платежи за использование бюджетного финансирования</v>
      </c>
      <c r="B1397" s="32" t="s">
        <v>1564</v>
      </c>
      <c r="C1397" t="s">
        <v>1888</v>
      </c>
    </row>
    <row r="1398" spans="1:3" x14ac:dyDescent="0.2">
      <c r="A1398" s="24" t="str">
        <f t="shared" ca="1" si="22"/>
        <v>График: Продажи</v>
      </c>
      <c r="B1398" t="s">
        <v>1568</v>
      </c>
      <c r="C1398" t="s">
        <v>1847</v>
      </c>
    </row>
    <row r="1399" spans="1:3" x14ac:dyDescent="0.2">
      <c r="A1399" t="str">
        <f t="shared" ca="1" si="22"/>
        <v>График: EBITDA</v>
      </c>
      <c r="B1399" t="s">
        <v>876</v>
      </c>
      <c r="C1399" t="s">
        <v>1848</v>
      </c>
    </row>
    <row r="1400" spans="1:3" x14ac:dyDescent="0.2">
      <c r="A1400" t="str">
        <f t="shared" ca="1" si="22"/>
        <v>График: Инвестиционные денежные потоки</v>
      </c>
      <c r="B1400" t="s">
        <v>1142</v>
      </c>
      <c r="C1400" t="s">
        <v>1849</v>
      </c>
    </row>
    <row r="1401" spans="1:3" x14ac:dyDescent="0.2">
      <c r="A1401" t="str">
        <f t="shared" ca="1" si="22"/>
        <v>График: Денежные средства на конец периода</v>
      </c>
      <c r="B1401" t="s">
        <v>1141</v>
      </c>
      <c r="C1401" t="s">
        <v>1850</v>
      </c>
    </row>
    <row r="1402" spans="1:3" x14ac:dyDescent="0.2">
      <c r="A1402" t="str">
        <f t="shared" ca="1" si="22"/>
        <v>График: Задолженность по кредитам</v>
      </c>
      <c r="B1402" t="s">
        <v>1133</v>
      </c>
      <c r="C1402" t="s">
        <v>1851</v>
      </c>
    </row>
    <row r="1403" spans="1:3" x14ac:dyDescent="0.2">
      <c r="A1403" t="str">
        <f t="shared" ca="1" si="22"/>
        <v>График окупаемости (FCFF)</v>
      </c>
      <c r="B1403" t="s">
        <v>1137</v>
      </c>
      <c r="C1403" t="s">
        <v>1852</v>
      </c>
    </row>
    <row r="1404" spans="1:3" x14ac:dyDescent="0.2">
      <c r="A1404" t="str">
        <f t="shared" ca="1" si="22"/>
        <v>График окупаемости (FCFE)</v>
      </c>
      <c r="B1404" t="s">
        <v>1138</v>
      </c>
      <c r="C1404" t="s">
        <v>1853</v>
      </c>
    </row>
    <row r="1405" spans="1:3" x14ac:dyDescent="0.2">
      <c r="A1405" t="str">
        <f t="shared" ca="1" si="22"/>
        <v>График окупаемости (CFADS)</v>
      </c>
      <c r="B1405" t="s">
        <v>1139</v>
      </c>
      <c r="C1405" t="s">
        <v>1854</v>
      </c>
    </row>
    <row r="1406" spans="1:3" x14ac:dyDescent="0.2">
      <c r="A1406" s="24" t="str">
        <f t="shared" ca="1" si="22"/>
        <v>ГРАФИК ЧУВСТВИТЕЛЬНОСТИ</v>
      </c>
      <c r="B1406" t="s">
        <v>856</v>
      </c>
      <c r="C1406" t="s">
        <v>1855</v>
      </c>
    </row>
    <row r="1407" spans="1:3" x14ac:dyDescent="0.2">
      <c r="A1407" t="str">
        <f t="shared" ca="1" si="22"/>
        <v>Столбцы:</v>
      </c>
      <c r="B1407" t="s">
        <v>857</v>
      </c>
      <c r="C1407" t="s">
        <v>1856</v>
      </c>
    </row>
    <row r="1408" spans="1:3" x14ac:dyDescent="0.2">
      <c r="A1408" t="str">
        <f t="shared" ca="1" si="22"/>
        <v>Линии:</v>
      </c>
      <c r="B1408" t="s">
        <v>1569</v>
      </c>
      <c r="C1408" t="s">
        <v>1857</v>
      </c>
    </row>
    <row r="1409" spans="1:3" x14ac:dyDescent="0.2">
      <c r="A1409" t="str">
        <f t="shared" ca="1" si="22"/>
        <v>от</v>
      </c>
      <c r="B1409" t="s">
        <v>601</v>
      </c>
      <c r="C1409" t="s">
        <v>1300</v>
      </c>
    </row>
    <row r="1410" spans="1:3" x14ac:dyDescent="0.2">
      <c r="A1410" t="str">
        <f t="shared" ca="1" si="22"/>
        <v>с шагом</v>
      </c>
      <c r="B1410" t="s">
        <v>859</v>
      </c>
      <c r="C1410" t="s">
        <v>1327</v>
      </c>
    </row>
    <row r="1411" spans="1:3" x14ac:dyDescent="0.2">
      <c r="A1411" t="str">
        <f t="shared" ca="1" si="22"/>
        <v>Результат:</v>
      </c>
      <c r="B1411" t="s">
        <v>860</v>
      </c>
      <c r="C1411" t="s">
        <v>1858</v>
      </c>
    </row>
    <row r="1412" spans="1:3" x14ac:dyDescent="0.2">
      <c r="A1412" t="str">
        <f t="shared" ca="1" si="22"/>
        <v>Таблица данных</v>
      </c>
      <c r="B1412" t="s">
        <v>861</v>
      </c>
      <c r="C1412" t="s">
        <v>1859</v>
      </c>
    </row>
    <row r="1413" spans="1:3" x14ac:dyDescent="0.2">
      <c r="A1413" t="str">
        <f t="shared" ca="1" si="22"/>
        <v>Настройки анализа чувствительности</v>
      </c>
      <c r="B1413" t="s">
        <v>862</v>
      </c>
      <c r="C1413" t="s">
        <v>1860</v>
      </c>
    </row>
    <row r="1414" spans="1:3" x14ac:dyDescent="0.2">
      <c r="A1414" t="str">
        <f t="shared" ca="1" si="22"/>
        <v>Исходные параметры:</v>
      </c>
      <c r="B1414" t="s">
        <v>863</v>
      </c>
      <c r="C1414" t="s">
        <v>1861</v>
      </c>
    </row>
    <row r="1415" spans="1:3" x14ac:dyDescent="0.2">
      <c r="A1415" t="str">
        <f t="shared" ca="1" si="22"/>
        <v>Результаты анализа:</v>
      </c>
      <c r="B1415" t="s">
        <v>872</v>
      </c>
      <c r="C1415" t="s">
        <v>1862</v>
      </c>
    </row>
    <row r="1416" spans="1:3" x14ac:dyDescent="0.2">
      <c r="A1416" t="str">
        <f t="shared" ca="1" si="22"/>
        <v>Название параметра</v>
      </c>
      <c r="B1416" t="s">
        <v>864</v>
      </c>
      <c r="C1416" t="s">
        <v>1863</v>
      </c>
    </row>
    <row r="1417" spans="1:3" x14ac:dyDescent="0.2">
      <c r="A1417" t="str">
        <f t="shared" ca="1" si="22"/>
        <v>Имя области</v>
      </c>
      <c r="B1417" t="s">
        <v>865</v>
      </c>
      <c r="C1417" t="s">
        <v>1864</v>
      </c>
    </row>
    <row r="1418" spans="1:3" x14ac:dyDescent="0.2">
      <c r="A1418" t="str">
        <f t="shared" ca="1" si="22"/>
        <v>Проценты?</v>
      </c>
      <c r="B1418" t="s">
        <v>866</v>
      </c>
      <c r="C1418" t="s">
        <v>1865</v>
      </c>
    </row>
    <row r="1419" spans="1:3" x14ac:dyDescent="0.2">
      <c r="A1419" t="str">
        <f t="shared" ca="1" si="22"/>
        <v>Объем продаж</v>
      </c>
      <c r="B1419" t="s">
        <v>858</v>
      </c>
      <c r="C1419" t="s">
        <v>1619</v>
      </c>
    </row>
    <row r="1420" spans="1:3" x14ac:dyDescent="0.2">
      <c r="A1420" t="str">
        <f t="shared" ca="1" si="22"/>
        <v>Цены продаж</v>
      </c>
      <c r="B1420" t="s">
        <v>867</v>
      </c>
      <c r="C1420" t="s">
        <v>1866</v>
      </c>
    </row>
    <row r="1421" spans="1:3" x14ac:dyDescent="0.2">
      <c r="A1421" t="str">
        <f t="shared" ca="1" si="22"/>
        <v>Затраты на сырье и материалы</v>
      </c>
      <c r="B1421" t="s">
        <v>1585</v>
      </c>
      <c r="C1421" t="s">
        <v>1868</v>
      </c>
    </row>
    <row r="1422" spans="1:3" x14ac:dyDescent="0.2">
      <c r="A1422" t="str">
        <f t="shared" ca="1" si="22"/>
        <v>Затраты на оплату труда</v>
      </c>
      <c r="B1422" t="s">
        <v>1587</v>
      </c>
      <c r="C1422" t="s">
        <v>1625</v>
      </c>
    </row>
    <row r="1423" spans="1:3" x14ac:dyDescent="0.2">
      <c r="A1423" t="str">
        <f t="shared" ca="1" si="22"/>
        <v>Производственные издержки</v>
      </c>
      <c r="B1423" t="s">
        <v>522</v>
      </c>
      <c r="C1423" t="s">
        <v>1622</v>
      </c>
    </row>
    <row r="1424" spans="1:3" x14ac:dyDescent="0.2">
      <c r="A1424" t="str">
        <f t="shared" ca="1" si="22"/>
        <v>Коммерческие издержки</v>
      </c>
      <c r="B1424" t="s">
        <v>523</v>
      </c>
      <c r="C1424" t="s">
        <v>1624</v>
      </c>
    </row>
    <row r="1425" spans="1:3" x14ac:dyDescent="0.2">
      <c r="A1425" t="str">
        <f t="shared" ca="1" si="22"/>
        <v>Управленческие издержки</v>
      </c>
      <c r="B1425" t="s">
        <v>524</v>
      </c>
      <c r="C1425" t="s">
        <v>1623</v>
      </c>
    </row>
    <row r="1426" spans="1:3" x14ac:dyDescent="0.2">
      <c r="A1426" t="str">
        <f t="shared" ca="1" si="22"/>
        <v>Постоянные расходы - всего</v>
      </c>
      <c r="B1426" t="s">
        <v>1589</v>
      </c>
      <c r="C1426" t="s">
        <v>1869</v>
      </c>
    </row>
    <row r="1427" spans="1:3" x14ac:dyDescent="0.2">
      <c r="A1427" t="str">
        <f t="shared" ca="1" si="22"/>
        <v>Инвестиции в основные средства</v>
      </c>
      <c r="B1427" t="s">
        <v>869</v>
      </c>
      <c r="C1427" t="s">
        <v>1867</v>
      </c>
    </row>
    <row r="1428" spans="1:3" x14ac:dyDescent="0.2">
      <c r="A1428" t="str">
        <f t="shared" ca="1" si="22"/>
        <v>Ставка дисконтирования</v>
      </c>
      <c r="B1428" t="s">
        <v>699</v>
      </c>
      <c r="C1428" t="s">
        <v>1817</v>
      </c>
    </row>
    <row r="1429" spans="1:3" x14ac:dyDescent="0.2">
      <c r="A1429" t="str">
        <f t="shared" ca="1" si="22"/>
        <v>Суммарная прибыль</v>
      </c>
      <c r="B1429" t="s">
        <v>873</v>
      </c>
      <c r="C1429" t="s">
        <v>1870</v>
      </c>
    </row>
    <row r="1430" spans="1:3" x14ac:dyDescent="0.2">
      <c r="A1430" t="str">
        <f t="shared" ca="1" si="22"/>
        <v>NPV проекта</v>
      </c>
      <c r="B1430" t="s">
        <v>1566</v>
      </c>
      <c r="C1430" t="s">
        <v>1871</v>
      </c>
    </row>
    <row r="1431" spans="1:3" x14ac:dyDescent="0.2">
      <c r="A1431" t="str">
        <f t="shared" ca="1" si="22"/>
        <v>IRR проекта</v>
      </c>
      <c r="B1431" t="s">
        <v>1567</v>
      </c>
      <c r="C1431" t="s">
        <v>1872</v>
      </c>
    </row>
    <row r="1432" spans="1:3" x14ac:dyDescent="0.2">
      <c r="A1432" t="str">
        <f t="shared" ca="1" si="22"/>
        <v>PBP проекта</v>
      </c>
      <c r="B1432" t="s">
        <v>1571</v>
      </c>
      <c r="C1432" t="s">
        <v>1873</v>
      </c>
    </row>
    <row r="1433" spans="1:3" x14ac:dyDescent="0.2">
      <c r="A1433" t="str">
        <f t="shared" ca="1" si="22"/>
        <v>NPV для собственников</v>
      </c>
      <c r="B1433" t="s">
        <v>1574</v>
      </c>
      <c r="C1433" t="s">
        <v>1874</v>
      </c>
    </row>
    <row r="1434" spans="1:3" x14ac:dyDescent="0.2">
      <c r="A1434" t="str">
        <f t="shared" ca="1" si="22"/>
        <v>IRR для собственников</v>
      </c>
      <c r="B1434" t="s">
        <v>1575</v>
      </c>
      <c r="C1434" t="s">
        <v>1875</v>
      </c>
    </row>
    <row r="1435" spans="1:3" x14ac:dyDescent="0.2">
      <c r="A1435" t="str">
        <f t="shared" ca="1" si="22"/>
        <v>PBP для собственников</v>
      </c>
      <c r="B1435" t="s">
        <v>1576</v>
      </c>
      <c r="C1435" t="s">
        <v>1876</v>
      </c>
    </row>
    <row r="1436" spans="1:3" x14ac:dyDescent="0.2">
      <c r="A1436" t="str">
        <f t="shared" ca="1" si="22"/>
        <v>NPV для банка</v>
      </c>
      <c r="B1436" t="s">
        <v>1577</v>
      </c>
      <c r="C1436" t="s">
        <v>1877</v>
      </c>
    </row>
    <row r="1437" spans="1:3" x14ac:dyDescent="0.2">
      <c r="A1437" t="str">
        <f t="shared" ca="1" si="22"/>
        <v>IRR для банка</v>
      </c>
      <c r="B1437" t="s">
        <v>1578</v>
      </c>
      <c r="C1437" t="s">
        <v>1878</v>
      </c>
    </row>
    <row r="1438" spans="1:3" x14ac:dyDescent="0.2">
      <c r="A1438" t="str">
        <f t="shared" ca="1" si="22"/>
        <v>PBP для банка</v>
      </c>
      <c r="B1438" t="s">
        <v>1579</v>
      </c>
      <c r="C1438" t="s">
        <v>1879</v>
      </c>
    </row>
    <row r="1439" spans="1:3" x14ac:dyDescent="0.2">
      <c r="A1439" t="str">
        <f t="shared" ca="1" si="22"/>
        <v>Сценарии</v>
      </c>
      <c r="B1439" t="s">
        <v>90</v>
      </c>
      <c r="C1439" t="s">
        <v>1387</v>
      </c>
    </row>
    <row r="1440" spans="1:3" x14ac:dyDescent="0.2">
      <c r="A1440" s="24" t="str">
        <f t="shared" ca="1" si="22"/>
        <v>СЦЕНАРИИ ПРОЕКТА</v>
      </c>
      <c r="B1440" t="s">
        <v>653</v>
      </c>
      <c r="C1440" t="s">
        <v>1880</v>
      </c>
    </row>
    <row r="1441" spans="1:3" x14ac:dyDescent="0.2">
      <c r="A1441" t="str">
        <f t="shared" ca="1" si="22"/>
        <v>Сейчас модель не использует сценарии</v>
      </c>
      <c r="B1441" t="s">
        <v>816</v>
      </c>
      <c r="C1441" t="s">
        <v>1881</v>
      </c>
    </row>
    <row r="1442" spans="1:3" x14ac:dyDescent="0.2">
      <c r="A1442" t="str">
        <f t="shared" ca="1" si="22"/>
        <v>Текущий сценарий</v>
      </c>
      <c r="B1442" t="s">
        <v>655</v>
      </c>
      <c r="C1442" t="s">
        <v>1882</v>
      </c>
    </row>
    <row r="1443" spans="1:3" x14ac:dyDescent="0.2">
      <c r="A1443" t="str">
        <f t="shared" ref="A1443:A1458" ca="1" si="23">OFFSET(A1443,0,Prj_Language)</f>
        <v>Данные для каждого из сценариев</v>
      </c>
      <c r="B1443" t="s">
        <v>915</v>
      </c>
      <c r="C1443" t="s">
        <v>1883</v>
      </c>
    </row>
    <row r="1444" spans="1:3" x14ac:dyDescent="0.2">
      <c r="A1444" t="str">
        <f t="shared" ca="1" si="23"/>
        <v>начисленный налог</v>
      </c>
      <c r="B1444" t="s">
        <v>1600</v>
      </c>
      <c r="C1444" t="s">
        <v>1884</v>
      </c>
    </row>
    <row r="1445" spans="1:3" x14ac:dyDescent="0.2">
      <c r="A1445" t="str">
        <f t="shared" ca="1" si="23"/>
        <v>ИТОГО</v>
      </c>
      <c r="B1445" t="s">
        <v>0</v>
      </c>
      <c r="C1445" t="s">
        <v>725</v>
      </c>
    </row>
    <row r="1446" spans="1:3" x14ac:dyDescent="0.2">
      <c r="A1446" t="str">
        <f t="shared" ca="1" si="23"/>
        <v>дней</v>
      </c>
      <c r="B1446" t="s">
        <v>537</v>
      </c>
      <c r="C1446" t="s">
        <v>2139</v>
      </c>
    </row>
    <row r="1447" spans="1:3" x14ac:dyDescent="0.2">
      <c r="A1447" t="str">
        <f t="shared" ca="1" si="23"/>
        <v>Да</v>
      </c>
      <c r="B1447" t="s">
        <v>2140</v>
      </c>
      <c r="C1447" t="s">
        <v>2142</v>
      </c>
    </row>
    <row r="1448" spans="1:3" x14ac:dyDescent="0.2">
      <c r="A1448" t="str">
        <f t="shared" ca="1" si="23"/>
        <v>Нет</v>
      </c>
      <c r="B1448" t="s">
        <v>2141</v>
      </c>
      <c r="C1448" t="s">
        <v>2143</v>
      </c>
    </row>
    <row r="1449" spans="1:3" x14ac:dyDescent="0.2">
      <c r="A1449" t="str">
        <f t="shared" ca="1" si="23"/>
        <v>раз</v>
      </c>
      <c r="B1449" t="s">
        <v>698</v>
      </c>
      <c r="C1449" t="s">
        <v>2144</v>
      </c>
    </row>
    <row r="1450" spans="1:3" x14ac:dyDescent="0.2">
      <c r="A1450" t="str">
        <f t="shared" ca="1" si="23"/>
        <v>раз в год</v>
      </c>
      <c r="B1450" t="s">
        <v>772</v>
      </c>
      <c r="C1450" t="s">
        <v>2145</v>
      </c>
    </row>
    <row r="1451" spans="1:3" x14ac:dyDescent="0.2">
      <c r="A1451" t="str">
        <f t="shared" ca="1" si="23"/>
        <v>за период</v>
      </c>
      <c r="B1451" t="s">
        <v>562</v>
      </c>
      <c r="C1451" t="s">
        <v>2146</v>
      </c>
    </row>
    <row r="1452" spans="1:3" x14ac:dyDescent="0.2">
      <c r="A1452" t="str">
        <f t="shared" ca="1" si="23"/>
        <v>период</v>
      </c>
      <c r="B1452" t="s">
        <v>3</v>
      </c>
      <c r="C1452" t="s">
        <v>1302</v>
      </c>
    </row>
    <row r="1453" spans="1:3" x14ac:dyDescent="0.2">
      <c r="A1453" t="str">
        <f t="shared" ca="1" si="23"/>
        <v>Импорт</v>
      </c>
      <c r="B1453" t="s">
        <v>2147</v>
      </c>
      <c r="C1453" t="s">
        <v>2149</v>
      </c>
    </row>
    <row r="1454" spans="1:3" x14ac:dyDescent="0.2">
      <c r="A1454" t="str">
        <f t="shared" ca="1" si="23"/>
        <v>Не импорт</v>
      </c>
      <c r="B1454" t="s">
        <v>2148</v>
      </c>
      <c r="C1454" t="s">
        <v>2150</v>
      </c>
    </row>
    <row r="1455" spans="1:3" x14ac:dyDescent="0.2">
      <c r="A1455" t="str">
        <f t="shared" ca="1" si="23"/>
        <v>человек</v>
      </c>
      <c r="B1455" t="s">
        <v>559</v>
      </c>
      <c r="C1455" t="s">
        <v>2151</v>
      </c>
    </row>
    <row r="1456" spans="1:3" x14ac:dyDescent="0.2">
      <c r="A1456" t="str">
        <f t="shared" ca="1" si="23"/>
        <v>периодов</v>
      </c>
      <c r="B1456" t="s">
        <v>64</v>
      </c>
      <c r="C1456" t="s">
        <v>421</v>
      </c>
    </row>
    <row r="1457" spans="1:3" x14ac:dyDescent="0.2">
      <c r="A1457" t="str">
        <f t="shared" ca="1" si="23"/>
        <v>), без НДС</v>
      </c>
      <c r="B1457" t="s">
        <v>2162</v>
      </c>
      <c r="C1457" t="s">
        <v>2163</v>
      </c>
    </row>
    <row r="1458" spans="1:3" x14ac:dyDescent="0.2">
      <c r="A1458">
        <f t="shared" ca="1" si="23"/>
        <v>0</v>
      </c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75</vt:i4>
      </vt:variant>
    </vt:vector>
  </HeadingPairs>
  <TitlesOfParts>
    <vt:vector size="84" baseType="lpstr">
      <vt:lpstr>Параметры</vt:lpstr>
      <vt:lpstr>Старт</vt:lpstr>
      <vt:lpstr>Стадо</vt:lpstr>
      <vt:lpstr>Проект</vt:lpstr>
      <vt:lpstr>Результаты</vt:lpstr>
      <vt:lpstr>Графики</vt:lpstr>
      <vt:lpstr>Сценарии</vt:lpstr>
      <vt:lpstr>Отчет</vt:lpstr>
      <vt:lpstr>Language</vt:lpstr>
      <vt:lpstr>CurName1</vt:lpstr>
      <vt:lpstr>CurName2</vt:lpstr>
      <vt:lpstr>CurName3</vt:lpstr>
      <vt:lpstr>Opt_BuildDate</vt:lpstr>
      <vt:lpstr>Opt_ChartSheet</vt:lpstr>
      <vt:lpstr>Opt_Colors</vt:lpstr>
      <vt:lpstr>Opt_DataSheet</vt:lpstr>
      <vt:lpstr>Opt_Defaults</vt:lpstr>
      <vt:lpstr>Opt_DlgPrint</vt:lpstr>
      <vt:lpstr>Opt_IsBuilt</vt:lpstr>
      <vt:lpstr>Opt_IsDemo</vt:lpstr>
      <vt:lpstr>Opt_IsSumm</vt:lpstr>
      <vt:lpstr>Opt_MainSheet</vt:lpstr>
      <vt:lpstr>Opt_ReportSheet</vt:lpstr>
      <vt:lpstr>Opt_ResultSheet</vt:lpstr>
      <vt:lpstr>Opt_ScenSheet</vt:lpstr>
      <vt:lpstr>Opt_Sheets</vt:lpstr>
      <vt:lpstr>Opt_StartSheet</vt:lpstr>
      <vt:lpstr>Opt_Themes</vt:lpstr>
      <vt:lpstr>Opt_UniqueID</vt:lpstr>
      <vt:lpstr>Opt_Version</vt:lpstr>
      <vt:lpstr>Prj_Cur1</vt:lpstr>
      <vt:lpstr>Prj_Cur2</vt:lpstr>
      <vt:lpstr>Prj_Cur3</vt:lpstr>
      <vt:lpstr>Prj_CurReport</vt:lpstr>
      <vt:lpstr>Prj_Inflation</vt:lpstr>
      <vt:lpstr>Prj_Invest</vt:lpstr>
      <vt:lpstr>Prj_Language</vt:lpstr>
      <vt:lpstr>Prj_Len</vt:lpstr>
      <vt:lpstr>Prj_Name</vt:lpstr>
      <vt:lpstr>Prj_Period</vt:lpstr>
      <vt:lpstr>Prj_Protect</vt:lpstr>
      <vt:lpstr>Prj_StartDate</vt:lpstr>
      <vt:lpstr>Prj_StartMonth</vt:lpstr>
      <vt:lpstr>Prj_StartYear</vt:lpstr>
      <vt:lpstr>Prj_Step</vt:lpstr>
      <vt:lpstr>Prj_Style</vt:lpstr>
      <vt:lpstr>Prj_Tax1</vt:lpstr>
      <vt:lpstr>Prj_Tax2</vt:lpstr>
      <vt:lpstr>Prj_Tax3</vt:lpstr>
      <vt:lpstr>Prj_Tax4</vt:lpstr>
      <vt:lpstr>Prj_Tax5</vt:lpstr>
      <vt:lpstr>Prj_Tax6</vt:lpstr>
      <vt:lpstr>Prj_VAT</vt:lpstr>
      <vt:lpstr>Sens_Discount</vt:lpstr>
      <vt:lpstr>Sens_Exp1</vt:lpstr>
      <vt:lpstr>Sens_Exp2</vt:lpstr>
      <vt:lpstr>Sens_Exp3</vt:lpstr>
      <vt:lpstr>Sens_Exp4</vt:lpstr>
      <vt:lpstr>Sens_Invest</vt:lpstr>
      <vt:lpstr>Sens_IRR1</vt:lpstr>
      <vt:lpstr>Sens_IRR2</vt:lpstr>
      <vt:lpstr>Sens_IRR3</vt:lpstr>
      <vt:lpstr>Графики!Sens_Item</vt:lpstr>
      <vt:lpstr>Графики!Sens_ItemFrom</vt:lpstr>
      <vt:lpstr>Графики!Sens_ItemStep</vt:lpstr>
      <vt:lpstr>Графики!Sens_Line</vt:lpstr>
      <vt:lpstr>Sens_Mat</vt:lpstr>
      <vt:lpstr>Sens_NPV1</vt:lpstr>
      <vt:lpstr>Sens_NPV2</vt:lpstr>
      <vt:lpstr>Sens_NPV3</vt:lpstr>
      <vt:lpstr>Графики!Sens_Param</vt:lpstr>
      <vt:lpstr>Графики!Sens_ParamFrom</vt:lpstr>
      <vt:lpstr>Графики!Sens_Params</vt:lpstr>
      <vt:lpstr>Графики!Sens_ParamStep</vt:lpstr>
      <vt:lpstr>Sens_PBP1</vt:lpstr>
      <vt:lpstr>Sens_PBP2</vt:lpstr>
      <vt:lpstr>Sens_PBP3</vt:lpstr>
      <vt:lpstr>Sens_Price</vt:lpstr>
      <vt:lpstr>Sens_Profit</vt:lpstr>
      <vt:lpstr>Графики!Sens_Result</vt:lpstr>
      <vt:lpstr>Графики!Sens_Results</vt:lpstr>
      <vt:lpstr>Sens_Sales</vt:lpstr>
      <vt:lpstr>Sens_Staff</vt:lpstr>
      <vt:lpstr>Графики!Sens_Table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</dc:creator>
  <cp:lastModifiedBy>Admin</cp:lastModifiedBy>
  <cp:lastPrinted>2015-01-30T11:45:42Z</cp:lastPrinted>
  <dcterms:created xsi:type="dcterms:W3CDTF">2013-06-17T12:41:45Z</dcterms:created>
  <dcterms:modified xsi:type="dcterms:W3CDTF">2022-10-12T11:30:01Z</dcterms:modified>
</cp:coreProperties>
</file>